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9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10.xml" ContentType="application/vnd.openxmlformats-officedocument.drawingml.chartshapes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11.xml" ContentType="application/vnd.openxmlformats-officedocument.drawingml.chartshapes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12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y.shell.com/personal/harish_balam_shell_com/Documents/Projects/2026/Bionaphtha upgrading/Horizon 2/Light Naphtha Isomerization/Light Naphtha Isomerization_DGD/"/>
    </mc:Choice>
  </mc:AlternateContent>
  <xr:revisionPtr revIDLastSave="0" documentId="8_{F99A844D-8995-4115-84C2-21B433F02F28}" xr6:coauthVersionLast="47" xr6:coauthVersionMax="47" xr10:uidLastSave="{00000000-0000-0000-0000-000000000000}"/>
  <bookViews>
    <workbookView xWindow="-120" yWindow="-120" windowWidth="29040" windowHeight="17520" firstSheet="9" activeTab="9" xr2:uid="{06E2404C-D17A-4411-B664-9C126B71E280}"/>
  </bookViews>
  <sheets>
    <sheet name="P. Yields - WABT 210 Act Fe (2)" sheetId="32" r:id="rId1"/>
    <sheet name="P. Yields - WABT 215 Act Fe (2)" sheetId="31" r:id="rId2"/>
    <sheet name="P. Yields - WABT 220 Act Fe (2)" sheetId="30" r:id="rId3"/>
    <sheet name="Exp.Plan_Light Naphtha Isom." sheetId="1" r:id="rId4"/>
    <sheet name="Catalyst Loading Details" sheetId="3" r:id="rId5"/>
    <sheet name="Catalyst Drying and Reduction" sheetId="5" r:id="rId6"/>
    <sheet name="GC Calibration Data " sheetId="7" r:id="rId7"/>
    <sheet name="H2+N2 Mixture Data" sheetId="27" r:id="rId8"/>
    <sheet name="Raw Data" sheetId="8" r:id="rId9"/>
    <sheet name="Reactor1" sheetId="29" r:id="rId10"/>
    <sheet name="Reactor2" sheetId="20" r:id="rId11"/>
    <sheet name="Reactor3" sheetId="28" r:id="rId12"/>
    <sheet name="Reactor4" sheetId="21" r:id="rId13"/>
    <sheet name="Reactor5" sheetId="22" r:id="rId14"/>
    <sheet name="Reactor6" sheetId="24" r:id="rId15"/>
    <sheet name="Reactor7" sheetId="25" r:id="rId16"/>
    <sheet name="Reactor8" sheetId="26" r:id="rId17"/>
    <sheet name="Plots" sheetId="23" r:id="rId18"/>
    <sheet name="Analysis" sheetId="33" r:id="rId19"/>
    <sheet name="Notes" sheetId="15" r:id="rId20"/>
    <sheet name="Spent Catalyst Systems" sheetId="34" r:id="rId21"/>
    <sheet name="Catalyst Cost Details" sheetId="35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41" i="22" l="1"/>
  <c r="T141" i="22"/>
  <c r="S141" i="22"/>
  <c r="R141" i="22"/>
  <c r="Q141" i="22"/>
  <c r="P141" i="22"/>
  <c r="O141" i="22"/>
  <c r="N141" i="22"/>
  <c r="M141" i="22"/>
  <c r="U141" i="24"/>
  <c r="T141" i="24"/>
  <c r="S141" i="24"/>
  <c r="R141" i="24"/>
  <c r="Q141" i="24"/>
  <c r="P141" i="24"/>
  <c r="O141" i="24"/>
  <c r="N141" i="24"/>
  <c r="D28" i="29" a="1"/>
  <c r="D28" i="29" s="1"/>
  <c r="D29" i="29" a="1"/>
  <c r="D29" i="29" s="1"/>
  <c r="D28" i="21" a="1"/>
  <c r="D28" i="21" s="1"/>
  <c r="D29" i="21" a="1"/>
  <c r="D29" i="21" s="1"/>
  <c r="AR3" i="8"/>
  <c r="AR4" i="8"/>
  <c r="AR5" i="8"/>
  <c r="AR6" i="8"/>
  <c r="AR7" i="8"/>
  <c r="AR8" i="8"/>
  <c r="AR9" i="8"/>
  <c r="AR10" i="8"/>
  <c r="AR11" i="8"/>
  <c r="AR12" i="8"/>
  <c r="AR13" i="8"/>
  <c r="AR14" i="8"/>
  <c r="AR15" i="8"/>
  <c r="AR16" i="8"/>
  <c r="AR17" i="8"/>
  <c r="AR18" i="8"/>
  <c r="AR19" i="8"/>
  <c r="AR20" i="8"/>
  <c r="AR21" i="8"/>
  <c r="AR22" i="8"/>
  <c r="AR23" i="8"/>
  <c r="AR24" i="8"/>
  <c r="AR25" i="8"/>
  <c r="AR26" i="8"/>
  <c r="AR27" i="8"/>
  <c r="AR28" i="8"/>
  <c r="AR29" i="8"/>
  <c r="AR30" i="8"/>
  <c r="AR31" i="8"/>
  <c r="AR32" i="8"/>
  <c r="AR33" i="8"/>
  <c r="AR34" i="8"/>
  <c r="AR35" i="8"/>
  <c r="AR36" i="8"/>
  <c r="AR37" i="8"/>
  <c r="AR38" i="8"/>
  <c r="AR39" i="8"/>
  <c r="AR40" i="8"/>
  <c r="AR41" i="8"/>
  <c r="AR42" i="8"/>
  <c r="AR43" i="8"/>
  <c r="AR44" i="8"/>
  <c r="AR45" i="8"/>
  <c r="AR46" i="8"/>
  <c r="AR47" i="8"/>
  <c r="AR48" i="8"/>
  <c r="AR49" i="8"/>
  <c r="AR50" i="8"/>
  <c r="AR51" i="8"/>
  <c r="AR52" i="8"/>
  <c r="AR53" i="8"/>
  <c r="AR54" i="8"/>
  <c r="AR55" i="8"/>
  <c r="AR56" i="8"/>
  <c r="AR57" i="8"/>
  <c r="AR58" i="8"/>
  <c r="AR59" i="8"/>
  <c r="AR60" i="8"/>
  <c r="AR61" i="8"/>
  <c r="AR62" i="8"/>
  <c r="AR63" i="8"/>
  <c r="AR64" i="8"/>
  <c r="AR65" i="8"/>
  <c r="AR66" i="8"/>
  <c r="AR67" i="8"/>
  <c r="AR68" i="8"/>
  <c r="AR69" i="8"/>
  <c r="AR70" i="8"/>
  <c r="AR71" i="8"/>
  <c r="AR72" i="8"/>
  <c r="AR73" i="8"/>
  <c r="AR74" i="8"/>
  <c r="AR75" i="8"/>
  <c r="AR76" i="8"/>
  <c r="AR77" i="8"/>
  <c r="AR78" i="8"/>
  <c r="AR79" i="8"/>
  <c r="AR80" i="8"/>
  <c r="AR81" i="8"/>
  <c r="AR82" i="8"/>
  <c r="AR83" i="8"/>
  <c r="AR84" i="8"/>
  <c r="AR85" i="8"/>
  <c r="AR86" i="8"/>
  <c r="AR87" i="8"/>
  <c r="AR88" i="8"/>
  <c r="AR89" i="8"/>
  <c r="AR90" i="8"/>
  <c r="AR91" i="8"/>
  <c r="AR92" i="8"/>
  <c r="AR93" i="8"/>
  <c r="AR94" i="8"/>
  <c r="AR95" i="8"/>
  <c r="AR2" i="8"/>
  <c r="AS3" i="8"/>
  <c r="AS4" i="8"/>
  <c r="AS5" i="8"/>
  <c r="AS6" i="8"/>
  <c r="AS7" i="8"/>
  <c r="AS8" i="8"/>
  <c r="AS9" i="8"/>
  <c r="AS10" i="8"/>
  <c r="AS11" i="8"/>
  <c r="AS12" i="8"/>
  <c r="AS13" i="8"/>
  <c r="AS14" i="8"/>
  <c r="AS15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S35" i="8"/>
  <c r="AS36" i="8"/>
  <c r="AS37" i="8"/>
  <c r="AS38" i="8"/>
  <c r="AS39" i="8"/>
  <c r="AS40" i="8"/>
  <c r="AS41" i="8"/>
  <c r="AS42" i="8"/>
  <c r="AS43" i="8"/>
  <c r="AS44" i="8"/>
  <c r="AS45" i="8"/>
  <c r="AS46" i="8"/>
  <c r="AS47" i="8"/>
  <c r="AS48" i="8"/>
  <c r="AS49" i="8"/>
  <c r="AS50" i="8"/>
  <c r="AS51" i="8"/>
  <c r="AS52" i="8"/>
  <c r="AS53" i="8"/>
  <c r="AS54" i="8"/>
  <c r="AS55" i="8"/>
  <c r="AS56" i="8"/>
  <c r="AS57" i="8"/>
  <c r="AS58" i="8"/>
  <c r="AS59" i="8"/>
  <c r="AS60" i="8"/>
  <c r="AS61" i="8"/>
  <c r="AS62" i="8"/>
  <c r="AS63" i="8"/>
  <c r="AS64" i="8"/>
  <c r="AS65" i="8"/>
  <c r="AS66" i="8"/>
  <c r="AS67" i="8"/>
  <c r="AS68" i="8"/>
  <c r="AS69" i="8"/>
  <c r="AS70" i="8"/>
  <c r="AS71" i="8"/>
  <c r="AS72" i="8"/>
  <c r="AS73" i="8"/>
  <c r="AS74" i="8"/>
  <c r="AS75" i="8"/>
  <c r="AS76" i="8"/>
  <c r="AS77" i="8"/>
  <c r="AS78" i="8"/>
  <c r="AS79" i="8"/>
  <c r="AS80" i="8"/>
  <c r="AS81" i="8"/>
  <c r="AS82" i="8"/>
  <c r="AS83" i="8"/>
  <c r="AS84" i="8"/>
  <c r="AS85" i="8"/>
  <c r="AS86" i="8"/>
  <c r="AS87" i="8"/>
  <c r="AS88" i="8"/>
  <c r="AS89" i="8"/>
  <c r="AS90" i="8"/>
  <c r="AS91" i="8"/>
  <c r="AS92" i="8"/>
  <c r="AS93" i="8"/>
  <c r="AS94" i="8"/>
  <c r="AS95" i="8"/>
  <c r="AS2" i="8"/>
  <c r="K23" i="35" l="1"/>
  <c r="K24" i="35" s="1"/>
  <c r="K10" i="35"/>
  <c r="K12" i="35" s="1"/>
  <c r="K15" i="35" s="1"/>
  <c r="K14" i="35" l="1"/>
  <c r="P64" i="26"/>
  <c r="P65" i="26"/>
  <c r="P66" i="26"/>
  <c r="P67" i="26"/>
  <c r="P68" i="26"/>
  <c r="P69" i="26"/>
  <c r="P70" i="26"/>
  <c r="P71" i="26"/>
  <c r="P72" i="26"/>
  <c r="P73" i="26"/>
  <c r="P74" i="26"/>
  <c r="P75" i="26"/>
  <c r="P76" i="26"/>
  <c r="P77" i="26"/>
  <c r="P43" i="26"/>
  <c r="P44" i="26"/>
  <c r="P45" i="26"/>
  <c r="P46" i="26"/>
  <c r="P47" i="26"/>
  <c r="P48" i="26"/>
  <c r="P49" i="26"/>
  <c r="P50" i="26"/>
  <c r="P51" i="26"/>
  <c r="P52" i="26"/>
  <c r="P53" i="26"/>
  <c r="P54" i="26"/>
  <c r="P55" i="26"/>
  <c r="P56" i="26"/>
  <c r="P57" i="26"/>
  <c r="P58" i="26"/>
  <c r="P59" i="26"/>
  <c r="P60" i="26"/>
  <c r="P61" i="26"/>
  <c r="P62" i="26"/>
  <c r="P63" i="26"/>
  <c r="P42" i="26"/>
  <c r="N35" i="30" l="1"/>
  <c r="D13" i="28" l="1"/>
  <c r="D14" i="28"/>
  <c r="D15" i="28"/>
  <c r="D13" i="21"/>
  <c r="D14" i="21"/>
  <c r="D15" i="21"/>
  <c r="D13" i="22"/>
  <c r="D14" i="22"/>
  <c r="D15" i="22"/>
  <c r="D13" i="24"/>
  <c r="D14" i="24"/>
  <c r="D15" i="24"/>
  <c r="D13" i="25"/>
  <c r="D14" i="25"/>
  <c r="D15" i="25"/>
  <c r="D13" i="26"/>
  <c r="D14" i="26"/>
  <c r="D15" i="26"/>
  <c r="D13" i="20"/>
  <c r="D14" i="20"/>
  <c r="D15" i="20"/>
  <c r="D9" i="21"/>
  <c r="D10" i="21"/>
  <c r="D11" i="21"/>
  <c r="D12" i="21"/>
  <c r="D9" i="22"/>
  <c r="D10" i="22"/>
  <c r="D11" i="22"/>
  <c r="D12" i="22"/>
  <c r="D9" i="24"/>
  <c r="D10" i="24"/>
  <c r="D11" i="24"/>
  <c r="D12" i="24"/>
  <c r="D9" i="25"/>
  <c r="D10" i="25"/>
  <c r="D11" i="25"/>
  <c r="D12" i="25"/>
  <c r="D9" i="26"/>
  <c r="D10" i="26"/>
  <c r="D11" i="26"/>
  <c r="D12" i="26"/>
  <c r="D9" i="28"/>
  <c r="D10" i="28"/>
  <c r="D11" i="28"/>
  <c r="D12" i="28"/>
  <c r="D9" i="20"/>
  <c r="D10" i="20"/>
  <c r="D11" i="20"/>
  <c r="D12" i="20"/>
  <c r="D8" i="26"/>
  <c r="B8" i="26"/>
  <c r="A8" i="26"/>
  <c r="D8" i="25"/>
  <c r="B8" i="25"/>
  <c r="A8" i="25"/>
  <c r="D8" i="24"/>
  <c r="B8" i="24"/>
  <c r="A8" i="24"/>
  <c r="B8" i="22"/>
  <c r="D8" i="22"/>
  <c r="A8" i="22"/>
  <c r="D8" i="20"/>
  <c r="D8" i="28"/>
  <c r="D8" i="21"/>
  <c r="D28" i="28" a="1"/>
  <c r="D28" i="28" s="1"/>
  <c r="D29" i="28" a="1"/>
  <c r="D29" i="28" s="1"/>
  <c r="D2" i="26"/>
  <c r="D2" i="25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42" i="26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42" i="25"/>
  <c r="C43" i="24"/>
  <c r="C44" i="24"/>
  <c r="C45" i="24"/>
  <c r="C46" i="24"/>
  <c r="C47" i="24"/>
  <c r="C48" i="24"/>
  <c r="C49" i="24"/>
  <c r="C50" i="24"/>
  <c r="C51" i="24"/>
  <c r="C52" i="24"/>
  <c r="C53" i="24"/>
  <c r="C54" i="24"/>
  <c r="C55" i="24"/>
  <c r="C56" i="24"/>
  <c r="C57" i="24"/>
  <c r="C58" i="24"/>
  <c r="C59" i="24"/>
  <c r="C60" i="24"/>
  <c r="C61" i="24"/>
  <c r="C62" i="24"/>
  <c r="C63" i="24"/>
  <c r="C64" i="24"/>
  <c r="C65" i="24"/>
  <c r="C66" i="24"/>
  <c r="C67" i="24"/>
  <c r="C68" i="24"/>
  <c r="C69" i="24"/>
  <c r="C70" i="24"/>
  <c r="C71" i="24"/>
  <c r="C72" i="24"/>
  <c r="C73" i="24"/>
  <c r="C74" i="24"/>
  <c r="C75" i="24"/>
  <c r="C76" i="24"/>
  <c r="C77" i="24"/>
  <c r="C42" i="24"/>
  <c r="C77" i="22"/>
  <c r="C43" i="22"/>
  <c r="C44" i="22"/>
  <c r="C45" i="22"/>
  <c r="C46" i="22"/>
  <c r="C47" i="22"/>
  <c r="C48" i="22"/>
  <c r="C49" i="22"/>
  <c r="C50" i="22"/>
  <c r="C51" i="22"/>
  <c r="C52" i="22"/>
  <c r="C53" i="22"/>
  <c r="C54" i="22"/>
  <c r="C55" i="22"/>
  <c r="C56" i="22"/>
  <c r="C57" i="22"/>
  <c r="C58" i="22"/>
  <c r="C59" i="22"/>
  <c r="C60" i="22"/>
  <c r="C61" i="22"/>
  <c r="C62" i="22"/>
  <c r="C63" i="22"/>
  <c r="C64" i="22"/>
  <c r="C65" i="22"/>
  <c r="C66" i="22"/>
  <c r="C67" i="22"/>
  <c r="C68" i="22"/>
  <c r="C69" i="22"/>
  <c r="C70" i="22"/>
  <c r="C71" i="22"/>
  <c r="C72" i="22"/>
  <c r="C73" i="22"/>
  <c r="C74" i="22"/>
  <c r="C75" i="22"/>
  <c r="C76" i="22"/>
  <c r="C42" i="22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C42" i="21"/>
  <c r="C73" i="28"/>
  <c r="C74" i="28"/>
  <c r="C75" i="28"/>
  <c r="C76" i="28"/>
  <c r="C77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42" i="28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42" i="20"/>
  <c r="AB150" i="25"/>
  <c r="AB151" i="25"/>
  <c r="AB152" i="25"/>
  <c r="AB153" i="25"/>
  <c r="AB154" i="25"/>
  <c r="AB155" i="25"/>
  <c r="AB156" i="25"/>
  <c r="AB157" i="25"/>
  <c r="AB158" i="25"/>
  <c r="AB159" i="25"/>
  <c r="AB160" i="25"/>
  <c r="AB161" i="25"/>
  <c r="AB162" i="25"/>
  <c r="AB163" i="25"/>
  <c r="AB164" i="25"/>
  <c r="AB149" i="25"/>
  <c r="AB165" i="25" l="1"/>
  <c r="AU94" i="8"/>
  <c r="AV94" i="8"/>
  <c r="AW94" i="8"/>
  <c r="AX94" i="8"/>
  <c r="AU95" i="8"/>
  <c r="AV95" i="8"/>
  <c r="AW95" i="8"/>
  <c r="AX95" i="8"/>
  <c r="AU89" i="8" l="1"/>
  <c r="AV89" i="8"/>
  <c r="AW89" i="8"/>
  <c r="AX89" i="8"/>
  <c r="AU90" i="8"/>
  <c r="AV90" i="8"/>
  <c r="AW90" i="8"/>
  <c r="AX90" i="8"/>
  <c r="AU91" i="8"/>
  <c r="AV91" i="8"/>
  <c r="AW91" i="8"/>
  <c r="AX91" i="8"/>
  <c r="AU92" i="8"/>
  <c r="AV92" i="8"/>
  <c r="AW92" i="8"/>
  <c r="AX92" i="8"/>
  <c r="AU93" i="8"/>
  <c r="AV93" i="8"/>
  <c r="AW93" i="8"/>
  <c r="AX93" i="8"/>
  <c r="AU88" i="8"/>
  <c r="AV88" i="8"/>
  <c r="AW88" i="8"/>
  <c r="AX88" i="8"/>
  <c r="AU87" i="8"/>
  <c r="AV87" i="8"/>
  <c r="AW87" i="8"/>
  <c r="AX87" i="8"/>
  <c r="AN66" i="23"/>
  <c r="AP66" i="23"/>
  <c r="AP65" i="23"/>
  <c r="AO66" i="23"/>
  <c r="AO65" i="23"/>
  <c r="AN65" i="23"/>
  <c r="AP64" i="23"/>
  <c r="AP63" i="23"/>
  <c r="AO64" i="23"/>
  <c r="AO63" i="23"/>
  <c r="AN64" i="23"/>
  <c r="AN63" i="23"/>
  <c r="AP62" i="23"/>
  <c r="AO62" i="23"/>
  <c r="AN62" i="23"/>
  <c r="AP61" i="23"/>
  <c r="AO61" i="23"/>
  <c r="AN61" i="23"/>
  <c r="G30" i="32"/>
  <c r="H30" i="32"/>
  <c r="I30" i="32"/>
  <c r="G41" i="32"/>
  <c r="H41" i="32"/>
  <c r="I41" i="32"/>
  <c r="G42" i="32"/>
  <c r="H42" i="32"/>
  <c r="I42" i="32"/>
  <c r="G48" i="32"/>
  <c r="H48" i="32"/>
  <c r="I48" i="32"/>
  <c r="G55" i="32"/>
  <c r="G56" i="32" s="1"/>
  <c r="H55" i="32"/>
  <c r="H56" i="32" s="1"/>
  <c r="H57" i="32" s="1"/>
  <c r="H58" i="32" s="1"/>
  <c r="I55" i="32"/>
  <c r="I56" i="32" s="1"/>
  <c r="I57" i="32" s="1"/>
  <c r="I58" i="32" s="1"/>
  <c r="G57" i="32"/>
  <c r="G59" i="32" s="1"/>
  <c r="L59" i="32"/>
  <c r="L60" i="32" s="1"/>
  <c r="L61" i="32" s="1"/>
  <c r="G30" i="31"/>
  <c r="H30" i="31"/>
  <c r="I30" i="31"/>
  <c r="G41" i="31"/>
  <c r="H41" i="31"/>
  <c r="I41" i="31"/>
  <c r="G42" i="31"/>
  <c r="H42" i="31"/>
  <c r="I42" i="31"/>
  <c r="G48" i="31"/>
  <c r="H48" i="31"/>
  <c r="I48" i="31"/>
  <c r="G55" i="31"/>
  <c r="H55" i="31"/>
  <c r="I55" i="31"/>
  <c r="L59" i="31"/>
  <c r="L60" i="31" s="1"/>
  <c r="L61" i="31" s="1"/>
  <c r="G30" i="30"/>
  <c r="H30" i="30"/>
  <c r="I30" i="30"/>
  <c r="G41" i="30"/>
  <c r="H41" i="30"/>
  <c r="I41" i="30"/>
  <c r="G42" i="30"/>
  <c r="H42" i="30"/>
  <c r="I42" i="30"/>
  <c r="G48" i="30"/>
  <c r="H48" i="30"/>
  <c r="I48" i="30"/>
  <c r="G55" i="30"/>
  <c r="H55" i="30"/>
  <c r="I55" i="30"/>
  <c r="L59" i="30"/>
  <c r="L60" i="30" s="1"/>
  <c r="L61" i="30" s="1"/>
  <c r="G56" i="30" l="1"/>
  <c r="G57" i="30" s="1"/>
  <c r="G56" i="31"/>
  <c r="G57" i="31" s="1"/>
  <c r="G59" i="31" s="1"/>
  <c r="H56" i="31"/>
  <c r="H57" i="31" s="1"/>
  <c r="H58" i="31" s="1"/>
  <c r="I56" i="31"/>
  <c r="I57" i="31" s="1"/>
  <c r="I58" i="31" s="1"/>
  <c r="I56" i="30"/>
  <c r="I57" i="30" s="1"/>
  <c r="I58" i="30" s="1"/>
  <c r="G58" i="32"/>
  <c r="H56" i="30"/>
  <c r="H57" i="30" s="1"/>
  <c r="H58" i="30" s="1"/>
  <c r="G59" i="30"/>
  <c r="G58" i="30"/>
  <c r="H59" i="32"/>
  <c r="I59" i="32"/>
  <c r="G58" i="31"/>
  <c r="H59" i="31"/>
  <c r="I59" i="31" l="1"/>
  <c r="H59" i="30"/>
  <c r="I59" i="30"/>
  <c r="D40" i="26" a="1"/>
  <c r="D40" i="26" s="1"/>
  <c r="D40" i="25" a="1"/>
  <c r="D40" i="25" s="1"/>
  <c r="D40" i="24" a="1"/>
  <c r="D40" i="24" s="1"/>
  <c r="D40" i="22" a="1"/>
  <c r="D40" i="22" s="1"/>
  <c r="D40" i="21" a="1"/>
  <c r="D40" i="21" s="1"/>
  <c r="D40" i="28" a="1"/>
  <c r="D40" i="28" s="1"/>
  <c r="D40" i="20" a="1"/>
  <c r="D40" i="20" s="1"/>
  <c r="D40" i="29" a="1"/>
  <c r="D40" i="29" s="1"/>
  <c r="AU86" i="8" l="1"/>
  <c r="AV86" i="8"/>
  <c r="AW86" i="8"/>
  <c r="AX86" i="8"/>
  <c r="AU74" i="8" l="1"/>
  <c r="AV74" i="8"/>
  <c r="AW74" i="8"/>
  <c r="AX74" i="8"/>
  <c r="AU75" i="8"/>
  <c r="AV75" i="8"/>
  <c r="AW75" i="8"/>
  <c r="AX75" i="8"/>
  <c r="AU76" i="8"/>
  <c r="AV76" i="8"/>
  <c r="AW76" i="8"/>
  <c r="AX76" i="8"/>
  <c r="AU77" i="8"/>
  <c r="AV77" i="8"/>
  <c r="AW77" i="8"/>
  <c r="AX77" i="8"/>
  <c r="AU78" i="8"/>
  <c r="AV78" i="8"/>
  <c r="AW78" i="8"/>
  <c r="AX78" i="8"/>
  <c r="AU79" i="8"/>
  <c r="AV79" i="8"/>
  <c r="AW79" i="8"/>
  <c r="AX79" i="8"/>
  <c r="AU80" i="8"/>
  <c r="AV80" i="8"/>
  <c r="AW80" i="8"/>
  <c r="AX80" i="8"/>
  <c r="AU81" i="8"/>
  <c r="AV81" i="8"/>
  <c r="AW81" i="8"/>
  <c r="AX81" i="8"/>
  <c r="AU82" i="8"/>
  <c r="AV82" i="8"/>
  <c r="AW82" i="8"/>
  <c r="AX82" i="8"/>
  <c r="AU83" i="8"/>
  <c r="AV83" i="8"/>
  <c r="AW83" i="8"/>
  <c r="AX83" i="8"/>
  <c r="AU84" i="8"/>
  <c r="AV84" i="8"/>
  <c r="AW84" i="8"/>
  <c r="AX84" i="8"/>
  <c r="AU85" i="8"/>
  <c r="AV85" i="8"/>
  <c r="AW85" i="8"/>
  <c r="AX85" i="8"/>
  <c r="AU18" i="8"/>
  <c r="AV18" i="8"/>
  <c r="AW18" i="8"/>
  <c r="AX18" i="8"/>
  <c r="AU17" i="8"/>
  <c r="AV17" i="8"/>
  <c r="AW17" i="8"/>
  <c r="AX17" i="8"/>
  <c r="D42" i="25" a="1"/>
  <c r="D42" i="24" a="1"/>
  <c r="AU64" i="8"/>
  <c r="AV64" i="8"/>
  <c r="AW64" i="8"/>
  <c r="AX64" i="8"/>
  <c r="AU65" i="8"/>
  <c r="AV65" i="8"/>
  <c r="AW65" i="8"/>
  <c r="AX65" i="8"/>
  <c r="AU66" i="8"/>
  <c r="AV66" i="8"/>
  <c r="AW66" i="8"/>
  <c r="AX66" i="8"/>
  <c r="AU67" i="8"/>
  <c r="AV67" i="8"/>
  <c r="AW67" i="8"/>
  <c r="AX67" i="8"/>
  <c r="AU68" i="8"/>
  <c r="AV68" i="8"/>
  <c r="AW68" i="8"/>
  <c r="AX68" i="8"/>
  <c r="AU69" i="8"/>
  <c r="AV69" i="8"/>
  <c r="AW69" i="8"/>
  <c r="AX69" i="8"/>
  <c r="AU70" i="8"/>
  <c r="AV70" i="8"/>
  <c r="AW70" i="8"/>
  <c r="AX70" i="8"/>
  <c r="AU71" i="8"/>
  <c r="AV71" i="8"/>
  <c r="AW71" i="8"/>
  <c r="AX71" i="8"/>
  <c r="AU72" i="8"/>
  <c r="AV72" i="8"/>
  <c r="AW72" i="8"/>
  <c r="AX72" i="8"/>
  <c r="AU73" i="8"/>
  <c r="AV73" i="8"/>
  <c r="AW73" i="8"/>
  <c r="AX73" i="8"/>
  <c r="D42" i="29" a="1"/>
  <c r="D39" i="20" a="1"/>
  <c r="D39" i="20" s="1"/>
  <c r="D42" i="20" a="1"/>
  <c r="D39" i="29" a="1"/>
  <c r="D39" i="29" s="1"/>
  <c r="D77" i="29" a="1"/>
  <c r="D77" i="29" s="1"/>
  <c r="D76" i="29" a="1"/>
  <c r="D76" i="29" s="1"/>
  <c r="D75" i="29" a="1"/>
  <c r="D75" i="29" s="1"/>
  <c r="D74" i="29" a="1"/>
  <c r="D74" i="29" s="1"/>
  <c r="D73" i="29" a="1"/>
  <c r="D73" i="29" s="1"/>
  <c r="D72" i="29" a="1"/>
  <c r="D72" i="29" s="1"/>
  <c r="D71" i="29" a="1"/>
  <c r="D71" i="29" s="1"/>
  <c r="D70" i="29" a="1"/>
  <c r="D70" i="29" s="1"/>
  <c r="D69" i="29" a="1"/>
  <c r="D69" i="29" s="1"/>
  <c r="D68" i="29" a="1"/>
  <c r="D68" i="29" s="1"/>
  <c r="D67" i="29" a="1"/>
  <c r="D67" i="29" s="1"/>
  <c r="D66" i="29" a="1"/>
  <c r="D66" i="29" s="1"/>
  <c r="D65" i="29" a="1"/>
  <c r="D65" i="29" s="1"/>
  <c r="D64" i="29" a="1"/>
  <c r="D64" i="29" s="1"/>
  <c r="D63" i="29" a="1"/>
  <c r="D63" i="29" s="1"/>
  <c r="D62" i="29" a="1"/>
  <c r="D62" i="29" s="1"/>
  <c r="D61" i="29" a="1"/>
  <c r="D61" i="29" s="1"/>
  <c r="D60" i="29" a="1"/>
  <c r="D60" i="29" s="1"/>
  <c r="D59" i="29" a="1"/>
  <c r="D59" i="29" s="1"/>
  <c r="D58" i="29" a="1"/>
  <c r="D58" i="29" s="1"/>
  <c r="D57" i="29" a="1"/>
  <c r="D57" i="29" s="1"/>
  <c r="D56" i="29" a="1"/>
  <c r="D56" i="29" s="1"/>
  <c r="D55" i="29" a="1"/>
  <c r="D55" i="29" s="1"/>
  <c r="D54" i="29" a="1"/>
  <c r="D54" i="29" s="1"/>
  <c r="D53" i="29" a="1"/>
  <c r="D53" i="29" s="1"/>
  <c r="D52" i="29" a="1"/>
  <c r="D52" i="29" s="1"/>
  <c r="D51" i="29" a="1"/>
  <c r="D51" i="29" s="1"/>
  <c r="D50" i="29" a="1"/>
  <c r="D50" i="29" s="1"/>
  <c r="D49" i="29" a="1"/>
  <c r="D49" i="29" s="1"/>
  <c r="D48" i="29" a="1"/>
  <c r="D48" i="29" s="1"/>
  <c r="D47" i="29" a="1"/>
  <c r="D47" i="29" s="1"/>
  <c r="D46" i="29" a="1"/>
  <c r="D46" i="29" s="1"/>
  <c r="D45" i="29" a="1"/>
  <c r="D45" i="29" s="1"/>
  <c r="D56" i="26" a="1"/>
  <c r="D32" i="29" a="1"/>
  <c r="D44" i="29" a="1"/>
  <c r="D44" i="29" s="1"/>
  <c r="D43" i="29" a="1"/>
  <c r="D43" i="29" s="1"/>
  <c r="D56" i="20" a="1"/>
  <c r="D56" i="20" s="1"/>
  <c r="D56" i="28" a="1"/>
  <c r="D56" i="28" s="1"/>
  <c r="D56" i="21" a="1"/>
  <c r="D56" i="21" s="1"/>
  <c r="D56" i="22" a="1"/>
  <c r="D56" i="24" a="1"/>
  <c r="D56" i="24" s="1"/>
  <c r="D32" i="24" a="1"/>
  <c r="D43" i="24" a="1"/>
  <c r="D43" i="24" s="1"/>
  <c r="D44" i="24" a="1"/>
  <c r="D44" i="24" s="1"/>
  <c r="D45" i="24" a="1"/>
  <c r="D45" i="24" s="1"/>
  <c r="D46" i="24" a="1"/>
  <c r="D46" i="24" s="1"/>
  <c r="D47" i="24" a="1"/>
  <c r="D47" i="24" s="1"/>
  <c r="D48" i="24" a="1"/>
  <c r="D48" i="24" s="1"/>
  <c r="D49" i="24" a="1"/>
  <c r="D49" i="24" s="1"/>
  <c r="D50" i="24" a="1"/>
  <c r="D50" i="24" s="1"/>
  <c r="D51" i="24" a="1"/>
  <c r="D51" i="24" s="1"/>
  <c r="D52" i="24" a="1"/>
  <c r="D52" i="24" s="1"/>
  <c r="D53" i="24" a="1"/>
  <c r="D53" i="24" s="1"/>
  <c r="D54" i="24" a="1"/>
  <c r="D54" i="24" s="1"/>
  <c r="D55" i="24" a="1"/>
  <c r="D55" i="24" s="1"/>
  <c r="D57" i="24" a="1"/>
  <c r="D57" i="24" s="1"/>
  <c r="D58" i="24" a="1"/>
  <c r="D58" i="24" s="1"/>
  <c r="D59" i="24" a="1"/>
  <c r="D59" i="24" s="1"/>
  <c r="D60" i="24" a="1"/>
  <c r="D60" i="24" s="1"/>
  <c r="D61" i="24" a="1"/>
  <c r="D61" i="24" s="1"/>
  <c r="D62" i="24" a="1"/>
  <c r="D62" i="24" s="1"/>
  <c r="D63" i="24" a="1"/>
  <c r="D63" i="24" s="1"/>
  <c r="D64" i="24" a="1"/>
  <c r="D64" i="24" s="1"/>
  <c r="D65" i="24" a="1"/>
  <c r="D65" i="24" s="1"/>
  <c r="D66" i="24" a="1"/>
  <c r="D66" i="24" s="1"/>
  <c r="D67" i="24" a="1"/>
  <c r="D67" i="24" s="1"/>
  <c r="D68" i="24" a="1"/>
  <c r="D68" i="24" s="1"/>
  <c r="D69" i="24" a="1"/>
  <c r="D69" i="24" s="1"/>
  <c r="D70" i="24" a="1"/>
  <c r="D70" i="24" s="1"/>
  <c r="D71" i="24" a="1"/>
  <c r="D71" i="24" s="1"/>
  <c r="D72" i="24" a="1"/>
  <c r="D72" i="24" s="1"/>
  <c r="D73" i="24" a="1"/>
  <c r="D73" i="24" s="1"/>
  <c r="D74" i="24" a="1"/>
  <c r="D74" i="24" s="1"/>
  <c r="D75" i="24" a="1"/>
  <c r="D75" i="24" s="1"/>
  <c r="D76" i="24" a="1"/>
  <c r="D76" i="24" s="1"/>
  <c r="D77" i="24" a="1"/>
  <c r="D77" i="24" s="1"/>
  <c r="D39" i="24" a="1"/>
  <c r="D39" i="24" s="1"/>
  <c r="D56" i="25" a="1"/>
  <c r="D56" i="25" s="1"/>
  <c r="AU51" i="8"/>
  <c r="AV51" i="8"/>
  <c r="AW51" i="8"/>
  <c r="AX51" i="8"/>
  <c r="AU52" i="8"/>
  <c r="AV52" i="8"/>
  <c r="AW52" i="8"/>
  <c r="AX52" i="8"/>
  <c r="AU53" i="8"/>
  <c r="AV53" i="8"/>
  <c r="AW53" i="8"/>
  <c r="AX53" i="8"/>
  <c r="AU54" i="8"/>
  <c r="AV54" i="8"/>
  <c r="AW54" i="8"/>
  <c r="AX54" i="8"/>
  <c r="AU55" i="8"/>
  <c r="AV55" i="8"/>
  <c r="AW55" i="8"/>
  <c r="AX55" i="8"/>
  <c r="AU56" i="8"/>
  <c r="AV56" i="8"/>
  <c r="AW56" i="8"/>
  <c r="AX56" i="8"/>
  <c r="AU57" i="8"/>
  <c r="AV57" i="8"/>
  <c r="AW57" i="8"/>
  <c r="AX57" i="8"/>
  <c r="AU58" i="8"/>
  <c r="AV58" i="8"/>
  <c r="AW58" i="8"/>
  <c r="AX58" i="8"/>
  <c r="AU59" i="8"/>
  <c r="AV59" i="8"/>
  <c r="AW59" i="8"/>
  <c r="AX59" i="8"/>
  <c r="AU60" i="8"/>
  <c r="AV60" i="8"/>
  <c r="AW60" i="8"/>
  <c r="AX60" i="8"/>
  <c r="AU61" i="8"/>
  <c r="AV61" i="8"/>
  <c r="AW61" i="8"/>
  <c r="AX61" i="8"/>
  <c r="AU62" i="8"/>
  <c r="AV62" i="8"/>
  <c r="AW62" i="8"/>
  <c r="AX62" i="8"/>
  <c r="AU63" i="8"/>
  <c r="AV63" i="8"/>
  <c r="AW63" i="8"/>
  <c r="AX63" i="8"/>
  <c r="D56" i="22" l="1"/>
  <c r="D56" i="26"/>
  <c r="Q56" i="26"/>
  <c r="R56" i="26" s="1"/>
  <c r="D42" i="25"/>
  <c r="N33" i="29"/>
  <c r="N34" i="29" s="1"/>
  <c r="O78" i="29"/>
  <c r="D32" i="29"/>
  <c r="D42" i="24"/>
  <c r="D78" i="24" s="1"/>
  <c r="M33" i="24"/>
  <c r="M34" i="24" s="1"/>
  <c r="M78" i="24"/>
  <c r="D42" i="20"/>
  <c r="D42" i="29"/>
  <c r="D78" i="29" s="1"/>
  <c r="N78" i="29"/>
  <c r="M78" i="29"/>
  <c r="M33" i="29"/>
  <c r="M34" i="29" s="1"/>
  <c r="D32" i="24"/>
  <c r="L33" i="29"/>
  <c r="L34" i="29" s="1"/>
  <c r="L78" i="29"/>
  <c r="L33" i="24"/>
  <c r="L34" i="24" s="1"/>
  <c r="L78" i="24"/>
  <c r="K78" i="24"/>
  <c r="K33" i="24"/>
  <c r="K34" i="24" s="1"/>
  <c r="K78" i="29"/>
  <c r="J33" i="24"/>
  <c r="J34" i="24" s="1"/>
  <c r="E78" i="24"/>
  <c r="H78" i="24"/>
  <c r="J78" i="24"/>
  <c r="I78" i="24"/>
  <c r="G78" i="24"/>
  <c r="F78" i="24"/>
  <c r="AB8" i="3"/>
  <c r="AA8" i="3"/>
  <c r="Z8" i="3"/>
  <c r="V8" i="3"/>
  <c r="W8" i="3"/>
  <c r="U8" i="3"/>
  <c r="D24" i="29" l="1" a="1"/>
  <c r="D24" i="29" s="1"/>
  <c r="D23" i="29" a="1"/>
  <c r="D23" i="29" s="1"/>
  <c r="D7" i="26"/>
  <c r="D6" i="26"/>
  <c r="D5" i="26"/>
  <c r="D7" i="25"/>
  <c r="D6" i="25"/>
  <c r="D5" i="25"/>
  <c r="D7" i="24"/>
  <c r="D6" i="24"/>
  <c r="D5" i="24"/>
  <c r="D2" i="24"/>
  <c r="D7" i="22"/>
  <c r="D6" i="22"/>
  <c r="D5" i="22"/>
  <c r="D2" i="22"/>
  <c r="D7" i="21"/>
  <c r="D6" i="21"/>
  <c r="D5" i="21"/>
  <c r="D2" i="21"/>
  <c r="D7" i="28"/>
  <c r="D6" i="28"/>
  <c r="D5" i="28"/>
  <c r="D2" i="28"/>
  <c r="D5" i="20"/>
  <c r="D6" i="20"/>
  <c r="D7" i="20"/>
  <c r="D2" i="20"/>
  <c r="D3" i="29"/>
  <c r="AU40" i="8"/>
  <c r="AV40" i="8"/>
  <c r="AW40" i="8"/>
  <c r="AX40" i="8"/>
  <c r="AU41" i="8"/>
  <c r="AV41" i="8"/>
  <c r="AW41" i="8"/>
  <c r="AX41" i="8"/>
  <c r="AU42" i="8"/>
  <c r="AV42" i="8"/>
  <c r="AW42" i="8"/>
  <c r="AX42" i="8"/>
  <c r="AU43" i="8"/>
  <c r="AV43" i="8"/>
  <c r="AW43" i="8"/>
  <c r="AX43" i="8"/>
  <c r="AU44" i="8"/>
  <c r="AV44" i="8"/>
  <c r="AW44" i="8"/>
  <c r="AX44" i="8"/>
  <c r="AU45" i="8"/>
  <c r="AV45" i="8"/>
  <c r="AW45" i="8"/>
  <c r="AX45" i="8"/>
  <c r="AU46" i="8"/>
  <c r="AV46" i="8"/>
  <c r="AW46" i="8"/>
  <c r="AX46" i="8"/>
  <c r="AU47" i="8"/>
  <c r="AV47" i="8"/>
  <c r="AW47" i="8"/>
  <c r="AX47" i="8"/>
  <c r="AU48" i="8"/>
  <c r="AV48" i="8"/>
  <c r="AW48" i="8"/>
  <c r="AX48" i="8"/>
  <c r="AU49" i="8"/>
  <c r="AV49" i="8"/>
  <c r="AW49" i="8"/>
  <c r="AX49" i="8"/>
  <c r="AU50" i="8"/>
  <c r="AV50" i="8"/>
  <c r="AW50" i="8"/>
  <c r="AX50" i="8"/>
  <c r="D32" i="21" a="1"/>
  <c r="AU31" i="8"/>
  <c r="AV31" i="8"/>
  <c r="AW31" i="8"/>
  <c r="AX31" i="8"/>
  <c r="AU32" i="8"/>
  <c r="AV32" i="8"/>
  <c r="AW32" i="8"/>
  <c r="AX32" i="8"/>
  <c r="AU33" i="8"/>
  <c r="AV33" i="8"/>
  <c r="AW33" i="8"/>
  <c r="AX33" i="8"/>
  <c r="AU34" i="8"/>
  <c r="AV34" i="8"/>
  <c r="AW34" i="8"/>
  <c r="AX34" i="8"/>
  <c r="AU35" i="8"/>
  <c r="AV35" i="8"/>
  <c r="AW35" i="8"/>
  <c r="AX35" i="8"/>
  <c r="AU36" i="8"/>
  <c r="AV36" i="8"/>
  <c r="AW36" i="8"/>
  <c r="AX36" i="8"/>
  <c r="AU37" i="8"/>
  <c r="AV37" i="8"/>
  <c r="AW37" i="8"/>
  <c r="AX37" i="8"/>
  <c r="AU38" i="8"/>
  <c r="AV38" i="8"/>
  <c r="AW38" i="8"/>
  <c r="AX38" i="8"/>
  <c r="AU39" i="8"/>
  <c r="AV39" i="8"/>
  <c r="AW39" i="8"/>
  <c r="AX39" i="8"/>
  <c r="D3" i="20" l="1"/>
  <c r="D3" i="25"/>
  <c r="D3" i="26"/>
  <c r="O31" i="29"/>
  <c r="N30" i="29"/>
  <c r="N36" i="29" s="1"/>
  <c r="M35" i="29"/>
  <c r="N35" i="29"/>
  <c r="D32" i="21"/>
  <c r="L35" i="29"/>
  <c r="L30" i="29"/>
  <c r="L38" i="29" s="1"/>
  <c r="M30" i="29"/>
  <c r="M36" i="29" s="1"/>
  <c r="D3" i="22"/>
  <c r="K33" i="29"/>
  <c r="K34" i="29" s="1"/>
  <c r="K30" i="29"/>
  <c r="K38" i="29" s="1"/>
  <c r="J30" i="29"/>
  <c r="J36" i="29" s="1"/>
  <c r="J35" i="29"/>
  <c r="H35" i="29"/>
  <c r="K35" i="29"/>
  <c r="D3" i="28"/>
  <c r="D3" i="21"/>
  <c r="E35" i="29"/>
  <c r="G35" i="29"/>
  <c r="I35" i="29"/>
  <c r="D4" i="29"/>
  <c r="D3" i="24"/>
  <c r="J33" i="29"/>
  <c r="J78" i="29"/>
  <c r="I78" i="29"/>
  <c r="H30" i="29"/>
  <c r="H38" i="29" s="1"/>
  <c r="F30" i="29"/>
  <c r="F38" i="29" s="1"/>
  <c r="G30" i="29"/>
  <c r="G36" i="29" s="1"/>
  <c r="I30" i="29"/>
  <c r="G33" i="29"/>
  <c r="G34" i="29" s="1"/>
  <c r="E30" i="29"/>
  <c r="E33" i="29"/>
  <c r="E34" i="29" s="1"/>
  <c r="I33" i="29"/>
  <c r="I34" i="29" s="1"/>
  <c r="F33" i="29"/>
  <c r="F34" i="29" s="1"/>
  <c r="H33" i="29"/>
  <c r="H34" i="29" s="1"/>
  <c r="F35" i="29"/>
  <c r="E78" i="29"/>
  <c r="F78" i="29"/>
  <c r="G78" i="29"/>
  <c r="H78" i="29"/>
  <c r="AU20" i="8"/>
  <c r="AV20" i="8"/>
  <c r="AW20" i="8"/>
  <c r="AX20" i="8"/>
  <c r="M37" i="29" l="1"/>
  <c r="M122" i="29" s="1"/>
  <c r="N37" i="29"/>
  <c r="N119" i="29" s="1"/>
  <c r="N31" i="29"/>
  <c r="N38" i="29"/>
  <c r="M31" i="29"/>
  <c r="M38" i="29"/>
  <c r="L31" i="29"/>
  <c r="L36" i="29"/>
  <c r="D35" i="29"/>
  <c r="D30" i="29"/>
  <c r="D36" i="29" s="1"/>
  <c r="J31" i="29"/>
  <c r="K31" i="29"/>
  <c r="J38" i="29"/>
  <c r="K36" i="29"/>
  <c r="D4" i="22"/>
  <c r="D4" i="21"/>
  <c r="D4" i="28"/>
  <c r="D4" i="26"/>
  <c r="D4" i="24"/>
  <c r="D4" i="20"/>
  <c r="D4" i="25"/>
  <c r="J37" i="29"/>
  <c r="J119" i="29" s="1"/>
  <c r="J34" i="29"/>
  <c r="H36" i="29"/>
  <c r="G37" i="29"/>
  <c r="G121" i="29" s="1"/>
  <c r="I38" i="29"/>
  <c r="I31" i="29"/>
  <c r="F31" i="29"/>
  <c r="F36" i="29"/>
  <c r="E31" i="29"/>
  <c r="E38" i="29"/>
  <c r="E36" i="29"/>
  <c r="G31" i="29"/>
  <c r="G38" i="29"/>
  <c r="D33" i="29"/>
  <c r="H31" i="29"/>
  <c r="I36" i="29"/>
  <c r="AU28" i="8"/>
  <c r="AV28" i="8"/>
  <c r="AW28" i="8"/>
  <c r="AX28" i="8"/>
  <c r="AU29" i="8"/>
  <c r="AV29" i="8"/>
  <c r="AW29" i="8"/>
  <c r="AX29" i="8"/>
  <c r="AU30" i="8"/>
  <c r="AV30" i="8"/>
  <c r="AW30" i="8"/>
  <c r="AX30" i="8"/>
  <c r="AU19" i="8"/>
  <c r="AV19" i="8"/>
  <c r="AW19" i="8"/>
  <c r="AX19" i="8"/>
  <c r="AU21" i="8"/>
  <c r="AV21" i="8"/>
  <c r="AW21" i="8"/>
  <c r="AX21" i="8"/>
  <c r="AU22" i="8"/>
  <c r="AV22" i="8"/>
  <c r="AW22" i="8"/>
  <c r="AX22" i="8"/>
  <c r="AU23" i="8"/>
  <c r="AV23" i="8"/>
  <c r="AW23" i="8"/>
  <c r="AX23" i="8"/>
  <c r="AU24" i="8"/>
  <c r="AV24" i="8"/>
  <c r="AW24" i="8"/>
  <c r="AX24" i="8"/>
  <c r="AU25" i="8"/>
  <c r="AV25" i="8"/>
  <c r="AW25" i="8"/>
  <c r="AX25" i="8"/>
  <c r="AU26" i="8"/>
  <c r="AV26" i="8"/>
  <c r="AW26" i="8"/>
  <c r="AX26" i="8"/>
  <c r="AU27" i="8"/>
  <c r="AV27" i="8"/>
  <c r="AW27" i="8"/>
  <c r="AX27" i="8"/>
  <c r="M125" i="29" l="1"/>
  <c r="M121" i="29"/>
  <c r="G119" i="29"/>
  <c r="J126" i="29"/>
  <c r="J122" i="29"/>
  <c r="J121" i="29"/>
  <c r="G125" i="29"/>
  <c r="G120" i="29"/>
  <c r="N120" i="29"/>
  <c r="N126" i="29"/>
  <c r="M120" i="29"/>
  <c r="M126" i="29"/>
  <c r="J125" i="29"/>
  <c r="J120" i="29"/>
  <c r="G126" i="29"/>
  <c r="G122" i="29"/>
  <c r="N122" i="29"/>
  <c r="H37" i="29"/>
  <c r="H115" i="29" s="1"/>
  <c r="N125" i="29"/>
  <c r="M119" i="29"/>
  <c r="N121" i="29"/>
  <c r="J26" i="29"/>
  <c r="J115" i="29"/>
  <c r="G101" i="29"/>
  <c r="G115" i="29"/>
  <c r="N25" i="29"/>
  <c r="N115" i="29"/>
  <c r="M88" i="29"/>
  <c r="M115" i="29"/>
  <c r="M86" i="29"/>
  <c r="N95" i="29"/>
  <c r="M106" i="29"/>
  <c r="N102" i="29"/>
  <c r="N91" i="29"/>
  <c r="N80" i="29"/>
  <c r="N101" i="29"/>
  <c r="N90" i="29"/>
  <c r="M92" i="29"/>
  <c r="N87" i="29"/>
  <c r="N26" i="29"/>
  <c r="M101" i="29"/>
  <c r="M87" i="29"/>
  <c r="M97" i="29"/>
  <c r="N106" i="29"/>
  <c r="M96" i="29"/>
  <c r="N84" i="29"/>
  <c r="M85" i="29"/>
  <c r="N105" i="29"/>
  <c r="N82" i="29"/>
  <c r="M95" i="29"/>
  <c r="N103" i="29"/>
  <c r="M84" i="29"/>
  <c r="N92" i="29"/>
  <c r="M105" i="29"/>
  <c r="N81" i="29"/>
  <c r="M94" i="29"/>
  <c r="M83" i="29"/>
  <c r="M104" i="29"/>
  <c r="M93" i="29"/>
  <c r="M82" i="29"/>
  <c r="M103" i="29"/>
  <c r="N98" i="29"/>
  <c r="M102" i="29"/>
  <c r="M91" i="29"/>
  <c r="M98" i="29"/>
  <c r="M80" i="29"/>
  <c r="M26" i="29"/>
  <c r="M81" i="29"/>
  <c r="M25" i="29"/>
  <c r="M100" i="29"/>
  <c r="M90" i="29"/>
  <c r="M89" i="29"/>
  <c r="M99" i="29"/>
  <c r="N85" i="29"/>
  <c r="N100" i="29"/>
  <c r="N97" i="29"/>
  <c r="N89" i="29"/>
  <c r="N86" i="29"/>
  <c r="N88" i="29"/>
  <c r="N96" i="29"/>
  <c r="N99" i="29"/>
  <c r="N94" i="29"/>
  <c r="N83" i="29"/>
  <c r="N104" i="29"/>
  <c r="N93" i="29"/>
  <c r="L37" i="29"/>
  <c r="L119" i="29" s="1"/>
  <c r="D38" i="29"/>
  <c r="K37" i="29"/>
  <c r="K122" i="29" s="1"/>
  <c r="D31" i="29"/>
  <c r="J25" i="29"/>
  <c r="J82" i="29"/>
  <c r="J92" i="29"/>
  <c r="J91" i="29"/>
  <c r="J105" i="29"/>
  <c r="J83" i="29"/>
  <c r="J104" i="29"/>
  <c r="J98" i="29"/>
  <c r="J97" i="29"/>
  <c r="J96" i="29"/>
  <c r="J95" i="29"/>
  <c r="J94" i="29"/>
  <c r="J93" i="29"/>
  <c r="J103" i="29"/>
  <c r="J81" i="29"/>
  <c r="J80" i="29"/>
  <c r="J101" i="29"/>
  <c r="J100" i="29"/>
  <c r="J99" i="29"/>
  <c r="J84" i="29"/>
  <c r="J102" i="29"/>
  <c r="J106" i="29"/>
  <c r="J90" i="29"/>
  <c r="J89" i="29"/>
  <c r="J88" i="29"/>
  <c r="J87" i="29"/>
  <c r="J86" i="29"/>
  <c r="J85" i="29"/>
  <c r="G88" i="29"/>
  <c r="D34" i="29"/>
  <c r="G97" i="29"/>
  <c r="G99" i="29"/>
  <c r="G81" i="29"/>
  <c r="D37" i="29"/>
  <c r="F37" i="29"/>
  <c r="F126" i="29" s="1"/>
  <c r="G100" i="29"/>
  <c r="G86" i="29"/>
  <c r="G80" i="29"/>
  <c r="G26" i="29"/>
  <c r="G25" i="29"/>
  <c r="G96" i="29"/>
  <c r="G89" i="29"/>
  <c r="G82" i="29"/>
  <c r="G91" i="29"/>
  <c r="G83" i="29"/>
  <c r="G93" i="29"/>
  <c r="G102" i="29"/>
  <c r="G92" i="29"/>
  <c r="G85" i="29"/>
  <c r="G105" i="29"/>
  <c r="I37" i="29"/>
  <c r="I119" i="29" s="1"/>
  <c r="G103" i="29"/>
  <c r="G104" i="29"/>
  <c r="G90" i="29"/>
  <c r="G94" i="29"/>
  <c r="G84" i="29"/>
  <c r="E37" i="29"/>
  <c r="E126" i="29" s="1"/>
  <c r="G95" i="29"/>
  <c r="G87" i="29"/>
  <c r="G106" i="29"/>
  <c r="G98" i="29"/>
  <c r="AU11" i="8"/>
  <c r="AV11" i="8"/>
  <c r="AW11" i="8"/>
  <c r="AX11" i="8"/>
  <c r="D77" i="28" a="1"/>
  <c r="D77" i="28" s="1"/>
  <c r="D76" i="28" a="1"/>
  <c r="D76" i="28" s="1"/>
  <c r="D75" i="28" a="1"/>
  <c r="D75" i="28" s="1"/>
  <c r="D74" i="28" a="1"/>
  <c r="D74" i="28" s="1"/>
  <c r="D73" i="28" a="1"/>
  <c r="D73" i="28" s="1"/>
  <c r="D72" i="28" a="1"/>
  <c r="D72" i="28" s="1"/>
  <c r="D71" i="28" a="1"/>
  <c r="D71" i="28" s="1"/>
  <c r="D70" i="28" a="1"/>
  <c r="D70" i="28" s="1"/>
  <c r="D69" i="28" a="1"/>
  <c r="D69" i="28" s="1"/>
  <c r="D68" i="28" a="1"/>
  <c r="D68" i="28" s="1"/>
  <c r="D67" i="28" a="1"/>
  <c r="D67" i="28" s="1"/>
  <c r="D66" i="28" a="1"/>
  <c r="D66" i="28" s="1"/>
  <c r="D65" i="28" a="1"/>
  <c r="D65" i="28" s="1"/>
  <c r="D64" i="28" a="1"/>
  <c r="D64" i="28" s="1"/>
  <c r="D63" i="28" a="1"/>
  <c r="D63" i="28" s="1"/>
  <c r="D62" i="28" a="1"/>
  <c r="D62" i="28" s="1"/>
  <c r="D61" i="28" a="1"/>
  <c r="D61" i="28" s="1"/>
  <c r="D60" i="28" a="1"/>
  <c r="D60" i="28" s="1"/>
  <c r="D59" i="28" a="1"/>
  <c r="D59" i="28" s="1"/>
  <c r="D58" i="28" a="1"/>
  <c r="D58" i="28" s="1"/>
  <c r="D57" i="28" a="1"/>
  <c r="D57" i="28" s="1"/>
  <c r="D55" i="28" a="1"/>
  <c r="D55" i="28" s="1"/>
  <c r="D54" i="28" a="1"/>
  <c r="D54" i="28" s="1"/>
  <c r="D53" i="28" a="1"/>
  <c r="D53" i="28" s="1"/>
  <c r="D52" i="28" a="1"/>
  <c r="D52" i="28" s="1"/>
  <c r="D51" i="28" a="1"/>
  <c r="D51" i="28" s="1"/>
  <c r="D50" i="28" a="1"/>
  <c r="D50" i="28" s="1"/>
  <c r="D49" i="28" a="1"/>
  <c r="D49" i="28" s="1"/>
  <c r="D48" i="28" a="1"/>
  <c r="D48" i="28" s="1"/>
  <c r="D47" i="28" a="1"/>
  <c r="D46" i="28" a="1"/>
  <c r="D46" i="28" s="1"/>
  <c r="D45" i="28" a="1"/>
  <c r="D45" i="28" s="1"/>
  <c r="D44" i="28" a="1"/>
  <c r="D44" i="28" s="1"/>
  <c r="D43" i="28" a="1"/>
  <c r="D43" i="28" s="1"/>
  <c r="D42" i="28" a="1"/>
  <c r="D39" i="28" a="1"/>
  <c r="D39" i="28" s="1"/>
  <c r="D32" i="28" a="1"/>
  <c r="D24" i="28" a="1"/>
  <c r="D24" i="28" s="1"/>
  <c r="D23" i="28" a="1"/>
  <c r="D23" i="28" s="1"/>
  <c r="D43" i="20" a="1"/>
  <c r="D44" i="20" a="1"/>
  <c r="D45" i="20" a="1"/>
  <c r="D46" i="20" a="1"/>
  <c r="D47" i="20" a="1"/>
  <c r="D48" i="20" a="1"/>
  <c r="D49" i="20" a="1"/>
  <c r="D50" i="20" a="1"/>
  <c r="D51" i="20" a="1"/>
  <c r="D52" i="20" a="1"/>
  <c r="D53" i="20" a="1"/>
  <c r="D54" i="20" a="1"/>
  <c r="D55" i="20" a="1"/>
  <c r="D57" i="20" a="1"/>
  <c r="D58" i="20" a="1"/>
  <c r="D59" i="20" a="1"/>
  <c r="D60" i="20" a="1"/>
  <c r="D61" i="20" a="1"/>
  <c r="D62" i="20" a="1"/>
  <c r="D63" i="20" a="1"/>
  <c r="D64" i="20" a="1"/>
  <c r="D64" i="20" s="1"/>
  <c r="D65" i="20" a="1"/>
  <c r="D65" i="20" s="1"/>
  <c r="D66" i="20" a="1"/>
  <c r="D66" i="20" s="1"/>
  <c r="D67" i="20" a="1"/>
  <c r="D67" i="20" s="1"/>
  <c r="D68" i="20" a="1"/>
  <c r="D68" i="20" s="1"/>
  <c r="D69" i="20" a="1"/>
  <c r="D69" i="20" s="1"/>
  <c r="D70" i="20" a="1"/>
  <c r="D70" i="20" s="1"/>
  <c r="D71" i="20" a="1"/>
  <c r="D71" i="20" s="1"/>
  <c r="D72" i="20" a="1"/>
  <c r="D73" i="20" a="1"/>
  <c r="D74" i="20" a="1"/>
  <c r="D75" i="20" a="1"/>
  <c r="D76" i="20" a="1"/>
  <c r="D77" i="20" a="1"/>
  <c r="D77" i="20" s="1"/>
  <c r="AU9" i="8"/>
  <c r="AV9" i="8"/>
  <c r="AW9" i="8"/>
  <c r="AX9" i="8"/>
  <c r="AU10" i="8"/>
  <c r="AV10" i="8"/>
  <c r="AW10" i="8"/>
  <c r="AX10" i="8"/>
  <c r="AU12" i="8"/>
  <c r="AV12" i="8"/>
  <c r="AW12" i="8"/>
  <c r="AX12" i="8"/>
  <c r="AU13" i="8"/>
  <c r="AV13" i="8"/>
  <c r="AW13" i="8"/>
  <c r="AX13" i="8"/>
  <c r="AU14" i="8"/>
  <c r="AV14" i="8"/>
  <c r="AW14" i="8"/>
  <c r="AX14" i="8"/>
  <c r="AU15" i="8"/>
  <c r="AV15" i="8"/>
  <c r="AW15" i="8"/>
  <c r="AX15" i="8"/>
  <c r="AU16" i="8"/>
  <c r="AV16" i="8"/>
  <c r="AW16" i="8"/>
  <c r="AX16" i="8"/>
  <c r="AV37" i="27"/>
  <c r="AW37" i="27" s="1"/>
  <c r="AV38" i="27"/>
  <c r="AW38" i="27" s="1"/>
  <c r="AV39" i="27"/>
  <c r="AW39" i="27"/>
  <c r="AV40" i="27"/>
  <c r="AW40" i="27"/>
  <c r="AV41" i="27"/>
  <c r="AW41" i="27"/>
  <c r="AV42" i="27"/>
  <c r="AW42" i="27" s="1"/>
  <c r="AV43" i="27"/>
  <c r="AW43" i="27" s="1"/>
  <c r="AV44" i="27"/>
  <c r="AW44" i="27" s="1"/>
  <c r="AV45" i="27"/>
  <c r="AW45" i="27" s="1"/>
  <c r="AV46" i="27"/>
  <c r="AW46" i="27"/>
  <c r="AV47" i="27"/>
  <c r="AW47" i="27" s="1"/>
  <c r="AV48" i="27"/>
  <c r="AW48" i="27"/>
  <c r="AV49" i="27"/>
  <c r="AW49" i="27"/>
  <c r="AV50" i="27"/>
  <c r="AW50" i="27" s="1"/>
  <c r="AV51" i="27"/>
  <c r="AW51" i="27"/>
  <c r="AV52" i="27"/>
  <c r="AW52" i="27"/>
  <c r="AV53" i="27"/>
  <c r="AW53" i="27"/>
  <c r="AV54" i="27"/>
  <c r="AW54" i="27"/>
  <c r="AV55" i="27"/>
  <c r="AW55" i="27" s="1"/>
  <c r="J123" i="29" l="1"/>
  <c r="M128" i="29"/>
  <c r="F122" i="29"/>
  <c r="I125" i="29"/>
  <c r="N135" i="29"/>
  <c r="N128" i="29"/>
  <c r="H85" i="29"/>
  <c r="G123" i="29"/>
  <c r="H26" i="29"/>
  <c r="J128" i="29"/>
  <c r="G128" i="29"/>
  <c r="F120" i="29"/>
  <c r="F121" i="29"/>
  <c r="M123" i="29"/>
  <c r="F119" i="29"/>
  <c r="F123" i="29" s="1"/>
  <c r="G135" i="29"/>
  <c r="E120" i="29"/>
  <c r="N123" i="29"/>
  <c r="K126" i="29"/>
  <c r="K121" i="29"/>
  <c r="K120" i="29"/>
  <c r="K119" i="29"/>
  <c r="K123" i="29" s="1"/>
  <c r="K125" i="29"/>
  <c r="M135" i="29"/>
  <c r="F125" i="29"/>
  <c r="F128" i="29" s="1"/>
  <c r="H92" i="29"/>
  <c r="H84" i="29"/>
  <c r="H97" i="29"/>
  <c r="E122" i="29"/>
  <c r="H86" i="29"/>
  <c r="H135" i="29" s="1"/>
  <c r="H88" i="29"/>
  <c r="G136" i="29" a="1"/>
  <c r="G136" i="29" s="1"/>
  <c r="H87" i="29"/>
  <c r="N140" i="29"/>
  <c r="N137" i="29"/>
  <c r="N139" i="29" s="1"/>
  <c r="L121" i="29"/>
  <c r="H105" i="29"/>
  <c r="J135" i="29"/>
  <c r="M136" i="29" a="1"/>
  <c r="M136" i="29" s="1"/>
  <c r="L120" i="29"/>
  <c r="L122" i="29"/>
  <c r="H94" i="29"/>
  <c r="I121" i="29"/>
  <c r="E121" i="29"/>
  <c r="H103" i="29"/>
  <c r="H91" i="29"/>
  <c r="H119" i="29"/>
  <c r="I126" i="29"/>
  <c r="I128" i="29" s="1"/>
  <c r="E125" i="29"/>
  <c r="E128" i="29" s="1"/>
  <c r="H83" i="29"/>
  <c r="H93" i="29"/>
  <c r="L126" i="29"/>
  <c r="H99" i="29"/>
  <c r="H101" i="29"/>
  <c r="J136" i="29" a="1"/>
  <c r="J136" i="29" s="1"/>
  <c r="H125" i="29"/>
  <c r="I120" i="29"/>
  <c r="H80" i="29"/>
  <c r="H126" i="29"/>
  <c r="I122" i="29"/>
  <c r="H96" i="29"/>
  <c r="M140" i="29"/>
  <c r="M137" i="29"/>
  <c r="M139" i="29" s="1"/>
  <c r="H122" i="29"/>
  <c r="H90" i="29"/>
  <c r="H100" i="29"/>
  <c r="H82" i="29"/>
  <c r="J137" i="29"/>
  <c r="J139" i="29" s="1"/>
  <c r="J140" i="29"/>
  <c r="L125" i="29"/>
  <c r="H104" i="29"/>
  <c r="H120" i="29"/>
  <c r="H25" i="29"/>
  <c r="E119" i="29"/>
  <c r="H95" i="29"/>
  <c r="G137" i="29"/>
  <c r="G139" i="29" s="1"/>
  <c r="G140" i="29"/>
  <c r="H89" i="29"/>
  <c r="H102" i="29"/>
  <c r="N136" i="29" a="1"/>
  <c r="N136" i="29" s="1"/>
  <c r="H98" i="29"/>
  <c r="H106" i="29"/>
  <c r="H81" i="29"/>
  <c r="H121" i="29"/>
  <c r="E102" i="29"/>
  <c r="E115" i="29"/>
  <c r="I85" i="29"/>
  <c r="I115" i="29"/>
  <c r="L99" i="29"/>
  <c r="L115" i="29"/>
  <c r="F101" i="29"/>
  <c r="F115" i="29"/>
  <c r="K25" i="29"/>
  <c r="K115" i="29"/>
  <c r="M107" i="29"/>
  <c r="M111" i="29" s="1"/>
  <c r="M109" i="29"/>
  <c r="N109" i="29"/>
  <c r="N107" i="29"/>
  <c r="M31" i="28"/>
  <c r="L31" i="28"/>
  <c r="M35" i="28"/>
  <c r="L35" i="28"/>
  <c r="N78" i="20"/>
  <c r="L78" i="28"/>
  <c r="M78" i="28"/>
  <c r="M33" i="20"/>
  <c r="M34" i="20" s="1"/>
  <c r="M78" i="20"/>
  <c r="L82" i="29"/>
  <c r="L81" i="29"/>
  <c r="L83" i="29"/>
  <c r="L80" i="29"/>
  <c r="L102" i="29"/>
  <c r="L105" i="29"/>
  <c r="L89" i="29"/>
  <c r="L84" i="29"/>
  <c r="L106" i="29"/>
  <c r="L88" i="29"/>
  <c r="L101" i="29"/>
  <c r="L96" i="29"/>
  <c r="L85" i="29"/>
  <c r="L95" i="29"/>
  <c r="L100" i="29"/>
  <c r="L94" i="29"/>
  <c r="L93" i="29"/>
  <c r="L92" i="29"/>
  <c r="L91" i="29"/>
  <c r="L90" i="29"/>
  <c r="L86" i="29"/>
  <c r="L87" i="29"/>
  <c r="L78" i="20"/>
  <c r="L33" i="20"/>
  <c r="L103" i="29"/>
  <c r="L25" i="29"/>
  <c r="L26" i="29"/>
  <c r="L97" i="29"/>
  <c r="K35" i="28"/>
  <c r="K30" i="28"/>
  <c r="K36" i="28" s="1"/>
  <c r="K78" i="28"/>
  <c r="K33" i="28"/>
  <c r="K34" i="28" s="1"/>
  <c r="L104" i="29"/>
  <c r="L98" i="29"/>
  <c r="K26" i="29"/>
  <c r="K96" i="29"/>
  <c r="K101" i="29"/>
  <c r="K104" i="29"/>
  <c r="K93" i="29"/>
  <c r="K89" i="29"/>
  <c r="K91" i="29"/>
  <c r="K90" i="29"/>
  <c r="K88" i="29"/>
  <c r="K85" i="29"/>
  <c r="K86" i="29"/>
  <c r="K84" i="29"/>
  <c r="K87" i="29"/>
  <c r="K92" i="29"/>
  <c r="K83" i="29"/>
  <c r="K82" i="29"/>
  <c r="K81" i="29"/>
  <c r="K95" i="29"/>
  <c r="K94" i="29"/>
  <c r="K106" i="29"/>
  <c r="K102" i="29"/>
  <c r="K100" i="29"/>
  <c r="K80" i="29"/>
  <c r="K97" i="29"/>
  <c r="K98" i="29"/>
  <c r="K105" i="29"/>
  <c r="K103" i="29"/>
  <c r="K99" i="29"/>
  <c r="D47" i="28"/>
  <c r="J33" i="28"/>
  <c r="J34" i="28" s="1"/>
  <c r="J78" i="28"/>
  <c r="I78" i="28"/>
  <c r="I33" i="28"/>
  <c r="I34" i="28" s="1"/>
  <c r="I35" i="28"/>
  <c r="J30" i="28"/>
  <c r="I30" i="28"/>
  <c r="I31" i="28" s="1"/>
  <c r="J35" i="28"/>
  <c r="J78" i="20"/>
  <c r="K33" i="20"/>
  <c r="K34" i="20" s="1"/>
  <c r="J33" i="20"/>
  <c r="J34" i="20" s="1"/>
  <c r="K78" i="20"/>
  <c r="J109" i="29"/>
  <c r="J107" i="29"/>
  <c r="J111" i="29" s="1"/>
  <c r="H30" i="28"/>
  <c r="H31" i="28" s="1"/>
  <c r="H35" i="28"/>
  <c r="H78" i="28"/>
  <c r="H33" i="28"/>
  <c r="H34" i="28" s="1"/>
  <c r="I91" i="29"/>
  <c r="I80" i="29"/>
  <c r="E106" i="29"/>
  <c r="E89" i="29"/>
  <c r="E100" i="29"/>
  <c r="F90" i="29"/>
  <c r="G109" i="29"/>
  <c r="F85" i="29"/>
  <c r="F89" i="29"/>
  <c r="F100" i="29"/>
  <c r="F82" i="29"/>
  <c r="F93" i="29"/>
  <c r="F104" i="29"/>
  <c r="F86" i="29"/>
  <c r="F97" i="29"/>
  <c r="E95" i="29"/>
  <c r="E88" i="29"/>
  <c r="E99" i="29"/>
  <c r="E81" i="29"/>
  <c r="E92" i="29"/>
  <c r="I102" i="29"/>
  <c r="E103" i="29"/>
  <c r="E85" i="29"/>
  <c r="E96" i="29"/>
  <c r="E97" i="29"/>
  <c r="E94" i="29"/>
  <c r="E105" i="29"/>
  <c r="E87" i="29"/>
  <c r="E98" i="29"/>
  <c r="I83" i="29"/>
  <c r="E80" i="29"/>
  <c r="I94" i="29"/>
  <c r="E91" i="29"/>
  <c r="E82" i="29"/>
  <c r="E86" i="29"/>
  <c r="I101" i="29"/>
  <c r="G107" i="29"/>
  <c r="E84" i="29"/>
  <c r="I95" i="29"/>
  <c r="F25" i="29"/>
  <c r="F26" i="29"/>
  <c r="I103" i="29"/>
  <c r="F102" i="29"/>
  <c r="F94" i="29"/>
  <c r="I26" i="29"/>
  <c r="I25" i="29"/>
  <c r="F83" i="29"/>
  <c r="E26" i="29"/>
  <c r="E25" i="29"/>
  <c r="I96" i="29"/>
  <c r="F84" i="29"/>
  <c r="F105" i="29"/>
  <c r="I84" i="29"/>
  <c r="I99" i="29"/>
  <c r="I81" i="29"/>
  <c r="F80" i="29"/>
  <c r="I88" i="29"/>
  <c r="F87" i="29"/>
  <c r="E93" i="29"/>
  <c r="I100" i="29"/>
  <c r="F106" i="29"/>
  <c r="F98" i="29"/>
  <c r="I92" i="29"/>
  <c r="F91" i="29"/>
  <c r="I89" i="29"/>
  <c r="F95" i="29"/>
  <c r="E104" i="29"/>
  <c r="I82" i="29"/>
  <c r="F88" i="29"/>
  <c r="D25" i="29"/>
  <c r="D104" i="29"/>
  <c r="D93" i="29"/>
  <c r="D82" i="29"/>
  <c r="D100" i="29"/>
  <c r="D96" i="29"/>
  <c r="D102" i="29"/>
  <c r="D92" i="29"/>
  <c r="D81" i="29"/>
  <c r="D99" i="29"/>
  <c r="D88" i="29"/>
  <c r="D101" i="29"/>
  <c r="D103" i="29"/>
  <c r="D91" i="29"/>
  <c r="D80" i="29"/>
  <c r="D98" i="29"/>
  <c r="D106" i="29"/>
  <c r="D86" i="29"/>
  <c r="D95" i="29"/>
  <c r="D84" i="29"/>
  <c r="D85" i="29"/>
  <c r="D89" i="29"/>
  <c r="D87" i="29"/>
  <c r="D26" i="29"/>
  <c r="D105" i="29"/>
  <c r="D94" i="29"/>
  <c r="D83" i="29"/>
  <c r="D90" i="29"/>
  <c r="D97" i="29"/>
  <c r="E90" i="29"/>
  <c r="I86" i="29"/>
  <c r="F92" i="29"/>
  <c r="I93" i="29"/>
  <c r="F99" i="29"/>
  <c r="F81" i="29"/>
  <c r="E101" i="29"/>
  <c r="I87" i="29"/>
  <c r="I97" i="29"/>
  <c r="F103" i="29"/>
  <c r="I105" i="29"/>
  <c r="I106" i="29"/>
  <c r="I104" i="29"/>
  <c r="E83" i="29"/>
  <c r="I98" i="29"/>
  <c r="I90" i="29"/>
  <c r="F96" i="29"/>
  <c r="I78" i="20"/>
  <c r="I33" i="20"/>
  <c r="I34" i="20" s="1"/>
  <c r="G35" i="28"/>
  <c r="G30" i="28"/>
  <c r="G31" i="28" s="1"/>
  <c r="H33" i="20"/>
  <c r="H34" i="20" s="1"/>
  <c r="H78" i="20"/>
  <c r="D32" i="28"/>
  <c r="G78" i="28"/>
  <c r="G33" i="28"/>
  <c r="D48" i="20"/>
  <c r="D45" i="20"/>
  <c r="G78" i="20"/>
  <c r="D63" i="20"/>
  <c r="D62" i="20"/>
  <c r="D61" i="20"/>
  <c r="D60" i="20"/>
  <c r="D59" i="20"/>
  <c r="D55" i="20"/>
  <c r="D54" i="20"/>
  <c r="D58" i="20"/>
  <c r="D76" i="20"/>
  <c r="D75" i="20"/>
  <c r="D53" i="20"/>
  <c r="D74" i="20"/>
  <c r="D52" i="20"/>
  <c r="D51" i="20"/>
  <c r="D72" i="20"/>
  <c r="D73" i="20"/>
  <c r="D50" i="20"/>
  <c r="D49" i="20"/>
  <c r="D57" i="20"/>
  <c r="D46" i="20"/>
  <c r="D47" i="20"/>
  <c r="D44" i="20"/>
  <c r="D43" i="20"/>
  <c r="D42" i="28"/>
  <c r="F78" i="28"/>
  <c r="F33" i="28"/>
  <c r="F34" i="28" s="1"/>
  <c r="F35" i="28"/>
  <c r="F30" i="28"/>
  <c r="F38" i="28" s="1"/>
  <c r="G33" i="20"/>
  <c r="G34" i="20" s="1"/>
  <c r="F33" i="20"/>
  <c r="F34" i="20" s="1"/>
  <c r="F78" i="20"/>
  <c r="E30" i="28"/>
  <c r="E38" i="28" s="1"/>
  <c r="E78" i="20"/>
  <c r="E33" i="20"/>
  <c r="E78" i="28"/>
  <c r="E35" i="28"/>
  <c r="E33" i="28"/>
  <c r="E34" i="28" s="1"/>
  <c r="AN37" i="27"/>
  <c r="AO37" i="27"/>
  <c r="AN38" i="27"/>
  <c r="AO38" i="27"/>
  <c r="AN39" i="27"/>
  <c r="AO39" i="27"/>
  <c r="AN40" i="27"/>
  <c r="AO40" i="27"/>
  <c r="AN41" i="27"/>
  <c r="AO41" i="27"/>
  <c r="AN42" i="27"/>
  <c r="AO42" i="27"/>
  <c r="AN43" i="27"/>
  <c r="AO43" i="27"/>
  <c r="AN44" i="27"/>
  <c r="AO44" i="27"/>
  <c r="AN45" i="27"/>
  <c r="AO45" i="27"/>
  <c r="AN46" i="27"/>
  <c r="AO46" i="27"/>
  <c r="AN47" i="27"/>
  <c r="AO47" i="27"/>
  <c r="AN48" i="27"/>
  <c r="AO48" i="27"/>
  <c r="AN49" i="27"/>
  <c r="AO49" i="27"/>
  <c r="AN50" i="27"/>
  <c r="AO50" i="27"/>
  <c r="AN51" i="27"/>
  <c r="AO51" i="27"/>
  <c r="AN52" i="27"/>
  <c r="AO52" i="27"/>
  <c r="AN53" i="27"/>
  <c r="AO53" i="27"/>
  <c r="AN54" i="27"/>
  <c r="AO54" i="27"/>
  <c r="AN55" i="27"/>
  <c r="AO55" i="27"/>
  <c r="AN56" i="27"/>
  <c r="AO56" i="27"/>
  <c r="AN57" i="27"/>
  <c r="AO57" i="27"/>
  <c r="AN58" i="27"/>
  <c r="AO58" i="27"/>
  <c r="AN59" i="27"/>
  <c r="AO59" i="27"/>
  <c r="AN60" i="27"/>
  <c r="AO60" i="27"/>
  <c r="AN61" i="27"/>
  <c r="AO61" i="27"/>
  <c r="AN62" i="27"/>
  <c r="AO62" i="27"/>
  <c r="AN63" i="27"/>
  <c r="AO63" i="27"/>
  <c r="AN64" i="27"/>
  <c r="AO64" i="27"/>
  <c r="AN65" i="27"/>
  <c r="AO65" i="27"/>
  <c r="AN66" i="27"/>
  <c r="AO66" i="27"/>
  <c r="AN67" i="27"/>
  <c r="AO67" i="27"/>
  <c r="AN68" i="27"/>
  <c r="AO68" i="27"/>
  <c r="AN69" i="27"/>
  <c r="AO69" i="27"/>
  <c r="AN70" i="27"/>
  <c r="AO70" i="27"/>
  <c r="AN71" i="27"/>
  <c r="AO71" i="27"/>
  <c r="AN72" i="27"/>
  <c r="AO72" i="27"/>
  <c r="AN73" i="27"/>
  <c r="AO73" i="27"/>
  <c r="AN74" i="27"/>
  <c r="AO74" i="27"/>
  <c r="AN75" i="27"/>
  <c r="AO75" i="27"/>
  <c r="AN76" i="27"/>
  <c r="AO76" i="27"/>
  <c r="AN77" i="27"/>
  <c r="AO77" i="27"/>
  <c r="AN78" i="27"/>
  <c r="AO78" i="27"/>
  <c r="AN79" i="27"/>
  <c r="AO79" i="27"/>
  <c r="AN80" i="27"/>
  <c r="AO80" i="27"/>
  <c r="AN81" i="27"/>
  <c r="AO81" i="27"/>
  <c r="AN82" i="27"/>
  <c r="AO82" i="27"/>
  <c r="AN83" i="27"/>
  <c r="AO83" i="27"/>
  <c r="AN84" i="27"/>
  <c r="AO84" i="27"/>
  <c r="AN85" i="27"/>
  <c r="AO85" i="27"/>
  <c r="AN86" i="27"/>
  <c r="AO86" i="27"/>
  <c r="AN87" i="27"/>
  <c r="AO87" i="27"/>
  <c r="AN88" i="27"/>
  <c r="AO88" i="27"/>
  <c r="AN89" i="27"/>
  <c r="AO89" i="27"/>
  <c r="AN90" i="27"/>
  <c r="AO90" i="27"/>
  <c r="AN91" i="27"/>
  <c r="AO91" i="27"/>
  <c r="AN92" i="27"/>
  <c r="AO92" i="27"/>
  <c r="AN93" i="27"/>
  <c r="AO93" i="27"/>
  <c r="AN94" i="27"/>
  <c r="AO94" i="27"/>
  <c r="AN95" i="27"/>
  <c r="AO95" i="27"/>
  <c r="AN96" i="27"/>
  <c r="AO96" i="27"/>
  <c r="AN97" i="27"/>
  <c r="AO97" i="27"/>
  <c r="AN98" i="27"/>
  <c r="AO98" i="27"/>
  <c r="AN99" i="27"/>
  <c r="AO99" i="27"/>
  <c r="AN100" i="27"/>
  <c r="AO100" i="27"/>
  <c r="AN101" i="27"/>
  <c r="AO101" i="27"/>
  <c r="AN102" i="27"/>
  <c r="AO102" i="27"/>
  <c r="AN103" i="27"/>
  <c r="AO103" i="27"/>
  <c r="AN104" i="27"/>
  <c r="AO104" i="27"/>
  <c r="AN105" i="27"/>
  <c r="AO105" i="27"/>
  <c r="AN106" i="27"/>
  <c r="AO106" i="27"/>
  <c r="AN107" i="27"/>
  <c r="AO107" i="27"/>
  <c r="AN108" i="27"/>
  <c r="AO108" i="27"/>
  <c r="AN109" i="27"/>
  <c r="AO109" i="27"/>
  <c r="AN110" i="27"/>
  <c r="AO110" i="27"/>
  <c r="AN111" i="27"/>
  <c r="AO111" i="27"/>
  <c r="AN112" i="27"/>
  <c r="AO112" i="27"/>
  <c r="AN113" i="27"/>
  <c r="AO113" i="27"/>
  <c r="AN114" i="27"/>
  <c r="AO114" i="27"/>
  <c r="AN115" i="27"/>
  <c r="AO115" i="27"/>
  <c r="AN116" i="27"/>
  <c r="AO116" i="27"/>
  <c r="AN117" i="27"/>
  <c r="AO117" i="27"/>
  <c r="AN118" i="27"/>
  <c r="AO118" i="27"/>
  <c r="AN119" i="27"/>
  <c r="AO119" i="27"/>
  <c r="AN120" i="27"/>
  <c r="AO120" i="27"/>
  <c r="AN121" i="27"/>
  <c r="AO121" i="27"/>
  <c r="AN122" i="27"/>
  <c r="AO122" i="27"/>
  <c r="AN123" i="27"/>
  <c r="AO123" i="27"/>
  <c r="AN124" i="27"/>
  <c r="AO124" i="27"/>
  <c r="AN125" i="27"/>
  <c r="AO125" i="27"/>
  <c r="AN126" i="27"/>
  <c r="AO126" i="27"/>
  <c r="AN127" i="27"/>
  <c r="AO127" i="27"/>
  <c r="AN128" i="27"/>
  <c r="AO128" i="27"/>
  <c r="AN129" i="27"/>
  <c r="AO129" i="27"/>
  <c r="AN130" i="27"/>
  <c r="AO130" i="27"/>
  <c r="AN131" i="27"/>
  <c r="AO131" i="27"/>
  <c r="AN132" i="27"/>
  <c r="AO132" i="27"/>
  <c r="AN133" i="27"/>
  <c r="AO133" i="27"/>
  <c r="AN134" i="27"/>
  <c r="AO134" i="27"/>
  <c r="AN135" i="27"/>
  <c r="AO135" i="27"/>
  <c r="AN136" i="27"/>
  <c r="AO136" i="27"/>
  <c r="AN137" i="27"/>
  <c r="AO137" i="27"/>
  <c r="AN138" i="27"/>
  <c r="AO138" i="27"/>
  <c r="AN139" i="27"/>
  <c r="AO139" i="27"/>
  <c r="AN140" i="27"/>
  <c r="AO140" i="27"/>
  <c r="AN141" i="27"/>
  <c r="AO141" i="27"/>
  <c r="AN142" i="27"/>
  <c r="AO142" i="27"/>
  <c r="AN143" i="27"/>
  <c r="AO143" i="27"/>
  <c r="AN144" i="27"/>
  <c r="AO144" i="27"/>
  <c r="AN145" i="27"/>
  <c r="AO145" i="27"/>
  <c r="AN146" i="27"/>
  <c r="AO146" i="27"/>
  <c r="AN147" i="27"/>
  <c r="AO147" i="27"/>
  <c r="AN148" i="27"/>
  <c r="AO148" i="27"/>
  <c r="AN149" i="27"/>
  <c r="AO149" i="27"/>
  <c r="AN150" i="27"/>
  <c r="AO150" i="27"/>
  <c r="AN151" i="27"/>
  <c r="AO151" i="27"/>
  <c r="AN152" i="27"/>
  <c r="AO152" i="27"/>
  <c r="AN153" i="27"/>
  <c r="AO153" i="27"/>
  <c r="AN154" i="27"/>
  <c r="AO154" i="27"/>
  <c r="AN155" i="27"/>
  <c r="AO155" i="27"/>
  <c r="AN156" i="27"/>
  <c r="AO156" i="27"/>
  <c r="AN157" i="27"/>
  <c r="AO157" i="27"/>
  <c r="AN158" i="27"/>
  <c r="AO158" i="27"/>
  <c r="AN159" i="27"/>
  <c r="AO159" i="27"/>
  <c r="AN160" i="27"/>
  <c r="AO160" i="27"/>
  <c r="AN161" i="27"/>
  <c r="AO161" i="27"/>
  <c r="AN162" i="27"/>
  <c r="AO162" i="27"/>
  <c r="AN163" i="27"/>
  <c r="AO163" i="27"/>
  <c r="AN164" i="27"/>
  <c r="AO164" i="27"/>
  <c r="AN165" i="27"/>
  <c r="AO165" i="27"/>
  <c r="AN166" i="27"/>
  <c r="AO166" i="27"/>
  <c r="AN167" i="27"/>
  <c r="AO167" i="27"/>
  <c r="AN168" i="27"/>
  <c r="AO168" i="27"/>
  <c r="AN169" i="27"/>
  <c r="AO169" i="27"/>
  <c r="AN170" i="27"/>
  <c r="AO170" i="27"/>
  <c r="AN171" i="27"/>
  <c r="AO171" i="27"/>
  <c r="AN172" i="27"/>
  <c r="AO172" i="27"/>
  <c r="AN173" i="27"/>
  <c r="AO173" i="27"/>
  <c r="AN174" i="27"/>
  <c r="AO174" i="27"/>
  <c r="AN175" i="27"/>
  <c r="AO175" i="27"/>
  <c r="AN176" i="27"/>
  <c r="AO176" i="27"/>
  <c r="AN177" i="27"/>
  <c r="AO177" i="27"/>
  <c r="AN178" i="27"/>
  <c r="AO178" i="27"/>
  <c r="AN179" i="27"/>
  <c r="AO179" i="27"/>
  <c r="AN180" i="27"/>
  <c r="AO180" i="27"/>
  <c r="AN181" i="27"/>
  <c r="AO181" i="27"/>
  <c r="AN182" i="27"/>
  <c r="AO182" i="27"/>
  <c r="AN183" i="27"/>
  <c r="AO183" i="27"/>
  <c r="AN184" i="27"/>
  <c r="AO184" i="27"/>
  <c r="AN185" i="27"/>
  <c r="AO185" i="27"/>
  <c r="AN186" i="27"/>
  <c r="AO186" i="27"/>
  <c r="AN187" i="27"/>
  <c r="AO187" i="27"/>
  <c r="AN188" i="27"/>
  <c r="AO188" i="27"/>
  <c r="AN189" i="27"/>
  <c r="AO189" i="27"/>
  <c r="AN190" i="27"/>
  <c r="AO190" i="27"/>
  <c r="AN191" i="27"/>
  <c r="AO191" i="27"/>
  <c r="AN192" i="27"/>
  <c r="AO192" i="27"/>
  <c r="AN193" i="27"/>
  <c r="AO193" i="27"/>
  <c r="AN194" i="27"/>
  <c r="AO194" i="27"/>
  <c r="AN195" i="27"/>
  <c r="AO195" i="27"/>
  <c r="AN196" i="27"/>
  <c r="AO196" i="27"/>
  <c r="AN197" i="27"/>
  <c r="AO197" i="27"/>
  <c r="AN198" i="27"/>
  <c r="AO198" i="27"/>
  <c r="AN199" i="27"/>
  <c r="AO199" i="27"/>
  <c r="AN200" i="27"/>
  <c r="AO200" i="27"/>
  <c r="AN201" i="27"/>
  <c r="AO201" i="27"/>
  <c r="AV34" i="27"/>
  <c r="AW34" i="27" s="1"/>
  <c r="AV35" i="27"/>
  <c r="AV36" i="27"/>
  <c r="AW36" i="27" s="1"/>
  <c r="AV3" i="27"/>
  <c r="AW3" i="27" s="1"/>
  <c r="AV4" i="27"/>
  <c r="AW4" i="27" s="1"/>
  <c r="AV5" i="27"/>
  <c r="AW5" i="27" s="1"/>
  <c r="AV6" i="27"/>
  <c r="AW6" i="27" s="1"/>
  <c r="AV7" i="27"/>
  <c r="AW7" i="27" s="1"/>
  <c r="AV8" i="27"/>
  <c r="AV9" i="27"/>
  <c r="AV10" i="27"/>
  <c r="AW10" i="27" s="1"/>
  <c r="AV11" i="27"/>
  <c r="AW11" i="27" s="1"/>
  <c r="AV12" i="27"/>
  <c r="AW12" i="27" s="1"/>
  <c r="AV13" i="27"/>
  <c r="AW13" i="27" s="1"/>
  <c r="AV14" i="27"/>
  <c r="AW14" i="27" s="1"/>
  <c r="AV15" i="27"/>
  <c r="AW15" i="27" s="1"/>
  <c r="AV16" i="27"/>
  <c r="AW16" i="27" s="1"/>
  <c r="AV17" i="27"/>
  <c r="AW17" i="27" s="1"/>
  <c r="AV18" i="27"/>
  <c r="AW18" i="27" s="1"/>
  <c r="AV19" i="27"/>
  <c r="AW19" i="27" s="1"/>
  <c r="AV20" i="27"/>
  <c r="AW20" i="27" s="1"/>
  <c r="AV21" i="27"/>
  <c r="AW21" i="27" s="1"/>
  <c r="AV22" i="27"/>
  <c r="AV23" i="27"/>
  <c r="AW23" i="27" s="1"/>
  <c r="AV24" i="27"/>
  <c r="AW24" i="27" s="1"/>
  <c r="AV25" i="27"/>
  <c r="AV26" i="27"/>
  <c r="AW26" i="27" s="1"/>
  <c r="AV27" i="27"/>
  <c r="AW27" i="27" s="1"/>
  <c r="AV28" i="27"/>
  <c r="AW28" i="27" s="1"/>
  <c r="AV29" i="27"/>
  <c r="AW29" i="27" s="1"/>
  <c r="AV30" i="27"/>
  <c r="AW30" i="27" s="1"/>
  <c r="AV31" i="27"/>
  <c r="AW31" i="27" s="1"/>
  <c r="AV32" i="27"/>
  <c r="AW32" i="27" s="1"/>
  <c r="AV33" i="27"/>
  <c r="AW33" i="27" s="1"/>
  <c r="AV2" i="27"/>
  <c r="AW2" i="27" s="1"/>
  <c r="AW22" i="27"/>
  <c r="AW25" i="27"/>
  <c r="AN20" i="27"/>
  <c r="AO20" i="27"/>
  <c r="AN21" i="27"/>
  <c r="AO21" i="27"/>
  <c r="AN22" i="27"/>
  <c r="AO22" i="27"/>
  <c r="AN23" i="27"/>
  <c r="AO23" i="27"/>
  <c r="AN24" i="27"/>
  <c r="AO24" i="27"/>
  <c r="AN25" i="27"/>
  <c r="AO25" i="27"/>
  <c r="AN26" i="27"/>
  <c r="AO26" i="27"/>
  <c r="AN27" i="27"/>
  <c r="AO27" i="27"/>
  <c r="AN28" i="27"/>
  <c r="AO28" i="27"/>
  <c r="AN29" i="27"/>
  <c r="AO29" i="27"/>
  <c r="AN30" i="27"/>
  <c r="AO30" i="27"/>
  <c r="AN31" i="27"/>
  <c r="AO31" i="27"/>
  <c r="AN32" i="27"/>
  <c r="AO32" i="27"/>
  <c r="AN33" i="27"/>
  <c r="AO33" i="27"/>
  <c r="AN34" i="27"/>
  <c r="AO34" i="27"/>
  <c r="AN35" i="27"/>
  <c r="AO35" i="27"/>
  <c r="AN36" i="27"/>
  <c r="AO36" i="27"/>
  <c r="AW8" i="27"/>
  <c r="AW9" i="27"/>
  <c r="AO3" i="27"/>
  <c r="AO4" i="27"/>
  <c r="AO5" i="27"/>
  <c r="AO6" i="27"/>
  <c r="AO7" i="27"/>
  <c r="AO8" i="27"/>
  <c r="AO9" i="27"/>
  <c r="AO10" i="27"/>
  <c r="AO11" i="27"/>
  <c r="AO12" i="27"/>
  <c r="AO13" i="27"/>
  <c r="AO14" i="27"/>
  <c r="AO15" i="27"/>
  <c r="AO16" i="27"/>
  <c r="AO17" i="27"/>
  <c r="AO18" i="27"/>
  <c r="AO19" i="27"/>
  <c r="AO2" i="27"/>
  <c r="AN9" i="27"/>
  <c r="AN10" i="27"/>
  <c r="AN11" i="27"/>
  <c r="AN12" i="27"/>
  <c r="AN13" i="27"/>
  <c r="AN14" i="27"/>
  <c r="AN15" i="27"/>
  <c r="AN16" i="27"/>
  <c r="AN17" i="27"/>
  <c r="AN18" i="27"/>
  <c r="AN19" i="27"/>
  <c r="AN3" i="27"/>
  <c r="AN4" i="27"/>
  <c r="AN5" i="27"/>
  <c r="AN6" i="27"/>
  <c r="AN7" i="27"/>
  <c r="AN8" i="27"/>
  <c r="AN2" i="27"/>
  <c r="AU8" i="8"/>
  <c r="AV8" i="8"/>
  <c r="AW8" i="8"/>
  <c r="AX8" i="8"/>
  <c r="D77" i="26" a="1"/>
  <c r="D76" i="26" a="1"/>
  <c r="D75" i="26" a="1"/>
  <c r="D74" i="26" a="1"/>
  <c r="D73" i="26" a="1"/>
  <c r="D72" i="26" a="1"/>
  <c r="D71" i="26" a="1"/>
  <c r="D70" i="26" a="1"/>
  <c r="D69" i="26" a="1"/>
  <c r="D68" i="26" a="1"/>
  <c r="D67" i="26" a="1"/>
  <c r="D66" i="26" a="1"/>
  <c r="D65" i="26" a="1"/>
  <c r="D64" i="26" a="1"/>
  <c r="D63" i="26" a="1"/>
  <c r="D62" i="26" a="1"/>
  <c r="D61" i="26" a="1"/>
  <c r="D60" i="26" a="1"/>
  <c r="D59" i="26" a="1"/>
  <c r="D58" i="26" a="1"/>
  <c r="D57" i="26" a="1"/>
  <c r="D55" i="26" a="1"/>
  <c r="D54" i="26" a="1"/>
  <c r="Q54" i="26" s="1"/>
  <c r="R54" i="26" s="1"/>
  <c r="D53" i="26" a="1"/>
  <c r="Q53" i="26" s="1"/>
  <c r="R53" i="26" s="1"/>
  <c r="D52" i="26" a="1"/>
  <c r="Q52" i="26" s="1"/>
  <c r="R52" i="26" s="1"/>
  <c r="D51" i="26" a="1"/>
  <c r="Q51" i="26" s="1"/>
  <c r="R51" i="26" s="1"/>
  <c r="D50" i="26" a="1"/>
  <c r="D49" i="26" a="1"/>
  <c r="D48" i="26" a="1"/>
  <c r="D47" i="26" a="1"/>
  <c r="D46" i="26" a="1"/>
  <c r="D45" i="26" a="1"/>
  <c r="D44" i="26" a="1"/>
  <c r="D43" i="26" a="1"/>
  <c r="D42" i="26" a="1"/>
  <c r="Q42" i="26" s="1"/>
  <c r="D39" i="26" a="1"/>
  <c r="D39" i="26" s="1"/>
  <c r="D32" i="26" a="1"/>
  <c r="D29" i="26" a="1"/>
  <c r="D28" i="26" a="1"/>
  <c r="D24" i="26" a="1"/>
  <c r="D24" i="26" s="1"/>
  <c r="D23" i="26" a="1"/>
  <c r="D23" i="26" s="1"/>
  <c r="D24" i="25" a="1"/>
  <c r="D24" i="25" s="1"/>
  <c r="D23" i="25" a="1"/>
  <c r="D23" i="25" s="1"/>
  <c r="D24" i="24" a="1"/>
  <c r="D24" i="24" s="1"/>
  <c r="D23" i="24" a="1"/>
  <c r="D23" i="24" s="1"/>
  <c r="D23" i="22" a="1"/>
  <c r="D23" i="22" s="1"/>
  <c r="D24" i="22" a="1"/>
  <c r="D24" i="21" a="1"/>
  <c r="D24" i="21" s="1"/>
  <c r="D24" i="20" a="1"/>
  <c r="D24" i="20" s="1"/>
  <c r="D77" i="25" a="1"/>
  <c r="D77" i="25" s="1"/>
  <c r="D76" i="25" a="1"/>
  <c r="D76" i="25" s="1"/>
  <c r="D75" i="25" a="1"/>
  <c r="D75" i="25" s="1"/>
  <c r="D74" i="25" a="1"/>
  <c r="D74" i="25" s="1"/>
  <c r="D73" i="25" a="1"/>
  <c r="D73" i="25" s="1"/>
  <c r="D72" i="25" a="1"/>
  <c r="D72" i="25" s="1"/>
  <c r="D71" i="25" a="1"/>
  <c r="D71" i="25" s="1"/>
  <c r="D70" i="25" a="1"/>
  <c r="D70" i="25" s="1"/>
  <c r="D69" i="25" a="1"/>
  <c r="D69" i="25" s="1"/>
  <c r="D68" i="25" a="1"/>
  <c r="D68" i="25" s="1"/>
  <c r="D67" i="25" a="1"/>
  <c r="D67" i="25" s="1"/>
  <c r="D66" i="25" a="1"/>
  <c r="D66" i="25" s="1"/>
  <c r="D65" i="25" a="1"/>
  <c r="D65" i="25" s="1"/>
  <c r="D64" i="25" a="1"/>
  <c r="D64" i="25" s="1"/>
  <c r="D63" i="25" a="1"/>
  <c r="D63" i="25" s="1"/>
  <c r="D62" i="25" a="1"/>
  <c r="D62" i="25" s="1"/>
  <c r="D61" i="25" a="1"/>
  <c r="D61" i="25" s="1"/>
  <c r="D60" i="25" a="1"/>
  <c r="D60" i="25" s="1"/>
  <c r="D59" i="25" a="1"/>
  <c r="D59" i="25" s="1"/>
  <c r="D58" i="25" a="1"/>
  <c r="D58" i="25" s="1"/>
  <c r="D57" i="25" a="1"/>
  <c r="D57" i="25" s="1"/>
  <c r="D55" i="25" a="1"/>
  <c r="D55" i="25" s="1"/>
  <c r="D54" i="25" a="1"/>
  <c r="D54" i="25" s="1"/>
  <c r="D53" i="25" a="1"/>
  <c r="D53" i="25" s="1"/>
  <c r="D52" i="25" a="1"/>
  <c r="D52" i="25" s="1"/>
  <c r="D51" i="25" a="1"/>
  <c r="D51" i="25" s="1"/>
  <c r="D50" i="25" a="1"/>
  <c r="D50" i="25" s="1"/>
  <c r="D49" i="25" a="1"/>
  <c r="D49" i="25" s="1"/>
  <c r="D48" i="25" a="1"/>
  <c r="D48" i="25" s="1"/>
  <c r="D47" i="25" a="1"/>
  <c r="D47" i="25" s="1"/>
  <c r="D46" i="25" a="1"/>
  <c r="D46" i="25" s="1"/>
  <c r="D45" i="25" a="1"/>
  <c r="D45" i="25" s="1"/>
  <c r="D44" i="25" a="1"/>
  <c r="D44" i="25" s="1"/>
  <c r="D43" i="25" a="1"/>
  <c r="D39" i="25" a="1"/>
  <c r="D39" i="25" s="1"/>
  <c r="D32" i="25" a="1"/>
  <c r="D29" i="25" a="1"/>
  <c r="D28" i="25" a="1"/>
  <c r="AU6" i="8"/>
  <c r="AV6" i="8"/>
  <c r="AW6" i="8"/>
  <c r="AX6" i="8"/>
  <c r="AU7" i="8"/>
  <c r="AV7" i="8"/>
  <c r="AW7" i="8"/>
  <c r="AX7" i="8"/>
  <c r="D29" i="24" a="1"/>
  <c r="D28" i="24" a="1"/>
  <c r="D77" i="22" a="1"/>
  <c r="D76" i="22" a="1"/>
  <c r="D75" i="22" a="1"/>
  <c r="D74" i="22" a="1"/>
  <c r="D73" i="22" a="1"/>
  <c r="D72" i="22" a="1"/>
  <c r="D71" i="22" a="1"/>
  <c r="D70" i="22" a="1"/>
  <c r="D69" i="22" a="1"/>
  <c r="D68" i="22" a="1"/>
  <c r="D67" i="22" a="1"/>
  <c r="D66" i="22" a="1"/>
  <c r="D65" i="22" a="1"/>
  <c r="D64" i="22" a="1"/>
  <c r="D63" i="22" a="1"/>
  <c r="D62" i="22" a="1"/>
  <c r="D61" i="22" a="1"/>
  <c r="D60" i="22" a="1"/>
  <c r="D59" i="22" a="1"/>
  <c r="D58" i="22" a="1"/>
  <c r="D57" i="22" a="1"/>
  <c r="D55" i="22" a="1"/>
  <c r="D54" i="22" a="1"/>
  <c r="D53" i="22" a="1"/>
  <c r="D52" i="22" a="1"/>
  <c r="D51" i="22" a="1"/>
  <c r="D50" i="22" a="1"/>
  <c r="D49" i="22" a="1"/>
  <c r="D48" i="22" a="1"/>
  <c r="D47" i="22" a="1"/>
  <c r="D46" i="22" a="1"/>
  <c r="D45" i="22" a="1"/>
  <c r="D77" i="21" a="1"/>
  <c r="D77" i="21" s="1"/>
  <c r="D76" i="21" a="1"/>
  <c r="D75" i="21" a="1"/>
  <c r="D74" i="21" a="1"/>
  <c r="D109" i="29" l="1"/>
  <c r="I135" i="29"/>
  <c r="H107" i="29"/>
  <c r="H111" i="29" s="1"/>
  <c r="L128" i="29"/>
  <c r="K135" i="29"/>
  <c r="I123" i="29"/>
  <c r="L135" i="29"/>
  <c r="H109" i="29"/>
  <c r="E136" i="29" a="1"/>
  <c r="E136" i="29" s="1"/>
  <c r="L123" i="29"/>
  <c r="K128" i="29"/>
  <c r="H128" i="29"/>
  <c r="E123" i="29"/>
  <c r="I137" i="29"/>
  <c r="I139" i="29" s="1"/>
  <c r="I140" i="29"/>
  <c r="E140" i="29"/>
  <c r="E137" i="29"/>
  <c r="E139" i="29" s="1"/>
  <c r="K136" i="29" a="1"/>
  <c r="K136" i="29" s="1"/>
  <c r="H136" i="29" a="1"/>
  <c r="H136" i="29" s="1"/>
  <c r="L140" i="29"/>
  <c r="L137" i="29"/>
  <c r="L139" i="29" s="1"/>
  <c r="E135" i="29"/>
  <c r="F137" i="29"/>
  <c r="F139" i="29" s="1"/>
  <c r="F140" i="29"/>
  <c r="K137" i="29"/>
  <c r="K139" i="29" s="1"/>
  <c r="K140" i="29"/>
  <c r="F135" i="29"/>
  <c r="L136" i="29" a="1"/>
  <c r="L136" i="29" s="1"/>
  <c r="H123" i="29"/>
  <c r="H140" i="29"/>
  <c r="H137" i="29"/>
  <c r="H139" i="29" s="1"/>
  <c r="I136" i="29" a="1"/>
  <c r="I136" i="29" s="1"/>
  <c r="F136" i="29" a="1"/>
  <c r="F136" i="29" s="1"/>
  <c r="D24" i="22"/>
  <c r="K149" i="22"/>
  <c r="G149" i="22"/>
  <c r="I149" i="22"/>
  <c r="L149" i="22"/>
  <c r="D47" i="26"/>
  <c r="Q47" i="26"/>
  <c r="R47" i="26" s="1"/>
  <c r="D51" i="22"/>
  <c r="D46" i="22"/>
  <c r="D50" i="22"/>
  <c r="D54" i="22"/>
  <c r="D57" i="26"/>
  <c r="Q57" i="26"/>
  <c r="R57" i="26" s="1"/>
  <c r="D60" i="22"/>
  <c r="D59" i="26"/>
  <c r="Q59" i="26"/>
  <c r="R59" i="26" s="1"/>
  <c r="D58" i="26"/>
  <c r="Q58" i="26"/>
  <c r="R58" i="26" s="1"/>
  <c r="D48" i="22"/>
  <c r="D63" i="26"/>
  <c r="Q63" i="26"/>
  <c r="D45" i="22"/>
  <c r="D58" i="22"/>
  <c r="D63" i="22"/>
  <c r="D64" i="26"/>
  <c r="Q64" i="26"/>
  <c r="D77" i="26"/>
  <c r="Q77" i="26"/>
  <c r="D59" i="22"/>
  <c r="D66" i="22"/>
  <c r="D65" i="26"/>
  <c r="Q65" i="26"/>
  <c r="D66" i="26"/>
  <c r="Q66" i="26"/>
  <c r="D43" i="26"/>
  <c r="Q43" i="26"/>
  <c r="R43" i="26" s="1"/>
  <c r="D49" i="26"/>
  <c r="Q49" i="26"/>
  <c r="R49" i="26" s="1"/>
  <c r="D67" i="26"/>
  <c r="Q67" i="26"/>
  <c r="D47" i="22"/>
  <c r="D55" i="22"/>
  <c r="D61" i="22"/>
  <c r="D67" i="22"/>
  <c r="D68" i="26"/>
  <c r="Q68" i="26"/>
  <c r="D77" i="22"/>
  <c r="D53" i="22"/>
  <c r="D62" i="26"/>
  <c r="Q62" i="26"/>
  <c r="R62" i="26" s="1"/>
  <c r="D70" i="22"/>
  <c r="D69" i="26"/>
  <c r="Q69" i="26"/>
  <c r="D44" i="26"/>
  <c r="Q44" i="26"/>
  <c r="R44" i="26" s="1"/>
  <c r="D61" i="26"/>
  <c r="Q61" i="26"/>
  <c r="R61" i="26" s="1"/>
  <c r="D65" i="22"/>
  <c r="D69" i="22"/>
  <c r="D71" i="22"/>
  <c r="D70" i="26"/>
  <c r="Q70" i="26"/>
  <c r="D46" i="26"/>
  <c r="Q46" i="26"/>
  <c r="R46" i="26" s="1"/>
  <c r="D57" i="22"/>
  <c r="D60" i="26"/>
  <c r="Q60" i="26"/>
  <c r="R60" i="26" s="1"/>
  <c r="D68" i="22"/>
  <c r="D72" i="22"/>
  <c r="D71" i="26"/>
  <c r="Q71" i="26"/>
  <c r="D76" i="26"/>
  <c r="Q76" i="26"/>
  <c r="D73" i="22"/>
  <c r="D72" i="26"/>
  <c r="Q72" i="26"/>
  <c r="D48" i="26"/>
  <c r="Q48" i="26"/>
  <c r="R48" i="26" s="1"/>
  <c r="D55" i="26"/>
  <c r="Q55" i="26"/>
  <c r="R55" i="26" s="1"/>
  <c r="D64" i="22"/>
  <c r="D74" i="22"/>
  <c r="D73" i="26"/>
  <c r="Q73" i="26"/>
  <c r="D49" i="22"/>
  <c r="D62" i="22"/>
  <c r="D75" i="22"/>
  <c r="D74" i="26"/>
  <c r="Q74" i="26"/>
  <c r="D45" i="26"/>
  <c r="Q45" i="26"/>
  <c r="R45" i="26" s="1"/>
  <c r="D52" i="22"/>
  <c r="D76" i="22"/>
  <c r="R42" i="26"/>
  <c r="D75" i="26"/>
  <c r="Q75" i="26"/>
  <c r="D51" i="26"/>
  <c r="D54" i="26"/>
  <c r="D53" i="26"/>
  <c r="D50" i="26"/>
  <c r="Q50" i="26"/>
  <c r="R50" i="26" s="1"/>
  <c r="D52" i="26"/>
  <c r="V35" i="25"/>
  <c r="V30" i="25"/>
  <c r="V31" i="25" s="1"/>
  <c r="V33" i="25"/>
  <c r="V34" i="25" s="1"/>
  <c r="U35" i="25"/>
  <c r="U33" i="25"/>
  <c r="U34" i="25" s="1"/>
  <c r="U78" i="25"/>
  <c r="V78" i="25"/>
  <c r="P33" i="25"/>
  <c r="P34" i="25" s="1"/>
  <c r="Q33" i="25"/>
  <c r="Q34" i="25" s="1"/>
  <c r="T78" i="25"/>
  <c r="R33" i="25"/>
  <c r="R34" i="25" s="1"/>
  <c r="S33" i="25"/>
  <c r="S34" i="25" s="1"/>
  <c r="P78" i="25"/>
  <c r="O33" i="25"/>
  <c r="O34" i="25" s="1"/>
  <c r="O78" i="25"/>
  <c r="Q78" i="25"/>
  <c r="S78" i="25"/>
  <c r="R78" i="25"/>
  <c r="T33" i="25"/>
  <c r="Q30" i="25"/>
  <c r="Q38" i="25" s="1"/>
  <c r="O35" i="25"/>
  <c r="Q35" i="25"/>
  <c r="R35" i="25"/>
  <c r="U30" i="25"/>
  <c r="R30" i="25"/>
  <c r="R38" i="25" s="1"/>
  <c r="S30" i="25"/>
  <c r="S38" i="25" s="1"/>
  <c r="T30" i="25"/>
  <c r="T38" i="25" s="1"/>
  <c r="P35" i="25"/>
  <c r="S35" i="25"/>
  <c r="S145" i="25" s="1"/>
  <c r="T35" i="25"/>
  <c r="P30" i="25"/>
  <c r="P36" i="25" s="1"/>
  <c r="O30" i="25"/>
  <c r="M31" i="26"/>
  <c r="N33" i="25"/>
  <c r="N34" i="25" s="1"/>
  <c r="N78" i="25"/>
  <c r="N35" i="25"/>
  <c r="N30" i="25"/>
  <c r="M110" i="29"/>
  <c r="M133" i="29" s="1"/>
  <c r="M35" i="26"/>
  <c r="N110" i="29"/>
  <c r="N133" i="29" s="1"/>
  <c r="N111" i="29"/>
  <c r="M35" i="25"/>
  <c r="M30" i="25"/>
  <c r="M31" i="25" s="1"/>
  <c r="M35" i="24"/>
  <c r="M30" i="24"/>
  <c r="M38" i="24" s="1"/>
  <c r="M78" i="25"/>
  <c r="M78" i="26"/>
  <c r="M33" i="25"/>
  <c r="M34" i="25" s="1"/>
  <c r="L109" i="29"/>
  <c r="L107" i="29"/>
  <c r="L111" i="29" s="1"/>
  <c r="L35" i="24"/>
  <c r="L30" i="24"/>
  <c r="L38" i="24" s="1"/>
  <c r="K31" i="28"/>
  <c r="K38" i="28"/>
  <c r="K37" i="28"/>
  <c r="K120" i="28" s="1"/>
  <c r="L78" i="25"/>
  <c r="L34" i="20"/>
  <c r="K35" i="26"/>
  <c r="L35" i="26"/>
  <c r="K30" i="26"/>
  <c r="L30" i="26"/>
  <c r="L33" i="26"/>
  <c r="L34" i="26" s="1"/>
  <c r="K33" i="26"/>
  <c r="K34" i="26" s="1"/>
  <c r="K78" i="26"/>
  <c r="L78" i="26"/>
  <c r="D43" i="25"/>
  <c r="L33" i="25"/>
  <c r="L34" i="25" s="1"/>
  <c r="K35" i="25"/>
  <c r="L35" i="25"/>
  <c r="K30" i="25"/>
  <c r="L30" i="25"/>
  <c r="L38" i="25" s="1"/>
  <c r="K78" i="25"/>
  <c r="K33" i="25"/>
  <c r="K34" i="25" s="1"/>
  <c r="K109" i="29"/>
  <c r="K107" i="29"/>
  <c r="K111" i="29" s="1"/>
  <c r="D78" i="28"/>
  <c r="I36" i="28"/>
  <c r="I38" i="28"/>
  <c r="J30" i="25"/>
  <c r="J38" i="25" s="1"/>
  <c r="J35" i="25"/>
  <c r="J33" i="25"/>
  <c r="J78" i="25"/>
  <c r="J30" i="26"/>
  <c r="J38" i="26" s="1"/>
  <c r="J35" i="26"/>
  <c r="J78" i="26"/>
  <c r="J33" i="26"/>
  <c r="J34" i="26" s="1"/>
  <c r="J36" i="28"/>
  <c r="J38" i="28"/>
  <c r="J31" i="28"/>
  <c r="J30" i="24"/>
  <c r="J38" i="24" s="1"/>
  <c r="K30" i="24"/>
  <c r="K38" i="24" s="1"/>
  <c r="J35" i="24"/>
  <c r="K35" i="24"/>
  <c r="H38" i="28"/>
  <c r="H36" i="28"/>
  <c r="J110" i="29"/>
  <c r="J133" i="29" s="1"/>
  <c r="I35" i="25"/>
  <c r="H30" i="25"/>
  <c r="H38" i="25" s="1"/>
  <c r="I30" i="25"/>
  <c r="I38" i="25" s="1"/>
  <c r="H35" i="25"/>
  <c r="D28" i="24"/>
  <c r="I33" i="25"/>
  <c r="I34" i="25" s="1"/>
  <c r="I78" i="25"/>
  <c r="H30" i="26"/>
  <c r="H36" i="26" s="1"/>
  <c r="I30" i="26"/>
  <c r="I31" i="26" s="1"/>
  <c r="H35" i="26"/>
  <c r="I35" i="26"/>
  <c r="I78" i="26"/>
  <c r="I35" i="24"/>
  <c r="I30" i="24"/>
  <c r="I38" i="24" s="1"/>
  <c r="I33" i="26"/>
  <c r="I34" i="26" s="1"/>
  <c r="H78" i="25"/>
  <c r="I33" i="24"/>
  <c r="I34" i="24" s="1"/>
  <c r="H33" i="25"/>
  <c r="H34" i="25" s="1"/>
  <c r="H33" i="26"/>
  <c r="H34" i="26" s="1"/>
  <c r="H78" i="26"/>
  <c r="G110" i="29"/>
  <c r="G133" i="29" s="1"/>
  <c r="H110" i="29"/>
  <c r="H133" i="29" s="1"/>
  <c r="I107" i="29"/>
  <c r="I109" i="29"/>
  <c r="E107" i="29"/>
  <c r="G111" i="29"/>
  <c r="F107" i="29"/>
  <c r="F111" i="29" s="1"/>
  <c r="D107" i="29"/>
  <c r="D111" i="29" s="1"/>
  <c r="F109" i="29"/>
  <c r="E109" i="29"/>
  <c r="G36" i="28"/>
  <c r="G38" i="28"/>
  <c r="D29" i="25"/>
  <c r="G35" i="25"/>
  <c r="G30" i="25"/>
  <c r="G36" i="25" s="1"/>
  <c r="D29" i="24"/>
  <c r="G30" i="24"/>
  <c r="G31" i="24" s="1"/>
  <c r="G35" i="24"/>
  <c r="H30" i="24"/>
  <c r="H31" i="24" s="1"/>
  <c r="H35" i="24"/>
  <c r="D29" i="26"/>
  <c r="G35" i="26"/>
  <c r="G30" i="26"/>
  <c r="G31" i="26" s="1"/>
  <c r="D28" i="25"/>
  <c r="D28" i="26"/>
  <c r="G34" i="28"/>
  <c r="D75" i="21"/>
  <c r="D74" i="21"/>
  <c r="D76" i="21"/>
  <c r="H33" i="24"/>
  <c r="H34" i="24" s="1"/>
  <c r="G33" i="24"/>
  <c r="G34" i="24" s="1"/>
  <c r="D32" i="25"/>
  <c r="G78" i="25"/>
  <c r="G33" i="25"/>
  <c r="G34" i="25" s="1"/>
  <c r="D32" i="26"/>
  <c r="G33" i="26"/>
  <c r="G34" i="26" s="1"/>
  <c r="G78" i="26"/>
  <c r="D33" i="28"/>
  <c r="D33" i="20"/>
  <c r="F31" i="28"/>
  <c r="F36" i="28"/>
  <c r="E31" i="28"/>
  <c r="F78" i="25"/>
  <c r="E36" i="28"/>
  <c r="F33" i="26"/>
  <c r="F34" i="26" s="1"/>
  <c r="F33" i="25"/>
  <c r="F34" i="25" s="1"/>
  <c r="F33" i="24"/>
  <c r="F34" i="24" s="1"/>
  <c r="F78" i="26"/>
  <c r="F30" i="26"/>
  <c r="F36" i="26" s="1"/>
  <c r="F35" i="26"/>
  <c r="F35" i="25"/>
  <c r="F30" i="25"/>
  <c r="F36" i="25" s="1"/>
  <c r="F30" i="24"/>
  <c r="F31" i="24" s="1"/>
  <c r="F35" i="24"/>
  <c r="E33" i="26"/>
  <c r="E34" i="26" s="1"/>
  <c r="E78" i="25"/>
  <c r="E33" i="25"/>
  <c r="E34" i="25" s="1"/>
  <c r="E33" i="24"/>
  <c r="E34" i="24" s="1"/>
  <c r="D42" i="26"/>
  <c r="E78" i="26"/>
  <c r="D30" i="28"/>
  <c r="D35" i="28"/>
  <c r="E30" i="26"/>
  <c r="E38" i="26" s="1"/>
  <c r="E35" i="26"/>
  <c r="E35" i="25"/>
  <c r="E30" i="25"/>
  <c r="E36" i="25" s="1"/>
  <c r="E35" i="24"/>
  <c r="E30" i="24"/>
  <c r="E38" i="24" s="1"/>
  <c r="D44" i="22" a="1"/>
  <c r="D43" i="22" a="1"/>
  <c r="D42" i="22" a="1"/>
  <c r="D39" i="22" a="1"/>
  <c r="D39" i="22" s="1"/>
  <c r="D32" i="22" a="1"/>
  <c r="D29" i="22" a="1"/>
  <c r="D28" i="22" a="1"/>
  <c r="D73" i="21" a="1"/>
  <c r="D72" i="21" a="1"/>
  <c r="D71" i="21" a="1"/>
  <c r="D71" i="21" s="1"/>
  <c r="D70" i="21" a="1"/>
  <c r="D70" i="21" s="1"/>
  <c r="D69" i="21" a="1"/>
  <c r="D69" i="21" s="1"/>
  <c r="D68" i="21" a="1"/>
  <c r="D68" i="21" s="1"/>
  <c r="D67" i="21" a="1"/>
  <c r="D67" i="21" s="1"/>
  <c r="D66" i="21" a="1"/>
  <c r="D66" i="21" s="1"/>
  <c r="D65" i="21" a="1"/>
  <c r="D65" i="21" s="1"/>
  <c r="D64" i="21" a="1"/>
  <c r="D64" i="21" s="1"/>
  <c r="D63" i="21" a="1"/>
  <c r="D62" i="21" a="1"/>
  <c r="D61" i="21" a="1"/>
  <c r="D60" i="21" a="1"/>
  <c r="D59" i="21" a="1"/>
  <c r="D58" i="21" a="1"/>
  <c r="D57" i="21" a="1"/>
  <c r="D55" i="21" a="1"/>
  <c r="D54" i="21" a="1"/>
  <c r="D53" i="21" a="1"/>
  <c r="D52" i="21" a="1"/>
  <c r="D51" i="21" a="1"/>
  <c r="D50" i="21" a="1"/>
  <c r="D49" i="21" a="1"/>
  <c r="D48" i="21" a="1"/>
  <c r="D47" i="21" a="1"/>
  <c r="D46" i="21" a="1"/>
  <c r="D45" i="21" a="1"/>
  <c r="D44" i="21" a="1"/>
  <c r="D43" i="21" a="1"/>
  <c r="D42" i="21" a="1"/>
  <c r="D39" i="21" a="1"/>
  <c r="D39" i="21" s="1"/>
  <c r="D23" i="21" a="1"/>
  <c r="D23" i="21" s="1"/>
  <c r="D32" i="20" a="1"/>
  <c r="D29" i="20" a="1"/>
  <c r="D28" i="20" a="1"/>
  <c r="D23" i="20" a="1"/>
  <c r="D23" i="20" s="1"/>
  <c r="AU2" i="8"/>
  <c r="AV2" i="8"/>
  <c r="V36" i="25" l="1"/>
  <c r="V37" i="25" s="1"/>
  <c r="V83" i="25" s="1"/>
  <c r="Q78" i="26"/>
  <c r="D43" i="22"/>
  <c r="R72" i="26"/>
  <c r="R63" i="26"/>
  <c r="D44" i="22"/>
  <c r="K125" i="28"/>
  <c r="D33" i="26"/>
  <c r="D34" i="26" s="1"/>
  <c r="K126" i="28"/>
  <c r="V38" i="25"/>
  <c r="K119" i="28"/>
  <c r="K122" i="28"/>
  <c r="H37" i="28"/>
  <c r="H88" i="28" s="1"/>
  <c r="G37" i="28"/>
  <c r="G115" i="28" s="1"/>
  <c r="G122" i="28"/>
  <c r="K121" i="28"/>
  <c r="K25" i="28"/>
  <c r="K115" i="28"/>
  <c r="U31" i="25"/>
  <c r="U36" i="25"/>
  <c r="U38" i="25"/>
  <c r="T36" i="25"/>
  <c r="R36" i="25"/>
  <c r="T34" i="25"/>
  <c r="O31" i="25"/>
  <c r="O38" i="25"/>
  <c r="P31" i="25"/>
  <c r="P38" i="25"/>
  <c r="O36" i="25"/>
  <c r="P37" i="25"/>
  <c r="P25" i="25" s="1"/>
  <c r="T31" i="25"/>
  <c r="S36" i="25"/>
  <c r="S31" i="25"/>
  <c r="Q36" i="25"/>
  <c r="R31" i="25"/>
  <c r="Q31" i="25"/>
  <c r="N31" i="25"/>
  <c r="N38" i="25"/>
  <c r="N36" i="25"/>
  <c r="M78" i="22"/>
  <c r="M31" i="22"/>
  <c r="L33" i="22"/>
  <c r="L34" i="22" s="1"/>
  <c r="L30" i="22"/>
  <c r="L31" i="22" s="1"/>
  <c r="L35" i="22"/>
  <c r="N31" i="21"/>
  <c r="M31" i="21"/>
  <c r="M35" i="21"/>
  <c r="L30" i="21"/>
  <c r="L38" i="21" s="1"/>
  <c r="N35" i="21"/>
  <c r="L35" i="21"/>
  <c r="M36" i="25"/>
  <c r="M38" i="25"/>
  <c r="N31" i="20"/>
  <c r="N35" i="20"/>
  <c r="M35" i="20"/>
  <c r="M30" i="20"/>
  <c r="M36" i="20" s="1"/>
  <c r="M36" i="24"/>
  <c r="M31" i="24"/>
  <c r="M78" i="21"/>
  <c r="L33" i="21"/>
  <c r="N78" i="21"/>
  <c r="L78" i="21"/>
  <c r="L78" i="22"/>
  <c r="L110" i="29"/>
  <c r="L133" i="29" s="1"/>
  <c r="K26" i="28"/>
  <c r="K91" i="28"/>
  <c r="K83" i="28"/>
  <c r="K96" i="28"/>
  <c r="K95" i="28"/>
  <c r="K92" i="28"/>
  <c r="K101" i="28"/>
  <c r="K112" i="28"/>
  <c r="L31" i="24"/>
  <c r="K106" i="28"/>
  <c r="K86" i="28"/>
  <c r="K84" i="28"/>
  <c r="K85" i="28"/>
  <c r="K105" i="28"/>
  <c r="K104" i="28"/>
  <c r="K82" i="28"/>
  <c r="K103" i="28"/>
  <c r="K100" i="28"/>
  <c r="K99" i="28"/>
  <c r="K81" i="28"/>
  <c r="K98" i="28"/>
  <c r="K102" i="28"/>
  <c r="K97" i="28"/>
  <c r="K80" i="28"/>
  <c r="K94" i="28"/>
  <c r="K93" i="28"/>
  <c r="K90" i="28"/>
  <c r="L36" i="24"/>
  <c r="L35" i="20"/>
  <c r="L30" i="20"/>
  <c r="L38" i="20" s="1"/>
  <c r="K89" i="28"/>
  <c r="K88" i="28"/>
  <c r="K87" i="28"/>
  <c r="L31" i="26"/>
  <c r="L38" i="26"/>
  <c r="K31" i="26"/>
  <c r="K38" i="26"/>
  <c r="L36" i="26"/>
  <c r="K36" i="26"/>
  <c r="L31" i="25"/>
  <c r="L36" i="25"/>
  <c r="K31" i="25"/>
  <c r="K38" i="25"/>
  <c r="K36" i="25"/>
  <c r="K110" i="29"/>
  <c r="K133" i="29" s="1"/>
  <c r="J31" i="24"/>
  <c r="J36" i="25"/>
  <c r="J36" i="26"/>
  <c r="K36" i="24"/>
  <c r="J35" i="20"/>
  <c r="K35" i="20"/>
  <c r="K30" i="20"/>
  <c r="K38" i="20" s="1"/>
  <c r="J30" i="20"/>
  <c r="J38" i="20" s="1"/>
  <c r="J37" i="28"/>
  <c r="J122" i="28" s="1"/>
  <c r="K35" i="22"/>
  <c r="J30" i="22"/>
  <c r="J36" i="22" s="1"/>
  <c r="J35" i="22"/>
  <c r="K30" i="22"/>
  <c r="K38" i="22" s="1"/>
  <c r="J34" i="25"/>
  <c r="K78" i="22"/>
  <c r="K33" i="22"/>
  <c r="K34" i="22" s="1"/>
  <c r="J33" i="22"/>
  <c r="J78" i="22"/>
  <c r="K31" i="24"/>
  <c r="D28" i="22"/>
  <c r="K78" i="21"/>
  <c r="J78" i="21"/>
  <c r="K33" i="21"/>
  <c r="K34" i="21" s="1"/>
  <c r="J33" i="21"/>
  <c r="J34" i="21" s="1"/>
  <c r="J31" i="25"/>
  <c r="I37" i="28"/>
  <c r="I119" i="28" s="1"/>
  <c r="K30" i="21"/>
  <c r="K35" i="21"/>
  <c r="J30" i="21"/>
  <c r="J38" i="21" s="1"/>
  <c r="J35" i="21"/>
  <c r="J31" i="26"/>
  <c r="J36" i="24"/>
  <c r="I38" i="26"/>
  <c r="I36" i="26"/>
  <c r="I37" i="26" s="1"/>
  <c r="I80" i="26" s="1"/>
  <c r="H38" i="26"/>
  <c r="H31" i="26"/>
  <c r="H36" i="25"/>
  <c r="I36" i="25"/>
  <c r="H31" i="25"/>
  <c r="D30" i="26"/>
  <c r="D31" i="26" s="1"/>
  <c r="I31" i="25"/>
  <c r="D35" i="24"/>
  <c r="I30" i="20"/>
  <c r="I38" i="20" s="1"/>
  <c r="I35" i="20"/>
  <c r="I30" i="21"/>
  <c r="I38" i="21" s="1"/>
  <c r="I35" i="21"/>
  <c r="I30" i="22"/>
  <c r="I31" i="22" s="1"/>
  <c r="I35" i="22"/>
  <c r="I36" i="24"/>
  <c r="I31" i="24"/>
  <c r="I78" i="22"/>
  <c r="I33" i="22"/>
  <c r="I34" i="22" s="1"/>
  <c r="D32" i="22"/>
  <c r="H37" i="26"/>
  <c r="H25" i="26" s="1"/>
  <c r="I110" i="29"/>
  <c r="I133" i="29" s="1"/>
  <c r="I111" i="29"/>
  <c r="F110" i="29"/>
  <c r="F133" i="29" s="1"/>
  <c r="D110" i="29"/>
  <c r="E110" i="29"/>
  <c r="E133" i="29" s="1"/>
  <c r="E111" i="29"/>
  <c r="I33" i="21"/>
  <c r="I78" i="21"/>
  <c r="H38" i="24"/>
  <c r="G31" i="25"/>
  <c r="D35" i="25"/>
  <c r="H36" i="24"/>
  <c r="D35" i="26"/>
  <c r="G38" i="25"/>
  <c r="H78" i="22"/>
  <c r="H33" i="22"/>
  <c r="H34" i="22" s="1"/>
  <c r="D30" i="24"/>
  <c r="D36" i="24" s="1"/>
  <c r="G38" i="26"/>
  <c r="D28" i="20"/>
  <c r="D30" i="25"/>
  <c r="G38" i="24"/>
  <c r="G36" i="26"/>
  <c r="G37" i="26" s="1"/>
  <c r="G101" i="26" s="1"/>
  <c r="G36" i="24"/>
  <c r="H30" i="22"/>
  <c r="H36" i="22" s="1"/>
  <c r="H35" i="22"/>
  <c r="H30" i="21"/>
  <c r="H38" i="21" s="1"/>
  <c r="H35" i="21"/>
  <c r="D29" i="20"/>
  <c r="H35" i="20"/>
  <c r="H30" i="20"/>
  <c r="H31" i="20" s="1"/>
  <c r="D32" i="20"/>
  <c r="D43" i="21"/>
  <c r="D47" i="21"/>
  <c r="D48" i="21"/>
  <c r="D49" i="21"/>
  <c r="D63" i="21"/>
  <c r="D44" i="21"/>
  <c r="D46" i="21"/>
  <c r="D50" i="21"/>
  <c r="D72" i="21"/>
  <c r="H33" i="21"/>
  <c r="H78" i="21"/>
  <c r="D51" i="21"/>
  <c r="D73" i="21"/>
  <c r="D52" i="21"/>
  <c r="D54" i="21"/>
  <c r="D55" i="21"/>
  <c r="D57" i="21"/>
  <c r="D45" i="21"/>
  <c r="D58" i="21"/>
  <c r="D59" i="21"/>
  <c r="D53" i="21"/>
  <c r="D61" i="21"/>
  <c r="D60" i="21"/>
  <c r="D62" i="21"/>
  <c r="G33" i="22"/>
  <c r="G34" i="22" s="1"/>
  <c r="G78" i="22"/>
  <c r="G37" i="25"/>
  <c r="G125" i="25" s="1"/>
  <c r="D34" i="28"/>
  <c r="G78" i="21"/>
  <c r="G33" i="21"/>
  <c r="G34" i="21" s="1"/>
  <c r="G30" i="22"/>
  <c r="G31" i="22" s="1"/>
  <c r="G35" i="22"/>
  <c r="E37" i="28"/>
  <c r="E120" i="28" s="1"/>
  <c r="F37" i="28"/>
  <c r="F120" i="28" s="1"/>
  <c r="G35" i="21"/>
  <c r="G30" i="21"/>
  <c r="G31" i="21" s="1"/>
  <c r="F37" i="26"/>
  <c r="F38" i="26"/>
  <c r="F31" i="26"/>
  <c r="F78" i="21"/>
  <c r="F33" i="21"/>
  <c r="F34" i="21" s="1"/>
  <c r="F33" i="22"/>
  <c r="F34" i="22" s="1"/>
  <c r="F78" i="22"/>
  <c r="G35" i="20"/>
  <c r="G30" i="20"/>
  <c r="G38" i="20" s="1"/>
  <c r="F38" i="24"/>
  <c r="F36" i="24"/>
  <c r="D29" i="22"/>
  <c r="F37" i="25"/>
  <c r="F31" i="25"/>
  <c r="F38" i="25"/>
  <c r="D78" i="25"/>
  <c r="F35" i="22"/>
  <c r="F30" i="22"/>
  <c r="F38" i="22" s="1"/>
  <c r="F35" i="21"/>
  <c r="D33" i="25"/>
  <c r="D34" i="25" s="1"/>
  <c r="F30" i="21"/>
  <c r="F31" i="21" s="1"/>
  <c r="F30" i="20"/>
  <c r="F31" i="20" s="1"/>
  <c r="F35" i="20"/>
  <c r="D31" i="28"/>
  <c r="E36" i="24"/>
  <c r="E31" i="24"/>
  <c r="E36" i="26"/>
  <c r="E37" i="26" s="1"/>
  <c r="D78" i="26"/>
  <c r="D33" i="24"/>
  <c r="D42" i="21"/>
  <c r="E78" i="21"/>
  <c r="E33" i="21"/>
  <c r="E34" i="21" s="1"/>
  <c r="D42" i="22"/>
  <c r="E33" i="22"/>
  <c r="E34" i="22" s="1"/>
  <c r="E78" i="22"/>
  <c r="E37" i="25"/>
  <c r="E115" i="25" s="1"/>
  <c r="D36" i="28"/>
  <c r="E31" i="26"/>
  <c r="E31" i="25"/>
  <c r="E38" i="25"/>
  <c r="E30" i="22"/>
  <c r="E38" i="22" s="1"/>
  <c r="E35" i="22"/>
  <c r="E30" i="21"/>
  <c r="E31" i="21" s="1"/>
  <c r="E35" i="21"/>
  <c r="E30" i="20"/>
  <c r="E31" i="20" s="1"/>
  <c r="E35" i="20"/>
  <c r="E34" i="20"/>
  <c r="D34" i="20"/>
  <c r="D78" i="20"/>
  <c r="AX3" i="8"/>
  <c r="AX4" i="8"/>
  <c r="AX5" i="8"/>
  <c r="AX2" i="8"/>
  <c r="AW3" i="8"/>
  <c r="AW4" i="8"/>
  <c r="AW5" i="8"/>
  <c r="AW2" i="8"/>
  <c r="AV3" i="8"/>
  <c r="AV4" i="8"/>
  <c r="AV5" i="8"/>
  <c r="AU3" i="8"/>
  <c r="AU4" i="8"/>
  <c r="AU5" i="8"/>
  <c r="K128" i="28" l="1"/>
  <c r="D78" i="22"/>
  <c r="G80" i="28"/>
  <c r="G89" i="28"/>
  <c r="G119" i="28"/>
  <c r="G101" i="28"/>
  <c r="H122" i="28"/>
  <c r="H125" i="28"/>
  <c r="G96" i="28"/>
  <c r="K140" i="28"/>
  <c r="K137" i="28"/>
  <c r="K139" i="28" s="1"/>
  <c r="H126" i="28"/>
  <c r="G126" i="28"/>
  <c r="H96" i="28"/>
  <c r="H98" i="28"/>
  <c r="H84" i="28"/>
  <c r="H100" i="28"/>
  <c r="K136" i="28" a="1"/>
  <c r="K136" i="28" s="1"/>
  <c r="I125" i="28"/>
  <c r="G26" i="28"/>
  <c r="H99" i="28"/>
  <c r="H101" i="28"/>
  <c r="H97" i="28"/>
  <c r="H102" i="28"/>
  <c r="H94" i="28"/>
  <c r="F125" i="25"/>
  <c r="F115" i="25"/>
  <c r="H81" i="28"/>
  <c r="H115" i="28"/>
  <c r="H89" i="28"/>
  <c r="H112" i="28"/>
  <c r="H95" i="28"/>
  <c r="H120" i="28"/>
  <c r="G25" i="28"/>
  <c r="G93" i="28"/>
  <c r="K135" i="28"/>
  <c r="G94" i="28"/>
  <c r="G120" i="28"/>
  <c r="G125" i="28"/>
  <c r="H80" i="28"/>
  <c r="G121" i="28"/>
  <c r="E125" i="28"/>
  <c r="E126" i="28"/>
  <c r="H121" i="28"/>
  <c r="G100" i="28"/>
  <c r="G83" i="28"/>
  <c r="H83" i="28"/>
  <c r="H106" i="28"/>
  <c r="G90" i="28"/>
  <c r="H82" i="28"/>
  <c r="G99" i="28"/>
  <c r="H85" i="28"/>
  <c r="G88" i="28"/>
  <c r="H105" i="28"/>
  <c r="H92" i="28"/>
  <c r="J126" i="28"/>
  <c r="H91" i="28"/>
  <c r="J125" i="28"/>
  <c r="H26" i="28"/>
  <c r="F126" i="28"/>
  <c r="H86" i="28"/>
  <c r="H135" i="28" s="1"/>
  <c r="H87" i="28"/>
  <c r="F125" i="28"/>
  <c r="I126" i="28"/>
  <c r="F121" i="25"/>
  <c r="F126" i="25"/>
  <c r="G126" i="25"/>
  <c r="G128" i="25" s="1"/>
  <c r="E116" i="25"/>
  <c r="E125" i="25"/>
  <c r="F122" i="25"/>
  <c r="F116" i="25"/>
  <c r="G122" i="25"/>
  <c r="G116" i="25"/>
  <c r="E126" i="25"/>
  <c r="J119" i="28"/>
  <c r="J121" i="28"/>
  <c r="G102" i="28"/>
  <c r="J120" i="28"/>
  <c r="G112" i="28"/>
  <c r="G86" i="28"/>
  <c r="G105" i="28"/>
  <c r="G91" i="28"/>
  <c r="G97" i="28"/>
  <c r="G98" i="28"/>
  <c r="G81" i="28"/>
  <c r="G106" i="28"/>
  <c r="G87" i="28"/>
  <c r="E119" i="25"/>
  <c r="G84" i="28"/>
  <c r="G92" i="28"/>
  <c r="G103" i="28"/>
  <c r="G82" i="28"/>
  <c r="G104" i="28"/>
  <c r="G95" i="28"/>
  <c r="G85" i="28"/>
  <c r="K123" i="28"/>
  <c r="I122" i="28"/>
  <c r="I121" i="28"/>
  <c r="F122" i="28"/>
  <c r="E119" i="28"/>
  <c r="I120" i="28"/>
  <c r="F119" i="28"/>
  <c r="E121" i="28"/>
  <c r="F121" i="28"/>
  <c r="E122" i="28"/>
  <c r="H25" i="28"/>
  <c r="H90" i="28"/>
  <c r="H103" i="28"/>
  <c r="H104" i="28"/>
  <c r="H119" i="28"/>
  <c r="H93" i="28"/>
  <c r="G37" i="24"/>
  <c r="G87" i="24" s="1"/>
  <c r="I37" i="24"/>
  <c r="I126" i="24" s="1"/>
  <c r="H37" i="24"/>
  <c r="H104" i="24" s="1"/>
  <c r="I37" i="25"/>
  <c r="I97" i="25" s="1"/>
  <c r="H37" i="25"/>
  <c r="H126" i="25" s="1"/>
  <c r="G119" i="25"/>
  <c r="G121" i="25"/>
  <c r="G120" i="25"/>
  <c r="R37" i="25"/>
  <c r="R125" i="25" s="1"/>
  <c r="F119" i="25"/>
  <c r="M37" i="25"/>
  <c r="M86" i="25" s="1"/>
  <c r="F120" i="25"/>
  <c r="E121" i="25"/>
  <c r="E120" i="25"/>
  <c r="E122" i="25"/>
  <c r="I98" i="28"/>
  <c r="I115" i="28"/>
  <c r="J102" i="28"/>
  <c r="J115" i="28"/>
  <c r="F112" i="28"/>
  <c r="E94" i="28"/>
  <c r="G98" i="25"/>
  <c r="G115" i="25"/>
  <c r="F112" i="25"/>
  <c r="D20" i="20" a="1"/>
  <c r="D20" i="20" s="1"/>
  <c r="S172" i="25"/>
  <c r="S161" i="25"/>
  <c r="S168" i="25"/>
  <c r="S147" i="25"/>
  <c r="S149" i="25"/>
  <c r="S154" i="25"/>
  <c r="S180" i="25"/>
  <c r="S158" i="25"/>
  <c r="S159" i="25"/>
  <c r="S173" i="25"/>
  <c r="S162" i="25"/>
  <c r="S165" i="25"/>
  <c r="S166" i="25"/>
  <c r="S148" i="25"/>
  <c r="S150" i="25"/>
  <c r="S151" i="25"/>
  <c r="S153" i="25"/>
  <c r="S178" i="25"/>
  <c r="S179" i="25"/>
  <c r="S156" i="25"/>
  <c r="S157" i="25"/>
  <c r="S160" i="25"/>
  <c r="S174" i="25"/>
  <c r="S163" i="25"/>
  <c r="S176" i="25"/>
  <c r="S167" i="25"/>
  <c r="S152" i="25"/>
  <c r="S175" i="25"/>
  <c r="S164" i="25"/>
  <c r="S146" i="25"/>
  <c r="S177" i="25"/>
  <c r="S155" i="25"/>
  <c r="S181" i="25"/>
  <c r="S169" i="25"/>
  <c r="S171" i="25"/>
  <c r="S170" i="25"/>
  <c r="V97" i="25"/>
  <c r="V96" i="25"/>
  <c r="V95" i="25"/>
  <c r="V94" i="25"/>
  <c r="V91" i="25"/>
  <c r="V88" i="25"/>
  <c r="V90" i="25"/>
  <c r="V87" i="25"/>
  <c r="V92" i="25"/>
  <c r="V82" i="25"/>
  <c r="V81" i="25"/>
  <c r="V89" i="25"/>
  <c r="V80" i="25"/>
  <c r="V84" i="25"/>
  <c r="V25" i="25"/>
  <c r="V26" i="25"/>
  <c r="V104" i="25"/>
  <c r="V93" i="25"/>
  <c r="V103" i="25"/>
  <c r="V86" i="25"/>
  <c r="V102" i="25"/>
  <c r="V109" i="25" s="1"/>
  <c r="V85" i="25"/>
  <c r="V101" i="25"/>
  <c r="V106" i="25"/>
  <c r="V112" i="25"/>
  <c r="V105" i="25"/>
  <c r="V100" i="25"/>
  <c r="V98" i="25"/>
  <c r="V99" i="25"/>
  <c r="U37" i="25"/>
  <c r="T37" i="25"/>
  <c r="T119" i="25" s="1"/>
  <c r="P84" i="25"/>
  <c r="P85" i="25"/>
  <c r="P94" i="25"/>
  <c r="P26" i="25"/>
  <c r="P101" i="25"/>
  <c r="O37" i="25"/>
  <c r="P99" i="25"/>
  <c r="P104" i="25"/>
  <c r="P100" i="25"/>
  <c r="P105" i="25"/>
  <c r="S37" i="25"/>
  <c r="S119" i="25" s="1"/>
  <c r="P86" i="25"/>
  <c r="P83" i="25"/>
  <c r="P92" i="25"/>
  <c r="P82" i="25"/>
  <c r="P88" i="25"/>
  <c r="P91" i="25"/>
  <c r="P93" i="25"/>
  <c r="Q37" i="25"/>
  <c r="Q126" i="25" s="1"/>
  <c r="P81" i="25"/>
  <c r="P89" i="25"/>
  <c r="P96" i="25"/>
  <c r="P80" i="25"/>
  <c r="P95" i="25"/>
  <c r="P103" i="25"/>
  <c r="P97" i="25"/>
  <c r="P102" i="25"/>
  <c r="P90" i="25"/>
  <c r="P98" i="25"/>
  <c r="P106" i="25"/>
  <c r="P87" i="25"/>
  <c r="N37" i="25"/>
  <c r="N125" i="25" s="1"/>
  <c r="L38" i="22"/>
  <c r="L36" i="22"/>
  <c r="L36" i="21"/>
  <c r="L37" i="21" s="1"/>
  <c r="L115" i="21" s="1"/>
  <c r="M38" i="20"/>
  <c r="M37" i="24"/>
  <c r="M125" i="24" s="1"/>
  <c r="M31" i="20"/>
  <c r="L31" i="21"/>
  <c r="L34" i="21"/>
  <c r="M37" i="20"/>
  <c r="M122" i="20" s="1"/>
  <c r="L31" i="20"/>
  <c r="L36" i="20"/>
  <c r="K37" i="24"/>
  <c r="L37" i="25"/>
  <c r="L126" i="25" s="1"/>
  <c r="K109" i="28"/>
  <c r="L37" i="24"/>
  <c r="L126" i="24" s="1"/>
  <c r="K107" i="28"/>
  <c r="L37" i="26"/>
  <c r="L82" i="26" s="1"/>
  <c r="K37" i="26"/>
  <c r="K82" i="26" s="1"/>
  <c r="K37" i="25"/>
  <c r="K125" i="25" s="1"/>
  <c r="J87" i="28"/>
  <c r="J85" i="28"/>
  <c r="J97" i="28"/>
  <c r="I112" i="28"/>
  <c r="J98" i="28"/>
  <c r="J89" i="28"/>
  <c r="D35" i="22"/>
  <c r="J37" i="25"/>
  <c r="J125" i="25" s="1"/>
  <c r="K36" i="22"/>
  <c r="J80" i="28"/>
  <c r="I104" i="28"/>
  <c r="I97" i="28"/>
  <c r="I89" i="28"/>
  <c r="I84" i="28"/>
  <c r="J86" i="28"/>
  <c r="I100" i="28"/>
  <c r="J106" i="28"/>
  <c r="I90" i="28"/>
  <c r="J105" i="28"/>
  <c r="I88" i="28"/>
  <c r="J112" i="28"/>
  <c r="I87" i="28"/>
  <c r="J84" i="28"/>
  <c r="I94" i="28"/>
  <c r="I86" i="28"/>
  <c r="K36" i="20"/>
  <c r="I106" i="28"/>
  <c r="J36" i="20"/>
  <c r="I96" i="28"/>
  <c r="I103" i="28"/>
  <c r="J103" i="28"/>
  <c r="K31" i="20"/>
  <c r="I91" i="28"/>
  <c r="J31" i="20"/>
  <c r="I81" i="28"/>
  <c r="J81" i="28"/>
  <c r="I99" i="28"/>
  <c r="I82" i="28"/>
  <c r="K31" i="22"/>
  <c r="J91" i="28"/>
  <c r="I80" i="28"/>
  <c r="J88" i="28"/>
  <c r="I95" i="28"/>
  <c r="J96" i="28"/>
  <c r="I105" i="28"/>
  <c r="J83" i="28"/>
  <c r="J37" i="22"/>
  <c r="J122" i="22" s="1"/>
  <c r="J31" i="22"/>
  <c r="J38" i="22"/>
  <c r="J36" i="21"/>
  <c r="J90" i="28"/>
  <c r="J94" i="28"/>
  <c r="I101" i="28"/>
  <c r="J82" i="28"/>
  <c r="J25" i="28"/>
  <c r="J26" i="28"/>
  <c r="I25" i="28"/>
  <c r="I26" i="28"/>
  <c r="J104" i="28"/>
  <c r="J93" i="28"/>
  <c r="I93" i="28"/>
  <c r="J92" i="28"/>
  <c r="J31" i="21"/>
  <c r="I92" i="28"/>
  <c r="J95" i="28"/>
  <c r="I102" i="28"/>
  <c r="J101" i="28"/>
  <c r="I85" i="28"/>
  <c r="J99" i="28"/>
  <c r="K31" i="21"/>
  <c r="K38" i="21"/>
  <c r="J34" i="22"/>
  <c r="K36" i="21"/>
  <c r="I83" i="28"/>
  <c r="J100" i="28"/>
  <c r="J37" i="26"/>
  <c r="J82" i="26" s="1"/>
  <c r="J37" i="24"/>
  <c r="J119" i="24" s="1"/>
  <c r="D34" i="24"/>
  <c r="D19" i="26" a="1"/>
  <c r="D19" i="21" a="1"/>
  <c r="D19" i="28" a="1"/>
  <c r="D36" i="26"/>
  <c r="D37" i="26" s="1"/>
  <c r="I31" i="21"/>
  <c r="D19" i="24" a="1"/>
  <c r="D20" i="29" a="1"/>
  <c r="D20" i="29" s="1"/>
  <c r="D20" i="21" a="1"/>
  <c r="D20" i="21" s="1"/>
  <c r="D19" i="22" a="1"/>
  <c r="D19" i="25" a="1"/>
  <c r="D19" i="20" a="1"/>
  <c r="D20" i="22" a="1"/>
  <c r="D20" i="22" s="1"/>
  <c r="D20" i="25" a="1"/>
  <c r="D20" i="25" s="1"/>
  <c r="D20" i="24" a="1"/>
  <c r="D20" i="24" s="1"/>
  <c r="D20" i="26" a="1"/>
  <c r="D20" i="26" s="1"/>
  <c r="D20" i="28" a="1"/>
  <c r="D20" i="28" s="1"/>
  <c r="D19" i="29" a="1"/>
  <c r="I36" i="22"/>
  <c r="I105" i="26"/>
  <c r="I84" i="26"/>
  <c r="H105" i="26"/>
  <c r="H97" i="26"/>
  <c r="H95" i="26"/>
  <c r="H99" i="26"/>
  <c r="H100" i="26"/>
  <c r="H83" i="26"/>
  <c r="I98" i="26"/>
  <c r="I38" i="22"/>
  <c r="I83" i="26"/>
  <c r="I31" i="20"/>
  <c r="H80" i="26"/>
  <c r="H98" i="26"/>
  <c r="H87" i="26"/>
  <c r="I36" i="21"/>
  <c r="I37" i="21" s="1"/>
  <c r="I115" i="21" s="1"/>
  <c r="I36" i="20"/>
  <c r="H86" i="26"/>
  <c r="H85" i="26"/>
  <c r="H106" i="26"/>
  <c r="H91" i="26"/>
  <c r="H84" i="26"/>
  <c r="H101" i="26"/>
  <c r="I96" i="26"/>
  <c r="I97" i="26"/>
  <c r="I95" i="26"/>
  <c r="I94" i="26"/>
  <c r="I93" i="26"/>
  <c r="I92" i="26"/>
  <c r="I91" i="26"/>
  <c r="I90" i="26"/>
  <c r="I87" i="26"/>
  <c r="I86" i="26"/>
  <c r="I85" i="26"/>
  <c r="I106" i="26"/>
  <c r="I104" i="26"/>
  <c r="I89" i="26"/>
  <c r="I82" i="26"/>
  <c r="I88" i="26"/>
  <c r="I103" i="26"/>
  <c r="I101" i="26"/>
  <c r="I81" i="26"/>
  <c r="I100" i="26"/>
  <c r="I102" i="26"/>
  <c r="I99" i="26"/>
  <c r="H94" i="26"/>
  <c r="H102" i="26"/>
  <c r="H104" i="26"/>
  <c r="H96" i="26"/>
  <c r="H93" i="26"/>
  <c r="H90" i="26"/>
  <c r="H89" i="26"/>
  <c r="H92" i="26"/>
  <c r="H82" i="26"/>
  <c r="H103" i="26"/>
  <c r="H88" i="26"/>
  <c r="H81" i="26"/>
  <c r="I25" i="26"/>
  <c r="I26" i="26"/>
  <c r="H26" i="26"/>
  <c r="I34" i="21"/>
  <c r="D31" i="25"/>
  <c r="D36" i="25"/>
  <c r="D38" i="25" s="1"/>
  <c r="D35" i="20"/>
  <c r="D30" i="20"/>
  <c r="D36" i="20" s="1"/>
  <c r="G92" i="25"/>
  <c r="D35" i="21"/>
  <c r="H38" i="20"/>
  <c r="H36" i="20"/>
  <c r="H36" i="21"/>
  <c r="H37" i="21" s="1"/>
  <c r="H115" i="21" s="1"/>
  <c r="H31" i="21"/>
  <c r="D31" i="24"/>
  <c r="H37" i="22"/>
  <c r="H122" i="22" s="1"/>
  <c r="G88" i="26"/>
  <c r="G87" i="26"/>
  <c r="D30" i="21"/>
  <c r="D31" i="21" s="1"/>
  <c r="G86" i="26"/>
  <c r="G103" i="26"/>
  <c r="H31" i="22"/>
  <c r="H38" i="22"/>
  <c r="G36" i="22"/>
  <c r="G38" i="22"/>
  <c r="G106" i="24"/>
  <c r="D78" i="21"/>
  <c r="H34" i="21"/>
  <c r="G106" i="26"/>
  <c r="H95" i="24"/>
  <c r="G105" i="26"/>
  <c r="H92" i="24"/>
  <c r="H91" i="24"/>
  <c r="G91" i="25"/>
  <c r="H90" i="24"/>
  <c r="H88" i="24"/>
  <c r="H85" i="24"/>
  <c r="H103" i="24"/>
  <c r="G94" i="26"/>
  <c r="G89" i="26"/>
  <c r="G84" i="26"/>
  <c r="G80" i="25"/>
  <c r="G100" i="25"/>
  <c r="G97" i="25"/>
  <c r="G99" i="25"/>
  <c r="G96" i="25"/>
  <c r="G95" i="25"/>
  <c r="G106" i="25"/>
  <c r="G112" i="25"/>
  <c r="G83" i="25"/>
  <c r="G104" i="26"/>
  <c r="G94" i="25"/>
  <c r="G104" i="25"/>
  <c r="G81" i="26"/>
  <c r="G93" i="25"/>
  <c r="G81" i="25"/>
  <c r="G82" i="26"/>
  <c r="G90" i="25"/>
  <c r="G102" i="25"/>
  <c r="G98" i="26"/>
  <c r="G89" i="25"/>
  <c r="G101" i="25"/>
  <c r="G102" i="26"/>
  <c r="G87" i="25"/>
  <c r="G100" i="26"/>
  <c r="G85" i="25"/>
  <c r="G86" i="25"/>
  <c r="G99" i="26"/>
  <c r="G84" i="25"/>
  <c r="G97" i="26"/>
  <c r="G105" i="25"/>
  <c r="G88" i="25"/>
  <c r="G96" i="26"/>
  <c r="G82" i="25"/>
  <c r="G85" i="26"/>
  <c r="G90" i="26"/>
  <c r="G103" i="25"/>
  <c r="G95" i="26"/>
  <c r="G83" i="26"/>
  <c r="G93" i="26"/>
  <c r="G92" i="26"/>
  <c r="G91" i="26"/>
  <c r="G80" i="26"/>
  <c r="G25" i="25"/>
  <c r="G26" i="25"/>
  <c r="G25" i="26"/>
  <c r="G26" i="26"/>
  <c r="E101" i="28"/>
  <c r="E81" i="28"/>
  <c r="E96" i="28"/>
  <c r="E92" i="28"/>
  <c r="E100" i="28"/>
  <c r="E90" i="28"/>
  <c r="E104" i="28"/>
  <c r="E95" i="28"/>
  <c r="E105" i="28"/>
  <c r="E84" i="28"/>
  <c r="E99" i="28"/>
  <c r="E93" i="28"/>
  <c r="E86" i="28"/>
  <c r="E82" i="28"/>
  <c r="E87" i="28"/>
  <c r="E106" i="28"/>
  <c r="E103" i="28"/>
  <c r="E89" i="28"/>
  <c r="E91" i="28"/>
  <c r="E80" i="28"/>
  <c r="E98" i="28"/>
  <c r="E88" i="28"/>
  <c r="E85" i="28"/>
  <c r="E102" i="28"/>
  <c r="E83" i="28"/>
  <c r="E97" i="28"/>
  <c r="E112" i="28"/>
  <c r="E37" i="24"/>
  <c r="F25" i="26"/>
  <c r="F26" i="26"/>
  <c r="E94" i="25"/>
  <c r="E26" i="25"/>
  <c r="F102" i="28"/>
  <c r="F101" i="28"/>
  <c r="F26" i="28"/>
  <c r="F25" i="28"/>
  <c r="E26" i="28"/>
  <c r="E25" i="28"/>
  <c r="F37" i="24"/>
  <c r="F115" i="24" s="1"/>
  <c r="E25" i="26"/>
  <c r="E26" i="26"/>
  <c r="F91" i="25"/>
  <c r="F26" i="25"/>
  <c r="E112" i="25"/>
  <c r="G38" i="21"/>
  <c r="G36" i="21"/>
  <c r="F91" i="28"/>
  <c r="F106" i="28"/>
  <c r="F84" i="28"/>
  <c r="F89" i="28"/>
  <c r="F88" i="28"/>
  <c r="F98" i="28"/>
  <c r="F104" i="28"/>
  <c r="F82" i="28"/>
  <c r="F103" i="28"/>
  <c r="F81" i="28"/>
  <c r="F80" i="28"/>
  <c r="F97" i="28"/>
  <c r="F93" i="28"/>
  <c r="F86" i="28"/>
  <c r="F96" i="28"/>
  <c r="F105" i="28"/>
  <c r="F94" i="28"/>
  <c r="F100" i="28"/>
  <c r="F90" i="28"/>
  <c r="F83" i="28"/>
  <c r="F95" i="28"/>
  <c r="F87" i="28"/>
  <c r="F92" i="28"/>
  <c r="F85" i="28"/>
  <c r="F99" i="28"/>
  <c r="F31" i="22"/>
  <c r="F98" i="26"/>
  <c r="F97" i="26"/>
  <c r="F96" i="26"/>
  <c r="F95" i="26"/>
  <c r="F92" i="26"/>
  <c r="F93" i="26"/>
  <c r="F91" i="26"/>
  <c r="F86" i="26"/>
  <c r="F85" i="26"/>
  <c r="F90" i="26"/>
  <c r="F87" i="25"/>
  <c r="F103" i="25"/>
  <c r="F94" i="25"/>
  <c r="F94" i="26"/>
  <c r="F92" i="25"/>
  <c r="F105" i="25"/>
  <c r="F106" i="26"/>
  <c r="F105" i="26"/>
  <c r="F83" i="25"/>
  <c r="F86" i="25"/>
  <c r="F106" i="25"/>
  <c r="F84" i="25"/>
  <c r="F82" i="26"/>
  <c r="F83" i="26"/>
  <c r="F104" i="25"/>
  <c r="F84" i="26"/>
  <c r="G36" i="20"/>
  <c r="F87" i="26"/>
  <c r="F104" i="26"/>
  <c r="F82" i="25"/>
  <c r="G31" i="20"/>
  <c r="D30" i="22"/>
  <c r="D31" i="22" s="1"/>
  <c r="F99" i="26"/>
  <c r="F81" i="26"/>
  <c r="F81" i="25"/>
  <c r="F89" i="26"/>
  <c r="F80" i="25"/>
  <c r="F102" i="25"/>
  <c r="F103" i="26"/>
  <c r="F85" i="25"/>
  <c r="F100" i="25"/>
  <c r="F102" i="26"/>
  <c r="F97" i="25"/>
  <c r="F96" i="25"/>
  <c r="F98" i="25"/>
  <c r="F80" i="26"/>
  <c r="F95" i="25"/>
  <c r="F89" i="25"/>
  <c r="F88" i="25"/>
  <c r="F88" i="26"/>
  <c r="F101" i="26"/>
  <c r="F93" i="25"/>
  <c r="F99" i="25"/>
  <c r="F90" i="25"/>
  <c r="F101" i="25"/>
  <c r="F100" i="26"/>
  <c r="F36" i="22"/>
  <c r="F25" i="25"/>
  <c r="F38" i="21"/>
  <c r="F38" i="20"/>
  <c r="F36" i="20"/>
  <c r="F36" i="21"/>
  <c r="E36" i="22"/>
  <c r="E38" i="21"/>
  <c r="E36" i="21"/>
  <c r="E37" i="21" s="1"/>
  <c r="E115" i="21" s="1"/>
  <c r="E31" i="22"/>
  <c r="E98" i="26"/>
  <c r="E97" i="26"/>
  <c r="E94" i="26"/>
  <c r="E93" i="26"/>
  <c r="E92" i="26"/>
  <c r="E99" i="26"/>
  <c r="E90" i="26"/>
  <c r="E89" i="26"/>
  <c r="E88" i="26"/>
  <c r="E87" i="26"/>
  <c r="E86" i="26"/>
  <c r="E85" i="26"/>
  <c r="E106" i="26"/>
  <c r="E91" i="26"/>
  <c r="E84" i="26"/>
  <c r="E104" i="26"/>
  <c r="E81" i="26"/>
  <c r="E102" i="26"/>
  <c r="E80" i="26"/>
  <c r="E105" i="26"/>
  <c r="E83" i="26"/>
  <c r="E82" i="26"/>
  <c r="E103" i="26"/>
  <c r="E96" i="26"/>
  <c r="E101" i="26"/>
  <c r="E95" i="26"/>
  <c r="E100" i="26"/>
  <c r="E85" i="25"/>
  <c r="E98" i="25"/>
  <c r="E97" i="25"/>
  <c r="E90" i="25"/>
  <c r="E88" i="25"/>
  <c r="E89" i="25"/>
  <c r="E101" i="25"/>
  <c r="E84" i="25"/>
  <c r="E86" i="25"/>
  <c r="E106" i="25"/>
  <c r="E105" i="25"/>
  <c r="E83" i="25"/>
  <c r="E104" i="25"/>
  <c r="E82" i="25"/>
  <c r="E103" i="25"/>
  <c r="D33" i="21"/>
  <c r="D34" i="21" s="1"/>
  <c r="E87" i="25"/>
  <c r="E81" i="25"/>
  <c r="D33" i="22"/>
  <c r="D34" i="22" s="1"/>
  <c r="E100" i="25"/>
  <c r="E102" i="25"/>
  <c r="E99" i="25"/>
  <c r="E80" i="25"/>
  <c r="D37" i="24"/>
  <c r="E96" i="25"/>
  <c r="E95" i="25"/>
  <c r="E25" i="25"/>
  <c r="E93" i="25"/>
  <c r="E92" i="25"/>
  <c r="E91" i="25"/>
  <c r="D37" i="28"/>
  <c r="D26" i="28" s="1"/>
  <c r="D38" i="28"/>
  <c r="E38" i="20"/>
  <c r="E36" i="20"/>
  <c r="D38" i="24"/>
  <c r="G97" i="24" l="1"/>
  <c r="G92" i="24"/>
  <c r="G135" i="28"/>
  <c r="F135" i="28"/>
  <c r="H128" i="28"/>
  <c r="G102" i="24"/>
  <c r="H99" i="24"/>
  <c r="H93" i="24"/>
  <c r="P141" i="25"/>
  <c r="G91" i="24"/>
  <c r="G136" i="28" a="1"/>
  <c r="G136" i="28" s="1"/>
  <c r="G85" i="24"/>
  <c r="G83" i="24"/>
  <c r="E135" i="28"/>
  <c r="G88" i="24"/>
  <c r="G95" i="24"/>
  <c r="G96" i="24"/>
  <c r="G101" i="24"/>
  <c r="G26" i="24"/>
  <c r="G94" i="24"/>
  <c r="G25" i="24"/>
  <c r="H94" i="24"/>
  <c r="H97" i="24"/>
  <c r="H98" i="24"/>
  <c r="G128" i="28"/>
  <c r="G109" i="28"/>
  <c r="I135" i="28"/>
  <c r="G123" i="28"/>
  <c r="J136" i="28" a="1"/>
  <c r="J136" i="28" s="1"/>
  <c r="I136" i="28" a="1"/>
  <c r="I136" i="28" s="1"/>
  <c r="L121" i="24"/>
  <c r="E136" i="25" a="1"/>
  <c r="E136" i="25" s="1"/>
  <c r="F128" i="28"/>
  <c r="G112" i="24"/>
  <c r="I99" i="24"/>
  <c r="I106" i="24"/>
  <c r="J137" i="28"/>
  <c r="J139" i="28" s="1"/>
  <c r="J140" i="28"/>
  <c r="F140" i="25"/>
  <c r="F136" i="28" a="1"/>
  <c r="F136" i="28" s="1"/>
  <c r="G125" i="24"/>
  <c r="I97" i="24"/>
  <c r="I125" i="24"/>
  <c r="I128" i="24" s="1"/>
  <c r="E140" i="28"/>
  <c r="E137" i="28"/>
  <c r="E139" i="28" s="1"/>
  <c r="G82" i="24"/>
  <c r="I88" i="24"/>
  <c r="G93" i="24"/>
  <c r="G89" i="24"/>
  <c r="J123" i="28"/>
  <c r="H26" i="24"/>
  <c r="I25" i="24"/>
  <c r="I98" i="24"/>
  <c r="I112" i="24"/>
  <c r="J135" i="28"/>
  <c r="P140" i="25"/>
  <c r="E135" i="25"/>
  <c r="H100" i="24"/>
  <c r="I83" i="24"/>
  <c r="E136" i="28" a="1"/>
  <c r="E136" i="28" s="1"/>
  <c r="G135" i="25"/>
  <c r="H106" i="24"/>
  <c r="I120" i="24"/>
  <c r="G107" i="28"/>
  <c r="G111" i="28" s="1"/>
  <c r="M125" i="20"/>
  <c r="L125" i="24"/>
  <c r="L128" i="24" s="1"/>
  <c r="H140" i="28"/>
  <c r="H137" i="28"/>
  <c r="H139" i="28" s="1"/>
  <c r="F137" i="28"/>
  <c r="F139" i="28" s="1"/>
  <c r="F140" i="28"/>
  <c r="I94" i="24"/>
  <c r="I119" i="24"/>
  <c r="I105" i="24"/>
  <c r="E137" i="25"/>
  <c r="E139" i="25" s="1"/>
  <c r="E140" i="25"/>
  <c r="G140" i="25"/>
  <c r="H81" i="24"/>
  <c r="I84" i="24"/>
  <c r="I140" i="28"/>
  <c r="I137" i="28"/>
  <c r="I139" i="28" s="1"/>
  <c r="P135" i="25"/>
  <c r="H123" i="28"/>
  <c r="F128" i="25"/>
  <c r="H109" i="28"/>
  <c r="H136" i="28" a="1"/>
  <c r="H136" i="28" s="1"/>
  <c r="G140" i="28"/>
  <c r="G137" i="28"/>
  <c r="G139" i="28" s="1"/>
  <c r="I80" i="24"/>
  <c r="I128" i="28"/>
  <c r="J126" i="24"/>
  <c r="G137" i="25"/>
  <c r="G139" i="25" s="1"/>
  <c r="S125" i="25"/>
  <c r="K37" i="20"/>
  <c r="K115" i="20" s="1"/>
  <c r="M126" i="20"/>
  <c r="K119" i="24"/>
  <c r="K116" i="24"/>
  <c r="M121" i="20"/>
  <c r="L37" i="20"/>
  <c r="L122" i="20" s="1"/>
  <c r="L125" i="20"/>
  <c r="I123" i="28"/>
  <c r="M119" i="20"/>
  <c r="M120" i="20"/>
  <c r="M105" i="25"/>
  <c r="S126" i="25"/>
  <c r="M126" i="24"/>
  <c r="M128" i="24" s="1"/>
  <c r="M121" i="24"/>
  <c r="I26" i="24"/>
  <c r="K121" i="24"/>
  <c r="J125" i="24"/>
  <c r="K120" i="24"/>
  <c r="K122" i="24"/>
  <c r="H122" i="24"/>
  <c r="H116" i="24"/>
  <c r="H82" i="24"/>
  <c r="H37" i="20"/>
  <c r="H115" i="20" s="1"/>
  <c r="H121" i="20"/>
  <c r="H25" i="24"/>
  <c r="H125" i="24"/>
  <c r="I92" i="24"/>
  <c r="I116" i="24"/>
  <c r="H126" i="24"/>
  <c r="F135" i="25"/>
  <c r="F148" i="24" s="1"/>
  <c r="E119" i="24"/>
  <c r="E116" i="24"/>
  <c r="H87" i="24"/>
  <c r="G136" i="25" a="1"/>
  <c r="G136" i="25" s="1"/>
  <c r="H86" i="24"/>
  <c r="H135" i="24" s="1"/>
  <c r="I101" i="24"/>
  <c r="G115" i="24"/>
  <c r="G116" i="24"/>
  <c r="G126" i="24"/>
  <c r="H101" i="24"/>
  <c r="E128" i="28"/>
  <c r="F119" i="24"/>
  <c r="F116" i="24"/>
  <c r="M119" i="24"/>
  <c r="M116" i="24"/>
  <c r="H83" i="24"/>
  <c r="I81" i="24"/>
  <c r="F125" i="24"/>
  <c r="F136" i="25" a="1"/>
  <c r="F136" i="25" s="1"/>
  <c r="F149" i="24" s="1"/>
  <c r="P137" i="25"/>
  <c r="P139" i="25" s="1"/>
  <c r="F126" i="24"/>
  <c r="H80" i="24"/>
  <c r="P136" i="25" a="1"/>
  <c r="P136" i="25" s="1"/>
  <c r="G99" i="24"/>
  <c r="H105" i="24"/>
  <c r="E125" i="24"/>
  <c r="H102" i="24"/>
  <c r="E126" i="24"/>
  <c r="F137" i="25"/>
  <c r="H84" i="24"/>
  <c r="I37" i="20"/>
  <c r="I122" i="20" s="1"/>
  <c r="J128" i="28"/>
  <c r="K125" i="24"/>
  <c r="H89" i="24"/>
  <c r="H136" i="24" s="1" a="1"/>
  <c r="H136" i="24" s="1"/>
  <c r="K126" i="24"/>
  <c r="H96" i="24"/>
  <c r="I90" i="24"/>
  <c r="L120" i="24"/>
  <c r="L116" i="24"/>
  <c r="I115" i="24"/>
  <c r="S121" i="25"/>
  <c r="M82" i="25"/>
  <c r="E128" i="25"/>
  <c r="J126" i="25"/>
  <c r="J128" i="25" s="1"/>
  <c r="M106" i="25"/>
  <c r="N126" i="25"/>
  <c r="N128" i="25" s="1"/>
  <c r="H99" i="25"/>
  <c r="H101" i="25"/>
  <c r="H96" i="25"/>
  <c r="H120" i="25"/>
  <c r="H121" i="25"/>
  <c r="L125" i="25"/>
  <c r="L128" i="25" s="1"/>
  <c r="H102" i="25"/>
  <c r="M84" i="25"/>
  <c r="H89" i="25"/>
  <c r="M92" i="25"/>
  <c r="H84" i="25"/>
  <c r="M93" i="25"/>
  <c r="M112" i="25"/>
  <c r="H88" i="25"/>
  <c r="H91" i="25"/>
  <c r="H115" i="25"/>
  <c r="M126" i="25"/>
  <c r="M98" i="25"/>
  <c r="M125" i="25"/>
  <c r="I81" i="25"/>
  <c r="I89" i="25"/>
  <c r="H122" i="25"/>
  <c r="I121" i="25"/>
  <c r="M25" i="25"/>
  <c r="O119" i="25"/>
  <c r="O116" i="25"/>
  <c r="T120" i="25"/>
  <c r="Q125" i="25"/>
  <c r="Q128" i="25" s="1"/>
  <c r="I103" i="25"/>
  <c r="I116" i="25"/>
  <c r="I85" i="25"/>
  <c r="N119" i="25"/>
  <c r="N116" i="25"/>
  <c r="I125" i="25"/>
  <c r="T122" i="25"/>
  <c r="T116" i="25"/>
  <c r="T126" i="25"/>
  <c r="T125" i="25"/>
  <c r="T121" i="25"/>
  <c r="J121" i="25"/>
  <c r="J116" i="25"/>
  <c r="I126" i="25"/>
  <c r="I87" i="25"/>
  <c r="U119" i="25"/>
  <c r="U116" i="25"/>
  <c r="I102" i="25"/>
  <c r="R102" i="25"/>
  <c r="M120" i="25"/>
  <c r="M116" i="25"/>
  <c r="I83" i="25"/>
  <c r="R126" i="25"/>
  <c r="R128" i="25" s="1"/>
  <c r="K120" i="25"/>
  <c r="K116" i="25"/>
  <c r="O125" i="25"/>
  <c r="U125" i="25"/>
  <c r="O126" i="25"/>
  <c r="R26" i="25"/>
  <c r="R116" i="25"/>
  <c r="I101" i="25"/>
  <c r="Q122" i="25"/>
  <c r="Q116" i="25"/>
  <c r="U126" i="25"/>
  <c r="L120" i="25"/>
  <c r="L116" i="25"/>
  <c r="S122" i="25"/>
  <c r="S116" i="25"/>
  <c r="H119" i="25"/>
  <c r="H116" i="25"/>
  <c r="K126" i="25"/>
  <c r="K128" i="25" s="1"/>
  <c r="H125" i="25"/>
  <c r="H128" i="25" s="1"/>
  <c r="G90" i="24"/>
  <c r="M122" i="25"/>
  <c r="G121" i="24"/>
  <c r="G104" i="24"/>
  <c r="M26" i="25"/>
  <c r="M88" i="25"/>
  <c r="M119" i="25"/>
  <c r="G120" i="24"/>
  <c r="G84" i="24"/>
  <c r="G122" i="24"/>
  <c r="M104" i="25"/>
  <c r="M95" i="25"/>
  <c r="R122" i="25"/>
  <c r="J120" i="22"/>
  <c r="M83" i="25"/>
  <c r="M99" i="25"/>
  <c r="R121" i="25"/>
  <c r="R119" i="25"/>
  <c r="M80" i="25"/>
  <c r="R88" i="25"/>
  <c r="R120" i="25"/>
  <c r="M85" i="25"/>
  <c r="M135" i="25" s="1"/>
  <c r="R103" i="25"/>
  <c r="R106" i="25"/>
  <c r="M115" i="25"/>
  <c r="G81" i="24"/>
  <c r="M87" i="25"/>
  <c r="R105" i="25"/>
  <c r="M103" i="25"/>
  <c r="L122" i="24"/>
  <c r="H107" i="28"/>
  <c r="H111" i="28" s="1"/>
  <c r="M90" i="25"/>
  <c r="R91" i="25"/>
  <c r="L119" i="24"/>
  <c r="M97" i="25"/>
  <c r="E123" i="25"/>
  <c r="Q120" i="25"/>
  <c r="E120" i="24"/>
  <c r="M91" i="25"/>
  <c r="Q121" i="25"/>
  <c r="E121" i="24"/>
  <c r="M100" i="25"/>
  <c r="R92" i="25"/>
  <c r="E122" i="24"/>
  <c r="M94" i="25"/>
  <c r="O121" i="25"/>
  <c r="I100" i="25"/>
  <c r="M101" i="25"/>
  <c r="R99" i="25"/>
  <c r="I115" i="25"/>
  <c r="O120" i="25"/>
  <c r="G86" i="24"/>
  <c r="M96" i="25"/>
  <c r="I25" i="25"/>
  <c r="O122" i="25"/>
  <c r="E123" i="28"/>
  <c r="G105" i="24"/>
  <c r="G80" i="24"/>
  <c r="M102" i="25"/>
  <c r="I121" i="24"/>
  <c r="M81" i="25"/>
  <c r="M121" i="25"/>
  <c r="I120" i="25"/>
  <c r="G98" i="24"/>
  <c r="G103" i="24"/>
  <c r="M89" i="25"/>
  <c r="G100" i="24"/>
  <c r="I119" i="25"/>
  <c r="G119" i="24"/>
  <c r="F123" i="28"/>
  <c r="G37" i="22"/>
  <c r="G121" i="22" s="1"/>
  <c r="G120" i="22"/>
  <c r="K37" i="22"/>
  <c r="K92" i="22" s="1"/>
  <c r="L37" i="22"/>
  <c r="L105" i="22" s="1"/>
  <c r="I37" i="22"/>
  <c r="I81" i="22" s="1"/>
  <c r="H120" i="22"/>
  <c r="F37" i="22"/>
  <c r="F121" i="22" s="1"/>
  <c r="H119" i="22"/>
  <c r="H121" i="22"/>
  <c r="J121" i="22"/>
  <c r="J119" i="22"/>
  <c r="E37" i="22"/>
  <c r="E119" i="22" s="1"/>
  <c r="M120" i="24"/>
  <c r="I95" i="24"/>
  <c r="I100" i="24"/>
  <c r="M122" i="24"/>
  <c r="F121" i="24"/>
  <c r="I96" i="24"/>
  <c r="I104" i="24"/>
  <c r="F120" i="24"/>
  <c r="I122" i="24"/>
  <c r="F122" i="24"/>
  <c r="I103" i="24"/>
  <c r="I87" i="24"/>
  <c r="I91" i="24"/>
  <c r="H121" i="24"/>
  <c r="I82" i="24"/>
  <c r="H115" i="24"/>
  <c r="H119" i="24"/>
  <c r="J120" i="24"/>
  <c r="I89" i="24"/>
  <c r="I93" i="24"/>
  <c r="I102" i="24"/>
  <c r="H112" i="24"/>
  <c r="H120" i="24"/>
  <c r="J121" i="24"/>
  <c r="I85" i="24"/>
  <c r="I86" i="24"/>
  <c r="J122" i="24"/>
  <c r="H83" i="25"/>
  <c r="R82" i="25"/>
  <c r="S120" i="25"/>
  <c r="I122" i="25"/>
  <c r="H104" i="25"/>
  <c r="I90" i="25"/>
  <c r="N121" i="25"/>
  <c r="R100" i="25"/>
  <c r="R112" i="25"/>
  <c r="H92" i="25"/>
  <c r="I95" i="25"/>
  <c r="R87" i="25"/>
  <c r="R101" i="25"/>
  <c r="N120" i="25"/>
  <c r="H87" i="25"/>
  <c r="R90" i="25"/>
  <c r="I112" i="25"/>
  <c r="N122" i="25"/>
  <c r="H97" i="25"/>
  <c r="I88" i="25"/>
  <c r="I80" i="25"/>
  <c r="I91" i="25"/>
  <c r="R115" i="25"/>
  <c r="H85" i="25"/>
  <c r="H90" i="25"/>
  <c r="R89" i="25"/>
  <c r="H112" i="25"/>
  <c r="H95" i="25"/>
  <c r="I104" i="25"/>
  <c r="R93" i="25"/>
  <c r="H81" i="25"/>
  <c r="I84" i="25"/>
  <c r="R81" i="25"/>
  <c r="R97" i="25"/>
  <c r="R25" i="25"/>
  <c r="Q119" i="25"/>
  <c r="L119" i="25"/>
  <c r="H103" i="25"/>
  <c r="I106" i="25"/>
  <c r="R86" i="25"/>
  <c r="L122" i="25"/>
  <c r="H94" i="25"/>
  <c r="R94" i="25"/>
  <c r="L121" i="25"/>
  <c r="H105" i="25"/>
  <c r="I98" i="25"/>
  <c r="I26" i="25"/>
  <c r="I93" i="25"/>
  <c r="R84" i="25"/>
  <c r="R95" i="25"/>
  <c r="G123" i="25"/>
  <c r="H80" i="25"/>
  <c r="H82" i="25"/>
  <c r="I94" i="25"/>
  <c r="I96" i="25"/>
  <c r="H106" i="25"/>
  <c r="I82" i="25"/>
  <c r="I99" i="25"/>
  <c r="R80" i="25"/>
  <c r="J122" i="25"/>
  <c r="K122" i="25"/>
  <c r="U122" i="25"/>
  <c r="R83" i="25"/>
  <c r="J119" i="25"/>
  <c r="K119" i="25"/>
  <c r="U120" i="25"/>
  <c r="H26" i="25"/>
  <c r="H93" i="25"/>
  <c r="I105" i="25"/>
  <c r="I92" i="25"/>
  <c r="H25" i="25"/>
  <c r="H98" i="25"/>
  <c r="I86" i="25"/>
  <c r="R104" i="25"/>
  <c r="R85" i="25"/>
  <c r="J120" i="25"/>
  <c r="K121" i="25"/>
  <c r="U121" i="25"/>
  <c r="H86" i="25"/>
  <c r="H100" i="25"/>
  <c r="R98" i="25"/>
  <c r="R96" i="25"/>
  <c r="F123" i="25"/>
  <c r="U94" i="25"/>
  <c r="U115" i="25"/>
  <c r="L25" i="25"/>
  <c r="L115" i="25"/>
  <c r="K94" i="24"/>
  <c r="K115" i="24"/>
  <c r="S106" i="25"/>
  <c r="S115" i="25"/>
  <c r="Q85" i="25"/>
  <c r="Q115" i="25"/>
  <c r="M98" i="20"/>
  <c r="M115" i="20"/>
  <c r="J85" i="24"/>
  <c r="O100" i="25"/>
  <c r="O115" i="25"/>
  <c r="T90" i="25"/>
  <c r="T115" i="25"/>
  <c r="E104" i="24"/>
  <c r="J106" i="25"/>
  <c r="J115" i="25"/>
  <c r="F86" i="24"/>
  <c r="J103" i="22"/>
  <c r="J115" i="22"/>
  <c r="M94" i="24"/>
  <c r="M115" i="24"/>
  <c r="K86" i="25"/>
  <c r="K115" i="25"/>
  <c r="H25" i="22"/>
  <c r="H115" i="22"/>
  <c r="L87" i="24"/>
  <c r="L115" i="24"/>
  <c r="N96" i="25"/>
  <c r="N115" i="25"/>
  <c r="S182" i="25"/>
  <c r="T150" i="25" s="1"/>
  <c r="V21" i="25"/>
  <c r="U83" i="25"/>
  <c r="U101" i="25"/>
  <c r="U82" i="25"/>
  <c r="U90" i="25"/>
  <c r="U112" i="25"/>
  <c r="U100" i="25"/>
  <c r="U89" i="25"/>
  <c r="U104" i="25"/>
  <c r="V107" i="25"/>
  <c r="V111" i="25" s="1"/>
  <c r="U103" i="25"/>
  <c r="U92" i="25"/>
  <c r="U81" i="25"/>
  <c r="U102" i="25"/>
  <c r="U91" i="25"/>
  <c r="U93" i="25"/>
  <c r="U80" i="25"/>
  <c r="U88" i="25"/>
  <c r="U87" i="25"/>
  <c r="U97" i="25"/>
  <c r="U96" i="25"/>
  <c r="U95" i="25"/>
  <c r="U105" i="25"/>
  <c r="U99" i="25"/>
  <c r="U98" i="25"/>
  <c r="U86" i="25"/>
  <c r="U85" i="25"/>
  <c r="U106" i="25"/>
  <c r="U84" i="25"/>
  <c r="U25" i="25"/>
  <c r="U26" i="25"/>
  <c r="T91" i="25"/>
  <c r="T112" i="25"/>
  <c r="T97" i="25"/>
  <c r="T95" i="25"/>
  <c r="T85" i="25"/>
  <c r="T104" i="25"/>
  <c r="T94" i="25"/>
  <c r="T86" i="25"/>
  <c r="T101" i="25"/>
  <c r="T84" i="25"/>
  <c r="T88" i="25"/>
  <c r="T80" i="25"/>
  <c r="T92" i="25"/>
  <c r="T106" i="25"/>
  <c r="T82" i="25"/>
  <c r="T93" i="25"/>
  <c r="T96" i="25"/>
  <c r="T87" i="25"/>
  <c r="T81" i="25"/>
  <c r="T105" i="25"/>
  <c r="T99" i="25"/>
  <c r="T102" i="25"/>
  <c r="T26" i="25"/>
  <c r="T83" i="25"/>
  <c r="T89" i="25"/>
  <c r="T98" i="25"/>
  <c r="T25" i="25"/>
  <c r="T100" i="25"/>
  <c r="T103" i="25"/>
  <c r="Q102" i="25"/>
  <c r="Q96" i="25"/>
  <c r="S102" i="25"/>
  <c r="S95" i="25"/>
  <c r="Q98" i="25"/>
  <c r="Q94" i="25"/>
  <c r="Q101" i="25"/>
  <c r="O85" i="25"/>
  <c r="O96" i="25"/>
  <c r="O84" i="25"/>
  <c r="O106" i="25"/>
  <c r="O88" i="25"/>
  <c r="O112" i="25"/>
  <c r="O86" i="25"/>
  <c r="O83" i="25"/>
  <c r="O98" i="25"/>
  <c r="O105" i="25"/>
  <c r="S25" i="25"/>
  <c r="S26" i="25"/>
  <c r="Q95" i="25"/>
  <c r="S87" i="25"/>
  <c r="O82" i="25"/>
  <c r="Q87" i="25"/>
  <c r="S98" i="25"/>
  <c r="O90" i="25"/>
  <c r="S88" i="25"/>
  <c r="O89" i="25"/>
  <c r="Q25" i="25"/>
  <c r="Q26" i="25"/>
  <c r="S83" i="25"/>
  <c r="Q106" i="25"/>
  <c r="S84" i="25"/>
  <c r="O94" i="25"/>
  <c r="S21" i="25"/>
  <c r="R21" i="25"/>
  <c r="T21" i="25"/>
  <c r="U21" i="25"/>
  <c r="Q21" i="25"/>
  <c r="Q99" i="25"/>
  <c r="S94" i="25"/>
  <c r="O95" i="25"/>
  <c r="O101" i="25"/>
  <c r="Q80" i="25"/>
  <c r="S103" i="25"/>
  <c r="O80" i="25"/>
  <c r="Q112" i="25"/>
  <c r="S105" i="25"/>
  <c r="O25" i="25"/>
  <c r="O26" i="25"/>
  <c r="S96" i="25"/>
  <c r="Q82" i="25"/>
  <c r="S104" i="25"/>
  <c r="O99" i="25"/>
  <c r="S86" i="25"/>
  <c r="Q97" i="25"/>
  <c r="Q103" i="25"/>
  <c r="Q104" i="25"/>
  <c r="S99" i="25"/>
  <c r="S112" i="25"/>
  <c r="O102" i="25"/>
  <c r="Q91" i="25"/>
  <c r="Q86" i="25"/>
  <c r="S81" i="25"/>
  <c r="S100" i="25"/>
  <c r="O81" i="25"/>
  <c r="P107" i="25"/>
  <c r="Q90" i="25"/>
  <c r="O91" i="25"/>
  <c r="Q88" i="25"/>
  <c r="Q93" i="25"/>
  <c r="S92" i="25"/>
  <c r="S97" i="25"/>
  <c r="O97" i="25"/>
  <c r="Q89" i="25"/>
  <c r="S93" i="25"/>
  <c r="O103" i="25"/>
  <c r="Q81" i="25"/>
  <c r="Q83" i="25"/>
  <c r="S80" i="25"/>
  <c r="S82" i="25"/>
  <c r="O87" i="25"/>
  <c r="Q92" i="25"/>
  <c r="Q100" i="25"/>
  <c r="S85" i="25"/>
  <c r="S90" i="25"/>
  <c r="O104" i="25"/>
  <c r="O92" i="25"/>
  <c r="S101" i="25"/>
  <c r="Q84" i="25"/>
  <c r="Q105" i="25"/>
  <c r="S91" i="25"/>
  <c r="S89" i="25"/>
  <c r="O93" i="25"/>
  <c r="P21" i="25"/>
  <c r="O21" i="25"/>
  <c r="N112" i="25"/>
  <c r="N94" i="25"/>
  <c r="N83" i="25"/>
  <c r="N21" i="25"/>
  <c r="N84" i="25"/>
  <c r="N91" i="25"/>
  <c r="N85" i="25"/>
  <c r="N104" i="25"/>
  <c r="N99" i="25"/>
  <c r="N95" i="25"/>
  <c r="N92" i="25"/>
  <c r="O21" i="29"/>
  <c r="N102" i="25"/>
  <c r="N80" i="25"/>
  <c r="N86" i="25"/>
  <c r="N89" i="25"/>
  <c r="N100" i="25"/>
  <c r="N82" i="25"/>
  <c r="N105" i="25"/>
  <c r="N103" i="25"/>
  <c r="N90" i="25"/>
  <c r="N98" i="25"/>
  <c r="N101" i="25"/>
  <c r="N88" i="25"/>
  <c r="N97" i="25"/>
  <c r="N81" i="25"/>
  <c r="N93" i="25"/>
  <c r="N87" i="25"/>
  <c r="N25" i="25"/>
  <c r="N26" i="25"/>
  <c r="N106" i="25"/>
  <c r="M96" i="24"/>
  <c r="M99" i="24"/>
  <c r="M101" i="24"/>
  <c r="M81" i="24"/>
  <c r="M88" i="24"/>
  <c r="M106" i="24"/>
  <c r="M84" i="24"/>
  <c r="M87" i="24"/>
  <c r="M21" i="24"/>
  <c r="M92" i="24"/>
  <c r="M80" i="24"/>
  <c r="M82" i="24"/>
  <c r="M105" i="24"/>
  <c r="M85" i="24"/>
  <c r="M91" i="24"/>
  <c r="M21" i="26"/>
  <c r="M98" i="24"/>
  <c r="M86" i="24"/>
  <c r="M95" i="24"/>
  <c r="M89" i="24"/>
  <c r="M21" i="22"/>
  <c r="M102" i="24"/>
  <c r="M83" i="24"/>
  <c r="M103" i="24"/>
  <c r="M90" i="24"/>
  <c r="M93" i="24"/>
  <c r="M97" i="24"/>
  <c r="M104" i="24"/>
  <c r="M100" i="24"/>
  <c r="N21" i="29"/>
  <c r="M97" i="20"/>
  <c r="M87" i="20"/>
  <c r="M21" i="28"/>
  <c r="L21" i="28"/>
  <c r="L21" i="20"/>
  <c r="N21" i="20"/>
  <c r="M21" i="20"/>
  <c r="M21" i="25"/>
  <c r="L21" i="21"/>
  <c r="N21" i="21"/>
  <c r="M21" i="21"/>
  <c r="M25" i="24"/>
  <c r="M26" i="24"/>
  <c r="M85" i="20"/>
  <c r="M82" i="20"/>
  <c r="M86" i="20"/>
  <c r="M106" i="20"/>
  <c r="M105" i="20"/>
  <c r="L25" i="21"/>
  <c r="L26" i="21"/>
  <c r="L101" i="21"/>
  <c r="L94" i="21"/>
  <c r="L105" i="21"/>
  <c r="L104" i="21"/>
  <c r="L106" i="21"/>
  <c r="L84" i="21"/>
  <c r="L89" i="21"/>
  <c r="L83" i="21"/>
  <c r="L100" i="21"/>
  <c r="L85" i="21"/>
  <c r="L91" i="21"/>
  <c r="L93" i="21"/>
  <c r="L86" i="21"/>
  <c r="L95" i="21"/>
  <c r="L87" i="21"/>
  <c r="L80" i="21"/>
  <c r="L92" i="21"/>
  <c r="L88" i="21"/>
  <c r="L81" i="21"/>
  <c r="L97" i="21"/>
  <c r="L96" i="21"/>
  <c r="L98" i="21"/>
  <c r="L90" i="21"/>
  <c r="L99" i="21"/>
  <c r="L82" i="21"/>
  <c r="L103" i="21"/>
  <c r="L102" i="21"/>
  <c r="M83" i="20"/>
  <c r="M94" i="20"/>
  <c r="M90" i="20"/>
  <c r="M89" i="20"/>
  <c r="M104" i="20"/>
  <c r="M88" i="20"/>
  <c r="M103" i="20"/>
  <c r="M81" i="20"/>
  <c r="M93" i="20"/>
  <c r="M102" i="20"/>
  <c r="M80" i="20"/>
  <c r="L21" i="22"/>
  <c r="M101" i="20"/>
  <c r="M92" i="20"/>
  <c r="M100" i="20"/>
  <c r="M96" i="20"/>
  <c r="M91" i="20"/>
  <c r="M99" i="20"/>
  <c r="M95" i="20"/>
  <c r="M84" i="20"/>
  <c r="M25" i="20"/>
  <c r="M26" i="20"/>
  <c r="K101" i="24"/>
  <c r="L100" i="26"/>
  <c r="K91" i="24"/>
  <c r="K80" i="24"/>
  <c r="K90" i="24"/>
  <c r="K98" i="24"/>
  <c r="K84" i="24"/>
  <c r="L80" i="26"/>
  <c r="L99" i="26"/>
  <c r="K89" i="24"/>
  <c r="L87" i="26"/>
  <c r="L99" i="24"/>
  <c r="L86" i="24"/>
  <c r="L105" i="25"/>
  <c r="K104" i="24"/>
  <c r="K82" i="24"/>
  <c r="K81" i="24"/>
  <c r="K103" i="26"/>
  <c r="L93" i="26"/>
  <c r="L88" i="26"/>
  <c r="L106" i="26"/>
  <c r="K99" i="24"/>
  <c r="K26" i="24"/>
  <c r="L97" i="24"/>
  <c r="K88" i="24"/>
  <c r="L96" i="24"/>
  <c r="K87" i="24"/>
  <c r="L82" i="24"/>
  <c r="K97" i="24"/>
  <c r="K86" i="24"/>
  <c r="K25" i="24"/>
  <c r="L88" i="25"/>
  <c r="K96" i="24"/>
  <c r="L87" i="25"/>
  <c r="K85" i="24"/>
  <c r="L86" i="25"/>
  <c r="K106" i="24"/>
  <c r="K94" i="26"/>
  <c r="L85" i="25"/>
  <c r="K95" i="24"/>
  <c r="K102" i="26"/>
  <c r="K105" i="24"/>
  <c r="K83" i="24"/>
  <c r="K93" i="24"/>
  <c r="L104" i="25"/>
  <c r="L97" i="25"/>
  <c r="L82" i="25"/>
  <c r="L99" i="25"/>
  <c r="L92" i="24"/>
  <c r="L94" i="25"/>
  <c r="L102" i="24"/>
  <c r="L93" i="25"/>
  <c r="L101" i="25"/>
  <c r="L80" i="24"/>
  <c r="L92" i="25"/>
  <c r="L100" i="24"/>
  <c r="L90" i="25"/>
  <c r="L84" i="24"/>
  <c r="K106" i="26"/>
  <c r="L95" i="24"/>
  <c r="L105" i="24"/>
  <c r="K100" i="26"/>
  <c r="L85" i="24"/>
  <c r="K105" i="26"/>
  <c r="L106" i="24"/>
  <c r="L101" i="26"/>
  <c r="L94" i="24"/>
  <c r="K92" i="24"/>
  <c r="K92" i="26"/>
  <c r="K81" i="26"/>
  <c r="L103" i="24"/>
  <c r="L104" i="24"/>
  <c r="K89" i="26"/>
  <c r="K86" i="26"/>
  <c r="L101" i="24"/>
  <c r="L94" i="20"/>
  <c r="L26" i="20"/>
  <c r="K96" i="26"/>
  <c r="L90" i="24"/>
  <c r="L102" i="25"/>
  <c r="K98" i="26"/>
  <c r="L89" i="24"/>
  <c r="L100" i="25"/>
  <c r="K102" i="24"/>
  <c r="K104" i="26"/>
  <c r="L88" i="24"/>
  <c r="L98" i="25"/>
  <c r="K99" i="26"/>
  <c r="L98" i="24"/>
  <c r="L96" i="25"/>
  <c r="L102" i="26"/>
  <c r="L95" i="25"/>
  <c r="K100" i="24"/>
  <c r="K110" i="28"/>
  <c r="K133" i="28" s="1"/>
  <c r="K111" i="28"/>
  <c r="K21" i="28"/>
  <c r="K88" i="26"/>
  <c r="L103" i="25"/>
  <c r="L106" i="25"/>
  <c r="L81" i="25"/>
  <c r="L84" i="25"/>
  <c r="L26" i="25"/>
  <c r="L91" i="26"/>
  <c r="L25" i="24"/>
  <c r="L26" i="24"/>
  <c r="L80" i="25"/>
  <c r="L83" i="25"/>
  <c r="L21" i="29"/>
  <c r="M21" i="29"/>
  <c r="K95" i="26"/>
  <c r="L112" i="25"/>
  <c r="K84" i="26"/>
  <c r="L81" i="24"/>
  <c r="L83" i="24"/>
  <c r="L91" i="25"/>
  <c r="K103" i="24"/>
  <c r="L21" i="24"/>
  <c r="K83" i="26"/>
  <c r="L91" i="24"/>
  <c r="L93" i="24"/>
  <c r="L89" i="25"/>
  <c r="L90" i="26"/>
  <c r="K21" i="26"/>
  <c r="L21" i="26"/>
  <c r="L89" i="26"/>
  <c r="K93" i="26"/>
  <c r="L96" i="26"/>
  <c r="L95" i="26"/>
  <c r="L105" i="26"/>
  <c r="K25" i="26"/>
  <c r="K26" i="26"/>
  <c r="K87" i="26"/>
  <c r="L83" i="26"/>
  <c r="K85" i="26"/>
  <c r="K97" i="26"/>
  <c r="L104" i="26"/>
  <c r="L94" i="26"/>
  <c r="K91" i="26"/>
  <c r="L84" i="26"/>
  <c r="L25" i="26"/>
  <c r="L26" i="26"/>
  <c r="L85" i="26"/>
  <c r="K80" i="26"/>
  <c r="L103" i="26"/>
  <c r="L98" i="26"/>
  <c r="K101" i="26"/>
  <c r="L92" i="26"/>
  <c r="L97" i="26"/>
  <c r="K90" i="26"/>
  <c r="L81" i="26"/>
  <c r="L86" i="26"/>
  <c r="K103" i="25"/>
  <c r="K95" i="25"/>
  <c r="K94" i="25"/>
  <c r="K102" i="25"/>
  <c r="K93" i="25"/>
  <c r="K80" i="25"/>
  <c r="K112" i="25"/>
  <c r="K88" i="25"/>
  <c r="K87" i="25"/>
  <c r="K106" i="25"/>
  <c r="L21" i="25"/>
  <c r="K21" i="25"/>
  <c r="K81" i="25"/>
  <c r="K98" i="25"/>
  <c r="K97" i="25"/>
  <c r="K92" i="25"/>
  <c r="K91" i="25"/>
  <c r="K90" i="25"/>
  <c r="K89" i="25"/>
  <c r="K25" i="25"/>
  <c r="K26" i="25"/>
  <c r="K85" i="25"/>
  <c r="K84" i="25"/>
  <c r="K101" i="25"/>
  <c r="K100" i="25"/>
  <c r="K83" i="25"/>
  <c r="K105" i="25"/>
  <c r="K99" i="25"/>
  <c r="K104" i="25"/>
  <c r="K96" i="25"/>
  <c r="K82" i="25"/>
  <c r="J104" i="26"/>
  <c r="J101" i="22"/>
  <c r="J94" i="22"/>
  <c r="J105" i="26"/>
  <c r="J96" i="26"/>
  <c r="J93" i="26"/>
  <c r="J80" i="25"/>
  <c r="J81" i="25"/>
  <c r="J96" i="25"/>
  <c r="J99" i="26"/>
  <c r="J84" i="26"/>
  <c r="J86" i="26"/>
  <c r="J92" i="26"/>
  <c r="J87" i="26"/>
  <c r="J102" i="25"/>
  <c r="J112" i="25"/>
  <c r="J99" i="25"/>
  <c r="J105" i="25"/>
  <c r="J82" i="24"/>
  <c r="J97" i="25"/>
  <c r="J98" i="25"/>
  <c r="J25" i="25"/>
  <c r="J91" i="25"/>
  <c r="J83" i="25"/>
  <c r="J88" i="25"/>
  <c r="J89" i="25"/>
  <c r="J82" i="25"/>
  <c r="J85" i="25"/>
  <c r="J90" i="24"/>
  <c r="J95" i="24"/>
  <c r="J103" i="25"/>
  <c r="J98" i="24"/>
  <c r="J84" i="25"/>
  <c r="J99" i="24"/>
  <c r="J86" i="25"/>
  <c r="J96" i="24"/>
  <c r="J100" i="25"/>
  <c r="J104" i="24"/>
  <c r="J91" i="22"/>
  <c r="J104" i="25"/>
  <c r="J100" i="24"/>
  <c r="J87" i="25"/>
  <c r="J105" i="24"/>
  <c r="J97" i="24"/>
  <c r="J90" i="25"/>
  <c r="J26" i="25"/>
  <c r="J93" i="25"/>
  <c r="J101" i="25"/>
  <c r="J92" i="25"/>
  <c r="J93" i="24"/>
  <c r="J94" i="25"/>
  <c r="J95" i="25"/>
  <c r="J100" i="22"/>
  <c r="J82" i="22"/>
  <c r="J88" i="26"/>
  <c r="J89" i="26"/>
  <c r="J99" i="22"/>
  <c r="J101" i="26"/>
  <c r="J88" i="22"/>
  <c r="J37" i="20"/>
  <c r="J122" i="20" s="1"/>
  <c r="J90" i="22"/>
  <c r="J81" i="22"/>
  <c r="J106" i="22"/>
  <c r="J97" i="22"/>
  <c r="J86" i="22"/>
  <c r="J92" i="22"/>
  <c r="J85" i="22"/>
  <c r="I107" i="28"/>
  <c r="I111" i="28" s="1"/>
  <c r="J26" i="22"/>
  <c r="J96" i="22"/>
  <c r="J104" i="22"/>
  <c r="J102" i="22"/>
  <c r="J109" i="28"/>
  <c r="J95" i="22"/>
  <c r="J85" i="26"/>
  <c r="J37" i="21"/>
  <c r="J106" i="26"/>
  <c r="K37" i="21"/>
  <c r="I109" i="28"/>
  <c r="J94" i="26"/>
  <c r="J84" i="22"/>
  <c r="K21" i="20"/>
  <c r="J21" i="20"/>
  <c r="J95" i="26"/>
  <c r="J97" i="26"/>
  <c r="J91" i="26"/>
  <c r="J80" i="22"/>
  <c r="J105" i="22"/>
  <c r="J90" i="26"/>
  <c r="J107" i="28"/>
  <c r="D19" i="21"/>
  <c r="D21" i="21" s="1"/>
  <c r="D22" i="21" s="1"/>
  <c r="J21" i="21"/>
  <c r="K21" i="21"/>
  <c r="J80" i="26"/>
  <c r="J83" i="22"/>
  <c r="J98" i="22"/>
  <c r="D19" i="28"/>
  <c r="D21" i="28" s="1"/>
  <c r="D22" i="28" s="1"/>
  <c r="J21" i="28"/>
  <c r="I21" i="28"/>
  <c r="D19" i="26"/>
  <c r="E21" i="26" s="1"/>
  <c r="J21" i="26"/>
  <c r="J83" i="26"/>
  <c r="J89" i="22"/>
  <c r="J87" i="22"/>
  <c r="D19" i="22"/>
  <c r="E21" i="22" s="1"/>
  <c r="K21" i="22"/>
  <c r="J21" i="22"/>
  <c r="J25" i="26"/>
  <c r="J26" i="26"/>
  <c r="J21" i="25"/>
  <c r="J100" i="26"/>
  <c r="J98" i="26"/>
  <c r="J81" i="26"/>
  <c r="J102" i="26"/>
  <c r="J25" i="22"/>
  <c r="J103" i="26"/>
  <c r="J93" i="22"/>
  <c r="J86" i="24"/>
  <c r="J25" i="24"/>
  <c r="J89" i="24"/>
  <c r="J84" i="24"/>
  <c r="J83" i="24"/>
  <c r="J102" i="24"/>
  <c r="J91" i="24"/>
  <c r="J101" i="24"/>
  <c r="J103" i="24"/>
  <c r="J92" i="24"/>
  <c r="J88" i="24"/>
  <c r="J80" i="24"/>
  <c r="J94" i="24"/>
  <c r="J87" i="24"/>
  <c r="J106" i="24"/>
  <c r="J26" i="24"/>
  <c r="J81" i="24"/>
  <c r="D19" i="24"/>
  <c r="E21" i="24" s="1"/>
  <c r="J21" i="24"/>
  <c r="K21" i="24"/>
  <c r="D26" i="24"/>
  <c r="D38" i="26"/>
  <c r="H21" i="21"/>
  <c r="I21" i="21"/>
  <c r="I21" i="22"/>
  <c r="F21" i="21"/>
  <c r="F21" i="25"/>
  <c r="G21" i="25"/>
  <c r="D19" i="25"/>
  <c r="E21" i="25" s="1"/>
  <c r="H21" i="22"/>
  <c r="F21" i="22"/>
  <c r="H21" i="24"/>
  <c r="H21" i="25"/>
  <c r="G21" i="22"/>
  <c r="I21" i="25"/>
  <c r="G21" i="21"/>
  <c r="D19" i="20"/>
  <c r="E21" i="20" s="1"/>
  <c r="H21" i="20"/>
  <c r="F21" i="20"/>
  <c r="I21" i="20"/>
  <c r="G21" i="20"/>
  <c r="F21" i="26"/>
  <c r="G21" i="28"/>
  <c r="I21" i="24"/>
  <c r="G21" i="26"/>
  <c r="I21" i="26"/>
  <c r="H21" i="26"/>
  <c r="F21" i="24"/>
  <c r="D19" i="29"/>
  <c r="D21" i="29" s="1"/>
  <c r="D22" i="29" s="1"/>
  <c r="H21" i="29"/>
  <c r="J21" i="29"/>
  <c r="I21" i="29"/>
  <c r="F21" i="29"/>
  <c r="G21" i="29"/>
  <c r="K21" i="29"/>
  <c r="F21" i="28"/>
  <c r="H21" i="28"/>
  <c r="G21" i="24"/>
  <c r="H107" i="26"/>
  <c r="H111" i="26" s="1"/>
  <c r="I109" i="26"/>
  <c r="H109" i="26"/>
  <c r="I107" i="26"/>
  <c r="I111" i="26" s="1"/>
  <c r="I84" i="20"/>
  <c r="I93" i="20"/>
  <c r="I87" i="20"/>
  <c r="I25" i="21"/>
  <c r="I26" i="21"/>
  <c r="I106" i="21"/>
  <c r="I104" i="21"/>
  <c r="I105" i="21"/>
  <c r="I98" i="21"/>
  <c r="I84" i="21"/>
  <c r="I99" i="21"/>
  <c r="I95" i="21"/>
  <c r="I100" i="21"/>
  <c r="I93" i="21"/>
  <c r="I96" i="21"/>
  <c r="I80" i="21"/>
  <c r="I81" i="21"/>
  <c r="I82" i="21"/>
  <c r="I83" i="21"/>
  <c r="I86" i="21"/>
  <c r="I87" i="21"/>
  <c r="I88" i="21"/>
  <c r="I102" i="21"/>
  <c r="I89" i="21"/>
  <c r="I103" i="21"/>
  <c r="I85" i="21"/>
  <c r="I90" i="21"/>
  <c r="I91" i="21"/>
  <c r="I97" i="21"/>
  <c r="I92" i="21"/>
  <c r="I101" i="21"/>
  <c r="I94" i="21"/>
  <c r="D37" i="25"/>
  <c r="D26" i="25" s="1"/>
  <c r="H94" i="22"/>
  <c r="H95" i="22"/>
  <c r="H86" i="22"/>
  <c r="H96" i="22"/>
  <c r="D31" i="20"/>
  <c r="H91" i="22"/>
  <c r="H87" i="22"/>
  <c r="D36" i="21"/>
  <c r="H98" i="22"/>
  <c r="H92" i="22"/>
  <c r="H81" i="22"/>
  <c r="H105" i="22"/>
  <c r="H104" i="22"/>
  <c r="H82" i="22"/>
  <c r="H106" i="22"/>
  <c r="H84" i="22"/>
  <c r="H97" i="22"/>
  <c r="H26" i="22"/>
  <c r="H90" i="22"/>
  <c r="H89" i="22"/>
  <c r="H85" i="22"/>
  <c r="H83" i="22"/>
  <c r="H93" i="22"/>
  <c r="H103" i="22"/>
  <c r="H88" i="22"/>
  <c r="H100" i="22"/>
  <c r="H80" i="22"/>
  <c r="H102" i="22"/>
  <c r="H101" i="22"/>
  <c r="H99" i="22"/>
  <c r="H94" i="20"/>
  <c r="H101" i="20"/>
  <c r="G105" i="22"/>
  <c r="G103" i="22"/>
  <c r="G99" i="22"/>
  <c r="G92" i="22"/>
  <c r="G91" i="22"/>
  <c r="G102" i="22"/>
  <c r="H25" i="21"/>
  <c r="H26" i="21"/>
  <c r="H105" i="21"/>
  <c r="H104" i="21"/>
  <c r="H106" i="21"/>
  <c r="H81" i="21"/>
  <c r="H103" i="21"/>
  <c r="H98" i="21"/>
  <c r="H85" i="21"/>
  <c r="H90" i="21"/>
  <c r="H100" i="21"/>
  <c r="H99" i="21"/>
  <c r="H86" i="21"/>
  <c r="H93" i="21"/>
  <c r="H92" i="21"/>
  <c r="H80" i="21"/>
  <c r="H89" i="21"/>
  <c r="H87" i="21"/>
  <c r="H101" i="21"/>
  <c r="H95" i="21"/>
  <c r="H82" i="21"/>
  <c r="H83" i="21"/>
  <c r="H84" i="21"/>
  <c r="H97" i="21"/>
  <c r="H94" i="21"/>
  <c r="H96" i="21"/>
  <c r="H88" i="21"/>
  <c r="H102" i="21"/>
  <c r="H91" i="21"/>
  <c r="G95" i="22"/>
  <c r="G90" i="22"/>
  <c r="G109" i="25"/>
  <c r="G107" i="25"/>
  <c r="G111" i="25" s="1"/>
  <c r="G109" i="26"/>
  <c r="G107" i="26"/>
  <c r="G111" i="26" s="1"/>
  <c r="G37" i="21"/>
  <c r="F106" i="24"/>
  <c r="F88" i="24"/>
  <c r="F91" i="24"/>
  <c r="F98" i="24"/>
  <c r="F112" i="24"/>
  <c r="F102" i="24"/>
  <c r="F85" i="24"/>
  <c r="F95" i="24"/>
  <c r="E109" i="28"/>
  <c r="E107" i="28"/>
  <c r="E99" i="24"/>
  <c r="E85" i="24"/>
  <c r="E96" i="24"/>
  <c r="E112" i="24"/>
  <c r="E93" i="24"/>
  <c r="E100" i="24"/>
  <c r="E80" i="24"/>
  <c r="E95" i="24"/>
  <c r="E98" i="24"/>
  <c r="E81" i="24"/>
  <c r="E94" i="24"/>
  <c r="E97" i="24"/>
  <c r="E82" i="24"/>
  <c r="E101" i="24"/>
  <c r="E92" i="24"/>
  <c r="E103" i="24"/>
  <c r="E91" i="24"/>
  <c r="E105" i="24"/>
  <c r="E87" i="24"/>
  <c r="E83" i="24"/>
  <c r="E84" i="24"/>
  <c r="E90" i="24"/>
  <c r="E88" i="24"/>
  <c r="E89" i="24"/>
  <c r="E106" i="24"/>
  <c r="F104" i="24"/>
  <c r="F103" i="24"/>
  <c r="F25" i="24"/>
  <c r="F93" i="24"/>
  <c r="F83" i="24"/>
  <c r="F80" i="24"/>
  <c r="F82" i="24"/>
  <c r="F87" i="24"/>
  <c r="E86" i="24"/>
  <c r="E102" i="24"/>
  <c r="G37" i="20"/>
  <c r="F100" i="24"/>
  <c r="F26" i="24"/>
  <c r="F97" i="24"/>
  <c r="F105" i="24"/>
  <c r="F99" i="24"/>
  <c r="D112" i="28"/>
  <c r="F96" i="24"/>
  <c r="F101" i="24"/>
  <c r="F94" i="24"/>
  <c r="F84" i="24"/>
  <c r="F81" i="24"/>
  <c r="F90" i="24"/>
  <c r="E25" i="24"/>
  <c r="E26" i="24"/>
  <c r="F89" i="24"/>
  <c r="F92" i="24"/>
  <c r="D112" i="24"/>
  <c r="F109" i="28"/>
  <c r="F107" i="28"/>
  <c r="F107" i="25"/>
  <c r="F111" i="25" s="1"/>
  <c r="F107" i="26"/>
  <c r="F111" i="26" s="1"/>
  <c r="D36" i="22"/>
  <c r="D91" i="26"/>
  <c r="D26" i="26"/>
  <c r="F109" i="25"/>
  <c r="F109" i="26"/>
  <c r="F37" i="21"/>
  <c r="E81" i="21"/>
  <c r="E26" i="21"/>
  <c r="F37" i="20"/>
  <c r="D100" i="26"/>
  <c r="D101" i="26"/>
  <c r="D81" i="26"/>
  <c r="E109" i="26"/>
  <c r="D97" i="26"/>
  <c r="D98" i="26"/>
  <c r="D99" i="26"/>
  <c r="D80" i="26"/>
  <c r="D102" i="26"/>
  <c r="D103" i="26"/>
  <c r="D83" i="26"/>
  <c r="D104" i="26"/>
  <c r="D105" i="26"/>
  <c r="D84" i="26"/>
  <c r="E107" i="26"/>
  <c r="E111" i="26" s="1"/>
  <c r="D106" i="26"/>
  <c r="D82" i="26"/>
  <c r="D85" i="26"/>
  <c r="D86" i="26"/>
  <c r="D92" i="26"/>
  <c r="D94" i="26"/>
  <c r="D89" i="26"/>
  <c r="D87" i="26"/>
  <c r="D88" i="26"/>
  <c r="D95" i="26"/>
  <c r="D90" i="26"/>
  <c r="D93" i="26"/>
  <c r="D96" i="26"/>
  <c r="E95" i="21"/>
  <c r="D96" i="24"/>
  <c r="D106" i="24"/>
  <c r="D92" i="24"/>
  <c r="D85" i="24"/>
  <c r="E107" i="25"/>
  <c r="E111" i="25" s="1"/>
  <c r="D91" i="24"/>
  <c r="D88" i="24"/>
  <c r="D89" i="24"/>
  <c r="D90" i="24"/>
  <c r="D86" i="24"/>
  <c r="D101" i="28"/>
  <c r="D25" i="28"/>
  <c r="D93" i="24"/>
  <c r="D94" i="24"/>
  <c r="E25" i="21"/>
  <c r="D95" i="24"/>
  <c r="D98" i="24"/>
  <c r="D80" i="24"/>
  <c r="D102" i="24"/>
  <c r="D81" i="24"/>
  <c r="D103" i="24"/>
  <c r="E109" i="25"/>
  <c r="D97" i="24"/>
  <c r="D82" i="24"/>
  <c r="D104" i="24"/>
  <c r="D105" i="24"/>
  <c r="D100" i="24"/>
  <c r="D99" i="24"/>
  <c r="D83" i="24"/>
  <c r="D37" i="20"/>
  <c r="D87" i="24"/>
  <c r="D84" i="24"/>
  <c r="E91" i="21"/>
  <c r="E89" i="21"/>
  <c r="E100" i="21"/>
  <c r="E87" i="21"/>
  <c r="E86" i="21"/>
  <c r="E85" i="21"/>
  <c r="E88" i="21"/>
  <c r="E82" i="21"/>
  <c r="E94" i="21"/>
  <c r="E93" i="21"/>
  <c r="E92" i="21"/>
  <c r="E90" i="21"/>
  <c r="E106" i="21"/>
  <c r="E84" i="21"/>
  <c r="E83" i="21"/>
  <c r="E99" i="21"/>
  <c r="E102" i="21"/>
  <c r="E80" i="21"/>
  <c r="E104" i="21"/>
  <c r="E97" i="21"/>
  <c r="E101" i="21"/>
  <c r="E105" i="21"/>
  <c r="E98" i="21"/>
  <c r="E96" i="21"/>
  <c r="E103" i="21"/>
  <c r="E37" i="20"/>
  <c r="D91" i="28"/>
  <c r="D80" i="28"/>
  <c r="D82" i="28"/>
  <c r="D95" i="28"/>
  <c r="D84" i="28"/>
  <c r="D106" i="28"/>
  <c r="D97" i="28"/>
  <c r="D88" i="28"/>
  <c r="D93" i="28"/>
  <c r="D99" i="28"/>
  <c r="D86" i="28"/>
  <c r="D85" i="28"/>
  <c r="D81" i="28"/>
  <c r="D98" i="28"/>
  <c r="D90" i="28"/>
  <c r="D96" i="28"/>
  <c r="D103" i="28"/>
  <c r="D104" i="28"/>
  <c r="D83" i="28"/>
  <c r="D87" i="28"/>
  <c r="D89" i="28"/>
  <c r="D94" i="28"/>
  <c r="D100" i="28"/>
  <c r="D92" i="28"/>
  <c r="D105" i="28"/>
  <c r="D102" i="28"/>
  <c r="D25" i="26"/>
  <c r="D38" i="20"/>
  <c r="K123" i="24" l="1"/>
  <c r="G109" i="24"/>
  <c r="G135" i="24"/>
  <c r="K122" i="20"/>
  <c r="N135" i="25"/>
  <c r="H120" i="20"/>
  <c r="H104" i="20"/>
  <c r="G137" i="24"/>
  <c r="G25" i="22"/>
  <c r="G26" i="22"/>
  <c r="H103" i="20"/>
  <c r="K94" i="20"/>
  <c r="K102" i="20"/>
  <c r="H81" i="20"/>
  <c r="G88" i="22"/>
  <c r="H100" i="20"/>
  <c r="G98" i="22"/>
  <c r="G80" i="22"/>
  <c r="G93" i="22"/>
  <c r="G81" i="22"/>
  <c r="G83" i="22"/>
  <c r="G96" i="22"/>
  <c r="H102" i="20"/>
  <c r="L121" i="20"/>
  <c r="L120" i="20"/>
  <c r="H93" i="20"/>
  <c r="I101" i="20"/>
  <c r="H91" i="20"/>
  <c r="I96" i="20"/>
  <c r="L103" i="20"/>
  <c r="H106" i="20"/>
  <c r="I86" i="20"/>
  <c r="I135" i="20" s="1"/>
  <c r="H105" i="20"/>
  <c r="I91" i="20"/>
  <c r="L83" i="20"/>
  <c r="H126" i="20"/>
  <c r="L95" i="20"/>
  <c r="H87" i="20"/>
  <c r="H82" i="20"/>
  <c r="I85" i="20"/>
  <c r="L105" i="20"/>
  <c r="H88" i="20"/>
  <c r="H96" i="20"/>
  <c r="I105" i="20"/>
  <c r="H97" i="20"/>
  <c r="H89" i="20"/>
  <c r="G106" i="22"/>
  <c r="H99" i="20"/>
  <c r="G110" i="28"/>
  <c r="G133" i="28" s="1"/>
  <c r="H25" i="20"/>
  <c r="J135" i="24"/>
  <c r="L80" i="20"/>
  <c r="H84" i="20"/>
  <c r="H95" i="20"/>
  <c r="H85" i="20"/>
  <c r="H26" i="20"/>
  <c r="H83" i="20"/>
  <c r="L88" i="20"/>
  <c r="H86" i="20"/>
  <c r="I26" i="20"/>
  <c r="L90" i="20"/>
  <c r="I25" i="20"/>
  <c r="L86" i="20"/>
  <c r="H92" i="20"/>
  <c r="H98" i="20"/>
  <c r="I80" i="22"/>
  <c r="S128" i="25"/>
  <c r="I86" i="22"/>
  <c r="K100" i="22"/>
  <c r="I85" i="22"/>
  <c r="L123" i="24"/>
  <c r="I99" i="22"/>
  <c r="L93" i="20"/>
  <c r="I83" i="20"/>
  <c r="H80" i="20"/>
  <c r="I88" i="20"/>
  <c r="I90" i="20"/>
  <c r="H90" i="20"/>
  <c r="I97" i="22"/>
  <c r="L81" i="20"/>
  <c r="R140" i="25"/>
  <c r="H107" i="24"/>
  <c r="H111" i="24" s="1"/>
  <c r="F128" i="24"/>
  <c r="H128" i="24"/>
  <c r="L92" i="20"/>
  <c r="K126" i="20"/>
  <c r="G128" i="24"/>
  <c r="L84" i="20"/>
  <c r="L96" i="20"/>
  <c r="G107" i="24"/>
  <c r="G111" i="24" s="1"/>
  <c r="I93" i="22"/>
  <c r="T140" i="25"/>
  <c r="H110" i="28"/>
  <c r="H133" i="28" s="1"/>
  <c r="H125" i="20"/>
  <c r="E104" i="22"/>
  <c r="K119" i="20"/>
  <c r="G136" i="24" a="1"/>
  <c r="G136" i="24" s="1"/>
  <c r="I89" i="20"/>
  <c r="M135" i="20"/>
  <c r="G140" i="24"/>
  <c r="E93" i="22"/>
  <c r="J140" i="25"/>
  <c r="O140" i="25"/>
  <c r="J120" i="20"/>
  <c r="G104" i="22"/>
  <c r="G85" i="22"/>
  <c r="K81" i="20"/>
  <c r="J135" i="25"/>
  <c r="K105" i="20"/>
  <c r="L97" i="20"/>
  <c r="M137" i="20"/>
  <c r="M139" i="20" s="1"/>
  <c r="M140" i="20"/>
  <c r="R136" i="25" a="1"/>
  <c r="R136" i="25" s="1"/>
  <c r="L119" i="20"/>
  <c r="G94" i="22"/>
  <c r="G86" i="22"/>
  <c r="I104" i="20"/>
  <c r="L85" i="20"/>
  <c r="L89" i="20"/>
  <c r="L115" i="20"/>
  <c r="L126" i="20"/>
  <c r="L128" i="20" s="1"/>
  <c r="E102" i="22"/>
  <c r="L137" i="24"/>
  <c r="L139" i="24" s="1"/>
  <c r="L140" i="24"/>
  <c r="M136" i="20" a="1"/>
  <c r="M136" i="20" s="1"/>
  <c r="E140" i="24"/>
  <c r="K101" i="20"/>
  <c r="S140" i="25"/>
  <c r="I140" i="25"/>
  <c r="F122" i="20"/>
  <c r="F115" i="20"/>
  <c r="H109" i="24"/>
  <c r="K26" i="20"/>
  <c r="K98" i="20"/>
  <c r="U140" i="25"/>
  <c r="K92" i="20"/>
  <c r="K100" i="20"/>
  <c r="N137" i="25"/>
  <c r="N139" i="25" s="1"/>
  <c r="N140" i="25"/>
  <c r="M140" i="25"/>
  <c r="K90" i="20"/>
  <c r="E97" i="22"/>
  <c r="I101" i="22"/>
  <c r="K91" i="20"/>
  <c r="L140" i="25"/>
  <c r="Q140" i="25"/>
  <c r="I102" i="22"/>
  <c r="H137" i="24"/>
  <c r="H139" i="24" s="1"/>
  <c r="H140" i="24"/>
  <c r="J137" i="24"/>
  <c r="J139" i="24" s="1"/>
  <c r="J140" i="24"/>
  <c r="K83" i="20"/>
  <c r="G89" i="22"/>
  <c r="G136" i="22" s="1" a="1"/>
  <c r="G136" i="22" s="1"/>
  <c r="L25" i="20"/>
  <c r="G84" i="22"/>
  <c r="K97" i="20"/>
  <c r="L98" i="20"/>
  <c r="L106" i="20"/>
  <c r="M140" i="24"/>
  <c r="I137" i="24"/>
  <c r="I139" i="24" s="1"/>
  <c r="I140" i="24"/>
  <c r="E94" i="22"/>
  <c r="E135" i="24"/>
  <c r="I106" i="20"/>
  <c r="K103" i="20"/>
  <c r="K89" i="20"/>
  <c r="K140" i="24"/>
  <c r="I135" i="24"/>
  <c r="F150" i="24"/>
  <c r="F139" i="25"/>
  <c r="G87" i="22"/>
  <c r="K93" i="20"/>
  <c r="K96" i="20"/>
  <c r="I103" i="20"/>
  <c r="I99" i="20"/>
  <c r="K106" i="20"/>
  <c r="L104" i="20"/>
  <c r="L91" i="20"/>
  <c r="L99" i="20"/>
  <c r="G115" i="22"/>
  <c r="H140" i="25"/>
  <c r="M128" i="20"/>
  <c r="K86" i="20"/>
  <c r="K80" i="20"/>
  <c r="K88" i="20"/>
  <c r="E84" i="22"/>
  <c r="E101" i="22"/>
  <c r="I100" i="20"/>
  <c r="I102" i="20"/>
  <c r="J140" i="22"/>
  <c r="K99" i="20"/>
  <c r="K82" i="20"/>
  <c r="K140" i="25"/>
  <c r="L100" i="20"/>
  <c r="O135" i="25"/>
  <c r="G82" i="22"/>
  <c r="E123" i="24"/>
  <c r="K121" i="20"/>
  <c r="K95" i="20"/>
  <c r="K104" i="20"/>
  <c r="E25" i="22"/>
  <c r="G101" i="22"/>
  <c r="L82" i="20"/>
  <c r="E92" i="22"/>
  <c r="G97" i="22"/>
  <c r="I94" i="20"/>
  <c r="K85" i="20"/>
  <c r="K84" i="20"/>
  <c r="L87" i="20"/>
  <c r="L101" i="20"/>
  <c r="J128" i="24"/>
  <c r="K120" i="20"/>
  <c r="E86" i="22"/>
  <c r="G139" i="24"/>
  <c r="H140" i="22"/>
  <c r="F137" i="24"/>
  <c r="F140" i="24"/>
  <c r="K87" i="20"/>
  <c r="E82" i="22"/>
  <c r="K25" i="20"/>
  <c r="E89" i="22"/>
  <c r="E103" i="22"/>
  <c r="G100" i="22"/>
  <c r="I92" i="20"/>
  <c r="L102" i="20"/>
  <c r="K125" i="20"/>
  <c r="H135" i="25"/>
  <c r="M136" i="25" a="1"/>
  <c r="M136" i="25" s="1"/>
  <c r="K137" i="25"/>
  <c r="K139" i="25" s="1"/>
  <c r="T137" i="25"/>
  <c r="T139" i="25" s="1"/>
  <c r="J136" i="25" a="1"/>
  <c r="J136" i="25" s="1"/>
  <c r="I137" i="25"/>
  <c r="I139" i="25" s="1"/>
  <c r="Q137" i="25"/>
  <c r="Q139" i="25" s="1"/>
  <c r="N136" i="25" a="1"/>
  <c r="N136" i="25" s="1"/>
  <c r="K96" i="22"/>
  <c r="K80" i="22"/>
  <c r="L120" i="22"/>
  <c r="K93" i="22"/>
  <c r="K26" i="22"/>
  <c r="L87" i="22"/>
  <c r="L119" i="22"/>
  <c r="K85" i="22"/>
  <c r="L81" i="22"/>
  <c r="K90" i="22"/>
  <c r="F99" i="22"/>
  <c r="L94" i="22"/>
  <c r="L104" i="22"/>
  <c r="J136" i="22" a="1"/>
  <c r="J136" i="22" s="1"/>
  <c r="L99" i="22"/>
  <c r="L102" i="22"/>
  <c r="K98" i="22"/>
  <c r="L26" i="22"/>
  <c r="K81" i="22"/>
  <c r="K97" i="22"/>
  <c r="L85" i="22"/>
  <c r="K103" i="22"/>
  <c r="K84" i="22"/>
  <c r="K86" i="22"/>
  <c r="L95" i="22"/>
  <c r="K88" i="22"/>
  <c r="K91" i="22"/>
  <c r="L86" i="22"/>
  <c r="L92" i="22"/>
  <c r="K106" i="22"/>
  <c r="L80" i="22"/>
  <c r="L98" i="22"/>
  <c r="L83" i="22"/>
  <c r="K25" i="22"/>
  <c r="L91" i="22"/>
  <c r="E120" i="22"/>
  <c r="I120" i="20"/>
  <c r="G125" i="20"/>
  <c r="G119" i="20"/>
  <c r="G126" i="20"/>
  <c r="F136" i="24" a="1"/>
  <c r="F136" i="24" s="1"/>
  <c r="E149" i="24" s="1"/>
  <c r="M137" i="25"/>
  <c r="M139" i="25" s="1"/>
  <c r="G122" i="20"/>
  <c r="L135" i="24"/>
  <c r="M137" i="24"/>
  <c r="M139" i="24" s="1"/>
  <c r="E128" i="24"/>
  <c r="E91" i="22"/>
  <c r="E95" i="22"/>
  <c r="E96" i="22"/>
  <c r="Q135" i="25"/>
  <c r="U135" i="25"/>
  <c r="L137" i="25"/>
  <c r="L139" i="25" s="1"/>
  <c r="E83" i="22"/>
  <c r="J137" i="22"/>
  <c r="J139" i="22" s="1"/>
  <c r="K136" i="24" a="1"/>
  <c r="K136" i="24" s="1"/>
  <c r="S136" i="25" a="1"/>
  <c r="S136" i="25" s="1"/>
  <c r="T136" i="25" a="1"/>
  <c r="T136" i="25" s="1"/>
  <c r="K135" i="25"/>
  <c r="O136" i="25" a="1"/>
  <c r="O136" i="25" s="1"/>
  <c r="I136" i="24" a="1"/>
  <c r="I136" i="24" s="1"/>
  <c r="J121" i="20"/>
  <c r="U137" i="25"/>
  <c r="U139" i="25" s="1"/>
  <c r="L122" i="22"/>
  <c r="I136" i="25" a="1"/>
  <c r="I136" i="25" s="1"/>
  <c r="J126" i="20"/>
  <c r="L121" i="22"/>
  <c r="J125" i="20"/>
  <c r="H119" i="20"/>
  <c r="J119" i="20"/>
  <c r="H122" i="20"/>
  <c r="M123" i="20"/>
  <c r="J135" i="22"/>
  <c r="K136" i="25" a="1"/>
  <c r="K136" i="25" s="1"/>
  <c r="L135" i="25"/>
  <c r="S135" i="25"/>
  <c r="R137" i="25"/>
  <c r="R139" i="25" s="1"/>
  <c r="K122" i="22"/>
  <c r="G123" i="24"/>
  <c r="F135" i="24"/>
  <c r="E148" i="24" s="1"/>
  <c r="E105" i="22"/>
  <c r="K137" i="24"/>
  <c r="K139" i="24" s="1"/>
  <c r="I115" i="20"/>
  <c r="J137" i="25"/>
  <c r="J139" i="25" s="1"/>
  <c r="M136" i="24" a="1"/>
  <c r="M136" i="24" s="1"/>
  <c r="S137" i="25"/>
  <c r="S139" i="25" s="1"/>
  <c r="I81" i="20"/>
  <c r="K128" i="24"/>
  <c r="E106" i="22"/>
  <c r="I98" i="20"/>
  <c r="L136" i="24" a="1"/>
  <c r="L136" i="24" s="1"/>
  <c r="E87" i="22"/>
  <c r="E137" i="24"/>
  <c r="E139" i="24" s="1"/>
  <c r="E80" i="22"/>
  <c r="I97" i="20"/>
  <c r="K135" i="24"/>
  <c r="M135" i="24"/>
  <c r="F121" i="20"/>
  <c r="E119" i="20"/>
  <c r="F126" i="20"/>
  <c r="E120" i="20"/>
  <c r="F120" i="20"/>
  <c r="E121" i="20"/>
  <c r="H136" i="25" a="1"/>
  <c r="H136" i="25" s="1"/>
  <c r="F125" i="20"/>
  <c r="E122" i="20"/>
  <c r="U136" i="25" a="1"/>
  <c r="U136" i="25" s="1"/>
  <c r="I135" i="25"/>
  <c r="F119" i="20"/>
  <c r="E126" i="20"/>
  <c r="T135" i="25"/>
  <c r="R135" i="25"/>
  <c r="E125" i="20"/>
  <c r="H137" i="22"/>
  <c r="H139" i="22" s="1"/>
  <c r="Q136" i="25" a="1"/>
  <c r="Q136" i="25" s="1"/>
  <c r="E98" i="22"/>
  <c r="E85" i="22"/>
  <c r="H135" i="22"/>
  <c r="O137" i="25"/>
  <c r="O139" i="25" s="1"/>
  <c r="K115" i="22"/>
  <c r="E90" i="22"/>
  <c r="I126" i="20"/>
  <c r="J136" i="24" a="1"/>
  <c r="J136" i="24" s="1"/>
  <c r="L101" i="22"/>
  <c r="E115" i="22"/>
  <c r="M123" i="24"/>
  <c r="H137" i="25"/>
  <c r="H139" i="25" s="1"/>
  <c r="I125" i="20"/>
  <c r="H136" i="22" a="1"/>
  <c r="H136" i="22" s="1"/>
  <c r="E100" i="22"/>
  <c r="E136" i="24" a="1"/>
  <c r="E136" i="24" s="1"/>
  <c r="I82" i="20"/>
  <c r="I92" i="22"/>
  <c r="E26" i="22"/>
  <c r="I119" i="20"/>
  <c r="E99" i="22"/>
  <c r="I95" i="20"/>
  <c r="L88" i="22"/>
  <c r="E122" i="22"/>
  <c r="I121" i="20"/>
  <c r="G121" i="20"/>
  <c r="E88" i="22"/>
  <c r="E81" i="22"/>
  <c r="I80" i="20"/>
  <c r="L136" i="25" a="1"/>
  <c r="L136" i="25" s="1"/>
  <c r="E121" i="22"/>
  <c r="G120" i="20"/>
  <c r="M128" i="25"/>
  <c r="T123" i="25"/>
  <c r="H123" i="25"/>
  <c r="S123" i="25"/>
  <c r="R109" i="25"/>
  <c r="U128" i="25"/>
  <c r="I128" i="25"/>
  <c r="M109" i="25"/>
  <c r="H109" i="25"/>
  <c r="T128" i="25"/>
  <c r="M123" i="25"/>
  <c r="O123" i="25"/>
  <c r="O128" i="25"/>
  <c r="I107" i="25"/>
  <c r="I111" i="25" s="1"/>
  <c r="I123" i="25"/>
  <c r="M107" i="25"/>
  <c r="M111" i="25" s="1"/>
  <c r="R123" i="25"/>
  <c r="I89" i="22"/>
  <c r="I120" i="22"/>
  <c r="I119" i="22"/>
  <c r="I122" i="22"/>
  <c r="I121" i="22"/>
  <c r="R107" i="25"/>
  <c r="R111" i="25" s="1"/>
  <c r="L123" i="25"/>
  <c r="Q123" i="25"/>
  <c r="H107" i="25"/>
  <c r="H111" i="25" s="1"/>
  <c r="K119" i="22"/>
  <c r="I109" i="24"/>
  <c r="I106" i="22"/>
  <c r="L25" i="22"/>
  <c r="G119" i="22"/>
  <c r="L84" i="22"/>
  <c r="G122" i="22"/>
  <c r="J123" i="22"/>
  <c r="I87" i="22"/>
  <c r="I91" i="22"/>
  <c r="L90" i="22"/>
  <c r="L97" i="22"/>
  <c r="I95" i="22"/>
  <c r="I123" i="24"/>
  <c r="H123" i="22"/>
  <c r="F84" i="22"/>
  <c r="F102" i="22"/>
  <c r="F95" i="22"/>
  <c r="F98" i="22"/>
  <c r="F92" i="22"/>
  <c r="F115" i="22"/>
  <c r="F26" i="22"/>
  <c r="F89" i="22"/>
  <c r="I94" i="22"/>
  <c r="K82" i="22"/>
  <c r="K102" i="22"/>
  <c r="I98" i="22"/>
  <c r="K105" i="22"/>
  <c r="F105" i="22"/>
  <c r="I104" i="22"/>
  <c r="I115" i="22"/>
  <c r="F90" i="22"/>
  <c r="I83" i="22"/>
  <c r="F87" i="22"/>
  <c r="F86" i="22"/>
  <c r="F101" i="22"/>
  <c r="F96" i="22"/>
  <c r="K83" i="22"/>
  <c r="L100" i="22"/>
  <c r="K120" i="22"/>
  <c r="I105" i="22"/>
  <c r="F82" i="22"/>
  <c r="F94" i="22"/>
  <c r="I84" i="22"/>
  <c r="K95" i="22"/>
  <c r="L106" i="22"/>
  <c r="K121" i="22"/>
  <c r="F97" i="22"/>
  <c r="F88" i="22"/>
  <c r="F93" i="22"/>
  <c r="I90" i="22"/>
  <c r="I100" i="22"/>
  <c r="K99" i="22"/>
  <c r="L103" i="22"/>
  <c r="L96" i="22"/>
  <c r="F104" i="22"/>
  <c r="F80" i="22"/>
  <c r="F25" i="22"/>
  <c r="F106" i="22"/>
  <c r="I96" i="22"/>
  <c r="K104" i="22"/>
  <c r="F119" i="22"/>
  <c r="F83" i="22"/>
  <c r="I26" i="22"/>
  <c r="I25" i="22"/>
  <c r="K101" i="22"/>
  <c r="K89" i="22"/>
  <c r="K87" i="22"/>
  <c r="L82" i="22"/>
  <c r="L115" i="22"/>
  <c r="F122" i="22"/>
  <c r="F81" i="22"/>
  <c r="F103" i="22"/>
  <c r="F91" i="22"/>
  <c r="F85" i="22"/>
  <c r="I103" i="22"/>
  <c r="F120" i="22"/>
  <c r="I82" i="22"/>
  <c r="K94" i="22"/>
  <c r="F100" i="22"/>
  <c r="I88" i="22"/>
  <c r="L89" i="22"/>
  <c r="L93" i="22"/>
  <c r="I107" i="24"/>
  <c r="I111" i="24" s="1"/>
  <c r="F123" i="24"/>
  <c r="J123" i="24"/>
  <c r="H123" i="24"/>
  <c r="N123" i="25"/>
  <c r="I109" i="25"/>
  <c r="U123" i="25"/>
  <c r="K123" i="25"/>
  <c r="J123" i="25"/>
  <c r="T161" i="25"/>
  <c r="J96" i="21"/>
  <c r="J115" i="21"/>
  <c r="F83" i="20"/>
  <c r="G91" i="21"/>
  <c r="G115" i="21"/>
  <c r="J80" i="20"/>
  <c r="J115" i="20"/>
  <c r="F25" i="21"/>
  <c r="F115" i="21"/>
  <c r="K90" i="21"/>
  <c r="K115" i="21"/>
  <c r="T147" i="25"/>
  <c r="T168" i="25"/>
  <c r="T176" i="25"/>
  <c r="T164" i="25"/>
  <c r="T158" i="25"/>
  <c r="T173" i="25"/>
  <c r="T155" i="25"/>
  <c r="T162" i="25"/>
  <c r="T181" i="25"/>
  <c r="T165" i="25"/>
  <c r="T169" i="25"/>
  <c r="T157" i="25"/>
  <c r="T159" i="25"/>
  <c r="T172" i="25"/>
  <c r="T171" i="25"/>
  <c r="T170" i="25"/>
  <c r="T148" i="25"/>
  <c r="T167" i="25"/>
  <c r="T177" i="25"/>
  <c r="T174" i="25"/>
  <c r="T149" i="25"/>
  <c r="T153" i="25"/>
  <c r="T163" i="25"/>
  <c r="T166" i="25"/>
  <c r="T152" i="25"/>
  <c r="T182" i="25"/>
  <c r="T145" i="25"/>
  <c r="T151" i="25"/>
  <c r="T146" i="25"/>
  <c r="T160" i="25"/>
  <c r="T154" i="25"/>
  <c r="T178" i="25"/>
  <c r="T175" i="25"/>
  <c r="T179" i="25"/>
  <c r="T180" i="25"/>
  <c r="T156" i="25"/>
  <c r="U109" i="25"/>
  <c r="V110" i="25"/>
  <c r="U107" i="25"/>
  <c r="U111" i="25" s="1"/>
  <c r="T109" i="25"/>
  <c r="T107" i="25"/>
  <c r="T111" i="25" s="1"/>
  <c r="S109" i="25"/>
  <c r="Q109" i="25"/>
  <c r="O107" i="25"/>
  <c r="O111" i="25" s="1"/>
  <c r="Q107" i="25"/>
  <c r="O109" i="25"/>
  <c r="S107" i="25"/>
  <c r="N109" i="25"/>
  <c r="N107" i="25"/>
  <c r="M109" i="24"/>
  <c r="M107" i="24"/>
  <c r="M111" i="24" s="1"/>
  <c r="L107" i="21"/>
  <c r="L111" i="21" s="1"/>
  <c r="L109" i="21"/>
  <c r="M107" i="20"/>
  <c r="M111" i="20" s="1"/>
  <c r="M109" i="20"/>
  <c r="K109" i="24"/>
  <c r="L109" i="25"/>
  <c r="L107" i="24"/>
  <c r="L111" i="24" s="1"/>
  <c r="K107" i="24"/>
  <c r="K109" i="26"/>
  <c r="K107" i="26"/>
  <c r="K111" i="26" s="1"/>
  <c r="L107" i="25"/>
  <c r="L111" i="25" s="1"/>
  <c r="L109" i="24"/>
  <c r="L107" i="26"/>
  <c r="L111" i="26" s="1"/>
  <c r="L109" i="26"/>
  <c r="K109" i="25"/>
  <c r="K107" i="25"/>
  <c r="K111" i="25" s="1"/>
  <c r="J87" i="21"/>
  <c r="J80" i="21"/>
  <c r="K95" i="21"/>
  <c r="K80" i="21"/>
  <c r="K92" i="21"/>
  <c r="J81" i="21"/>
  <c r="K93" i="21"/>
  <c r="K81" i="21"/>
  <c r="J91" i="21"/>
  <c r="J90" i="21"/>
  <c r="J97" i="21"/>
  <c r="K105" i="21"/>
  <c r="K86" i="21"/>
  <c r="K87" i="21"/>
  <c r="K99" i="21"/>
  <c r="J98" i="21"/>
  <c r="J109" i="25"/>
  <c r="K101" i="21"/>
  <c r="J107" i="25"/>
  <c r="K85" i="21"/>
  <c r="J109" i="24"/>
  <c r="K98" i="21"/>
  <c r="K94" i="21"/>
  <c r="J102" i="21"/>
  <c r="J95" i="21"/>
  <c r="J103" i="20"/>
  <c r="J92" i="21"/>
  <c r="J100" i="20"/>
  <c r="J104" i="20"/>
  <c r="J90" i="20"/>
  <c r="D21" i="26"/>
  <c r="D22" i="26" s="1"/>
  <c r="E22" i="26" s="1"/>
  <c r="F22" i="26" s="1"/>
  <c r="G22" i="26" s="1"/>
  <c r="H22" i="26" s="1"/>
  <c r="I22" i="26" s="1"/>
  <c r="J22" i="26" s="1"/>
  <c r="K22" i="26" s="1"/>
  <c r="L22" i="26" s="1"/>
  <c r="M22" i="26" s="1"/>
  <c r="J86" i="20"/>
  <c r="J85" i="21"/>
  <c r="J109" i="22"/>
  <c r="J104" i="21"/>
  <c r="J100" i="21"/>
  <c r="J82" i="21"/>
  <c r="I110" i="28"/>
  <c r="I133" i="28" s="1"/>
  <c r="J85" i="20"/>
  <c r="J88" i="20"/>
  <c r="J101" i="20"/>
  <c r="J95" i="20"/>
  <c r="J93" i="20"/>
  <c r="K82" i="21"/>
  <c r="J102" i="20"/>
  <c r="J106" i="20"/>
  <c r="J105" i="20"/>
  <c r="J109" i="26"/>
  <c r="J25" i="20"/>
  <c r="J98" i="20"/>
  <c r="J96" i="20"/>
  <c r="J87" i="20"/>
  <c r="J94" i="20"/>
  <c r="J99" i="20"/>
  <c r="E21" i="28"/>
  <c r="E22" i="28" s="1"/>
  <c r="F22" i="28" s="1"/>
  <c r="G22" i="28" s="1"/>
  <c r="H22" i="28" s="1"/>
  <c r="I22" i="28" s="1"/>
  <c r="J22" i="28" s="1"/>
  <c r="K22" i="28" s="1"/>
  <c r="L22" i="28" s="1"/>
  <c r="M22" i="28" s="1"/>
  <c r="K102" i="21"/>
  <c r="J91" i="20"/>
  <c r="J81" i="20"/>
  <c r="J26" i="20"/>
  <c r="K91" i="21"/>
  <c r="J92" i="20"/>
  <c r="J84" i="20"/>
  <c r="J82" i="20"/>
  <c r="J89" i="20"/>
  <c r="D21" i="22"/>
  <c r="D22" i="22" s="1"/>
  <c r="E22" i="22" s="1"/>
  <c r="F22" i="22" s="1"/>
  <c r="G22" i="22" s="1"/>
  <c r="H22" i="22" s="1"/>
  <c r="I22" i="22" s="1"/>
  <c r="J22" i="22" s="1"/>
  <c r="K22" i="22" s="1"/>
  <c r="L22" i="22" s="1"/>
  <c r="M22" i="22" s="1"/>
  <c r="J97" i="20"/>
  <c r="J83" i="20"/>
  <c r="E21" i="21"/>
  <c r="E22" i="21" s="1"/>
  <c r="F22" i="21" s="1"/>
  <c r="G22" i="21" s="1"/>
  <c r="H22" i="21" s="1"/>
  <c r="I22" i="21" s="1"/>
  <c r="J22" i="21" s="1"/>
  <c r="K22" i="21" s="1"/>
  <c r="L22" i="21" s="1"/>
  <c r="M22" i="21" s="1"/>
  <c r="N22" i="21" s="1"/>
  <c r="J107" i="26"/>
  <c r="K25" i="21"/>
  <c r="K26" i="21"/>
  <c r="J103" i="21"/>
  <c r="J99" i="21"/>
  <c r="J107" i="22"/>
  <c r="K83" i="21"/>
  <c r="J86" i="21"/>
  <c r="J89" i="21"/>
  <c r="K84" i="21"/>
  <c r="J88" i="21"/>
  <c r="J25" i="21"/>
  <c r="J26" i="21"/>
  <c r="J105" i="21"/>
  <c r="J94" i="21"/>
  <c r="K104" i="21"/>
  <c r="J84" i="21"/>
  <c r="J110" i="28"/>
  <c r="J133" i="28" s="1"/>
  <c r="J111" i="28"/>
  <c r="K100" i="21"/>
  <c r="K88" i="21"/>
  <c r="K89" i="21"/>
  <c r="J93" i="21"/>
  <c r="K106" i="21"/>
  <c r="K96" i="21"/>
  <c r="J101" i="21"/>
  <c r="K97" i="21"/>
  <c r="K103" i="21"/>
  <c r="J83" i="21"/>
  <c r="J106" i="21"/>
  <c r="J107" i="24"/>
  <c r="D21" i="24"/>
  <c r="D22" i="24" s="1"/>
  <c r="E22" i="24" s="1"/>
  <c r="F22" i="24" s="1"/>
  <c r="G22" i="24" s="1"/>
  <c r="H22" i="24" s="1"/>
  <c r="I22" i="24" s="1"/>
  <c r="J22" i="24" s="1"/>
  <c r="K22" i="24" s="1"/>
  <c r="L22" i="24" s="1"/>
  <c r="M22" i="24" s="1"/>
  <c r="D21" i="25"/>
  <c r="D22" i="25" s="1"/>
  <c r="E22" i="25" s="1"/>
  <c r="F22" i="25" s="1"/>
  <c r="G22" i="25" s="1"/>
  <c r="H22" i="25" s="1"/>
  <c r="I22" i="25" s="1"/>
  <c r="J22" i="25" s="1"/>
  <c r="K22" i="25" s="1"/>
  <c r="L22" i="25" s="1"/>
  <c r="M22" i="25" s="1"/>
  <c r="N22" i="25" s="1"/>
  <c r="O22" i="25" s="1"/>
  <c r="P22" i="25" s="1"/>
  <c r="Q22" i="25" s="1"/>
  <c r="R22" i="25" s="1"/>
  <c r="S22" i="25" s="1"/>
  <c r="T22" i="25" s="1"/>
  <c r="U22" i="25" s="1"/>
  <c r="V22" i="25" s="1"/>
  <c r="D21" i="20"/>
  <c r="D22" i="20" s="1"/>
  <c r="E22" i="20" s="1"/>
  <c r="F22" i="20" s="1"/>
  <c r="G22" i="20" s="1"/>
  <c r="H22" i="20" s="1"/>
  <c r="I22" i="20" s="1"/>
  <c r="J22" i="20" s="1"/>
  <c r="K22" i="20" s="1"/>
  <c r="L22" i="20" s="1"/>
  <c r="M22" i="20" s="1"/>
  <c r="N22" i="20" s="1"/>
  <c r="E21" i="29"/>
  <c r="E22" i="29" s="1"/>
  <c r="F22" i="29" s="1"/>
  <c r="G22" i="29" s="1"/>
  <c r="H22" i="29" s="1"/>
  <c r="I22" i="29" s="1"/>
  <c r="J22" i="29" s="1"/>
  <c r="K22" i="29" s="1"/>
  <c r="L22" i="29" s="1"/>
  <c r="M22" i="29" s="1"/>
  <c r="N22" i="29" s="1"/>
  <c r="O22" i="29" s="1"/>
  <c r="H110" i="26"/>
  <c r="I110" i="26"/>
  <c r="D101" i="25"/>
  <c r="D106" i="25"/>
  <c r="D102" i="25"/>
  <c r="D87" i="25"/>
  <c r="D99" i="25"/>
  <c r="D82" i="25"/>
  <c r="D97" i="25"/>
  <c r="D89" i="25"/>
  <c r="D81" i="25"/>
  <c r="D83" i="25"/>
  <c r="D96" i="25"/>
  <c r="D103" i="25"/>
  <c r="D94" i="25"/>
  <c r="D92" i="25"/>
  <c r="D95" i="25"/>
  <c r="D84" i="25"/>
  <c r="D90" i="25"/>
  <c r="D85" i="25"/>
  <c r="D112" i="25"/>
  <c r="D100" i="25"/>
  <c r="D93" i="25"/>
  <c r="D98" i="25"/>
  <c r="D91" i="25"/>
  <c r="I109" i="21"/>
  <c r="I107" i="21"/>
  <c r="D105" i="25"/>
  <c r="D80" i="25"/>
  <c r="D88" i="25"/>
  <c r="D86" i="25"/>
  <c r="D104" i="25"/>
  <c r="D37" i="21"/>
  <c r="D86" i="21" s="1"/>
  <c r="D38" i="21"/>
  <c r="H109" i="22"/>
  <c r="H107" i="22"/>
  <c r="H111" i="22" s="1"/>
  <c r="G110" i="24"/>
  <c r="H107" i="20"/>
  <c r="H109" i="21"/>
  <c r="G110" i="25"/>
  <c r="H107" i="21"/>
  <c r="H111" i="21" s="1"/>
  <c r="G84" i="21"/>
  <c r="G106" i="21"/>
  <c r="G90" i="21"/>
  <c r="G103" i="21"/>
  <c r="G88" i="21"/>
  <c r="G110" i="26"/>
  <c r="G104" i="21"/>
  <c r="G80" i="21"/>
  <c r="G98" i="21"/>
  <c r="G93" i="21"/>
  <c r="G83" i="21"/>
  <c r="G89" i="21"/>
  <c r="G100" i="21"/>
  <c r="G86" i="21"/>
  <c r="G81" i="21"/>
  <c r="G102" i="21"/>
  <c r="G101" i="21"/>
  <c r="G99" i="21"/>
  <c r="G95" i="21"/>
  <c r="G92" i="21"/>
  <c r="G105" i="21"/>
  <c r="G97" i="21"/>
  <c r="G82" i="21"/>
  <c r="G96" i="21"/>
  <c r="G87" i="21"/>
  <c r="G94" i="21"/>
  <c r="G85" i="21"/>
  <c r="G25" i="21"/>
  <c r="G26" i="21"/>
  <c r="E110" i="28"/>
  <c r="E133" i="28" s="1"/>
  <c r="E111" i="28"/>
  <c r="F109" i="24"/>
  <c r="E107" i="24"/>
  <c r="E111" i="24" s="1"/>
  <c r="E109" i="24"/>
  <c r="F107" i="24"/>
  <c r="F111" i="24" s="1"/>
  <c r="G25" i="20"/>
  <c r="G26" i="20"/>
  <c r="G86" i="20"/>
  <c r="G96" i="20"/>
  <c r="G95" i="20"/>
  <c r="G83" i="20"/>
  <c r="G106" i="20"/>
  <c r="G84" i="20"/>
  <c r="G80" i="20"/>
  <c r="G105" i="20"/>
  <c r="G85" i="20"/>
  <c r="G87" i="20"/>
  <c r="G101" i="20"/>
  <c r="G91" i="20"/>
  <c r="G82" i="20"/>
  <c r="G100" i="20"/>
  <c r="G104" i="20"/>
  <c r="G81" i="20"/>
  <c r="G92" i="20"/>
  <c r="G94" i="20"/>
  <c r="G90" i="20"/>
  <c r="G99" i="20"/>
  <c r="G89" i="20"/>
  <c r="G98" i="20"/>
  <c r="G102" i="20"/>
  <c r="G97" i="20"/>
  <c r="G103" i="20"/>
  <c r="G93" i="20"/>
  <c r="G88" i="20"/>
  <c r="F111" i="28"/>
  <c r="F110" i="28"/>
  <c r="F133" i="28" s="1"/>
  <c r="F110" i="26"/>
  <c r="D37" i="22"/>
  <c r="D26" i="22" s="1"/>
  <c r="D38" i="22"/>
  <c r="F85" i="21"/>
  <c r="F94" i="21"/>
  <c r="F91" i="21"/>
  <c r="F86" i="21"/>
  <c r="F106" i="21"/>
  <c r="F84" i="21"/>
  <c r="F82" i="21"/>
  <c r="F81" i="21"/>
  <c r="F96" i="21"/>
  <c r="F98" i="21"/>
  <c r="F88" i="21"/>
  <c r="F93" i="21"/>
  <c r="F92" i="21"/>
  <c r="F110" i="25"/>
  <c r="F90" i="21"/>
  <c r="F97" i="21"/>
  <c r="F95" i="21"/>
  <c r="F87" i="21"/>
  <c r="F102" i="21"/>
  <c r="F80" i="21"/>
  <c r="F101" i="21"/>
  <c r="F100" i="21"/>
  <c r="F105" i="21"/>
  <c r="F83" i="21"/>
  <c r="F89" i="21"/>
  <c r="F104" i="21"/>
  <c r="F99" i="21"/>
  <c r="F103" i="21"/>
  <c r="F26" i="21"/>
  <c r="F84" i="20"/>
  <c r="F97" i="20"/>
  <c r="F87" i="20"/>
  <c r="F81" i="20"/>
  <c r="F85" i="20"/>
  <c r="F106" i="20"/>
  <c r="F105" i="20"/>
  <c r="F25" i="20"/>
  <c r="F26" i="20"/>
  <c r="F104" i="20"/>
  <c r="F82" i="20"/>
  <c r="F86" i="20"/>
  <c r="F103" i="20"/>
  <c r="F102" i="20"/>
  <c r="F80" i="20"/>
  <c r="F101" i="20"/>
  <c r="F98" i="20"/>
  <c r="F100" i="20"/>
  <c r="F96" i="20"/>
  <c r="F95" i="20"/>
  <c r="F90" i="20"/>
  <c r="F94" i="20"/>
  <c r="F93" i="20"/>
  <c r="F88" i="20"/>
  <c r="F92" i="20"/>
  <c r="F99" i="20"/>
  <c r="F91" i="20"/>
  <c r="F89" i="20"/>
  <c r="E96" i="20"/>
  <c r="E26" i="20"/>
  <c r="D105" i="20"/>
  <c r="D26" i="20"/>
  <c r="E110" i="26"/>
  <c r="D107" i="26"/>
  <c r="E109" i="21"/>
  <c r="E101" i="20"/>
  <c r="E82" i="20"/>
  <c r="D94" i="20"/>
  <c r="D93" i="20"/>
  <c r="D95" i="20"/>
  <c r="D88" i="20"/>
  <c r="D89" i="20"/>
  <c r="D99" i="20"/>
  <c r="D96" i="20"/>
  <c r="D98" i="20"/>
  <c r="D100" i="20"/>
  <c r="D87" i="20"/>
  <c r="D102" i="20"/>
  <c r="D101" i="20"/>
  <c r="D81" i="20"/>
  <c r="D103" i="20"/>
  <c r="D82" i="20"/>
  <c r="E102" i="20"/>
  <c r="E105" i="20"/>
  <c r="D104" i="20"/>
  <c r="D97" i="20"/>
  <c r="E103" i="20"/>
  <c r="D25" i="20"/>
  <c r="D80" i="20"/>
  <c r="D83" i="20"/>
  <c r="E80" i="20"/>
  <c r="D84" i="20"/>
  <c r="E100" i="20"/>
  <c r="D85" i="20"/>
  <c r="D86" i="20"/>
  <c r="E94" i="20"/>
  <c r="D90" i="20"/>
  <c r="D106" i="20"/>
  <c r="D91" i="20"/>
  <c r="D92" i="20"/>
  <c r="E110" i="25"/>
  <c r="E107" i="21"/>
  <c r="E111" i="21" s="1"/>
  <c r="E86" i="20"/>
  <c r="E87" i="20"/>
  <c r="E84" i="20"/>
  <c r="E83" i="20"/>
  <c r="E95" i="20"/>
  <c r="E104" i="20"/>
  <c r="E81" i="20"/>
  <c r="E25" i="20"/>
  <c r="E93" i="20"/>
  <c r="E92" i="20"/>
  <c r="E91" i="20"/>
  <c r="E97" i="20"/>
  <c r="E90" i="20"/>
  <c r="E88" i="20"/>
  <c r="E99" i="20"/>
  <c r="E98" i="20"/>
  <c r="E89" i="20"/>
  <c r="E106" i="20"/>
  <c r="E85" i="20"/>
  <c r="D107" i="28"/>
  <c r="D111" i="28" s="1"/>
  <c r="D109" i="28"/>
  <c r="D109" i="26"/>
  <c r="G140" i="22" l="1"/>
  <c r="K128" i="20"/>
  <c r="H140" i="20"/>
  <c r="H135" i="20"/>
  <c r="H109" i="20"/>
  <c r="L123" i="20"/>
  <c r="H137" i="20"/>
  <c r="H139" i="20" s="1"/>
  <c r="H136" i="20" a="1"/>
  <c r="H136" i="20" s="1"/>
  <c r="I135" i="22"/>
  <c r="F136" i="20" a="1"/>
  <c r="F136" i="20" s="1"/>
  <c r="G133" i="25"/>
  <c r="G141" i="25"/>
  <c r="G135" i="22"/>
  <c r="G133" i="24"/>
  <c r="G141" i="24"/>
  <c r="F133" i="25"/>
  <c r="F141" i="25"/>
  <c r="L109" i="20"/>
  <c r="I136" i="20" a="1"/>
  <c r="I136" i="20" s="1"/>
  <c r="H128" i="20"/>
  <c r="E133" i="25"/>
  <c r="E141" i="25"/>
  <c r="H110" i="24"/>
  <c r="L137" i="20"/>
  <c r="L139" i="20" s="1"/>
  <c r="I137" i="20"/>
  <c r="I139" i="20" s="1"/>
  <c r="I109" i="20"/>
  <c r="G137" i="22"/>
  <c r="G139" i="22" s="1"/>
  <c r="K136" i="22" a="1"/>
  <c r="K136" i="22" s="1"/>
  <c r="K123" i="20"/>
  <c r="E123" i="22"/>
  <c r="K109" i="20"/>
  <c r="I107" i="20"/>
  <c r="I111" i="20" s="1"/>
  <c r="G128" i="20"/>
  <c r="L107" i="20"/>
  <c r="L111" i="20" s="1"/>
  <c r="J136" i="20" a="1"/>
  <c r="J136" i="20" s="1"/>
  <c r="F135" i="20"/>
  <c r="L135" i="22"/>
  <c r="E135" i="20"/>
  <c r="E140" i="22"/>
  <c r="G107" i="22"/>
  <c r="G111" i="22" s="1"/>
  <c r="G152" i="22" s="1"/>
  <c r="L140" i="20"/>
  <c r="K137" i="22"/>
  <c r="K139" i="22" s="1"/>
  <c r="F140" i="20"/>
  <c r="F137" i="20"/>
  <c r="F139" i="20" s="1"/>
  <c r="G137" i="20"/>
  <c r="G139" i="20" s="1"/>
  <c r="G140" i="20"/>
  <c r="L140" i="22"/>
  <c r="I123" i="20"/>
  <c r="F128" i="20"/>
  <c r="K136" i="20" a="1"/>
  <c r="K136" i="20" s="1"/>
  <c r="G135" i="20"/>
  <c r="L135" i="20"/>
  <c r="K140" i="20"/>
  <c r="K137" i="20"/>
  <c r="K139" i="20" s="1"/>
  <c r="K107" i="20"/>
  <c r="E128" i="20"/>
  <c r="K135" i="22"/>
  <c r="I140" i="22"/>
  <c r="G109" i="22"/>
  <c r="G150" i="22" s="1"/>
  <c r="L109" i="22"/>
  <c r="L150" i="22" s="1"/>
  <c r="G123" i="20"/>
  <c r="E136" i="22" a="1"/>
  <c r="E136" i="22" s="1"/>
  <c r="J135" i="20"/>
  <c r="E137" i="20"/>
  <c r="E139" i="20" s="1"/>
  <c r="E107" i="22"/>
  <c r="E111" i="22" s="1"/>
  <c r="H123" i="20"/>
  <c r="E150" i="24"/>
  <c r="F139" i="24"/>
  <c r="L123" i="22"/>
  <c r="J128" i="20"/>
  <c r="K140" i="22"/>
  <c r="I140" i="20"/>
  <c r="F140" i="22"/>
  <c r="E140" i="20"/>
  <c r="J123" i="20"/>
  <c r="I128" i="20"/>
  <c r="G136" i="20" a="1"/>
  <c r="G136" i="20" s="1"/>
  <c r="E136" i="20" a="1"/>
  <c r="E136" i="20" s="1"/>
  <c r="E135" i="22"/>
  <c r="K135" i="20"/>
  <c r="J140" i="20"/>
  <c r="J137" i="20"/>
  <c r="J139" i="20" s="1"/>
  <c r="L136" i="20" a="1"/>
  <c r="L136" i="20" s="1"/>
  <c r="I137" i="22"/>
  <c r="I139" i="22" s="1"/>
  <c r="E109" i="22"/>
  <c r="F137" i="22"/>
  <c r="F139" i="22" s="1"/>
  <c r="K107" i="22"/>
  <c r="G123" i="22"/>
  <c r="F135" i="22"/>
  <c r="I123" i="22"/>
  <c r="K109" i="22"/>
  <c r="K150" i="22" s="1"/>
  <c r="L107" i="22"/>
  <c r="L111" i="22" s="1"/>
  <c r="L152" i="22" s="1"/>
  <c r="L137" i="22"/>
  <c r="L139" i="22" s="1"/>
  <c r="F136" i="22" a="1"/>
  <c r="F136" i="22" s="1"/>
  <c r="I136" i="22" a="1"/>
  <c r="I136" i="22" s="1"/>
  <c r="E137" i="22"/>
  <c r="E139" i="22" s="1"/>
  <c r="L136" i="22" a="1"/>
  <c r="L136" i="22" s="1"/>
  <c r="E123" i="20"/>
  <c r="F123" i="20"/>
  <c r="H110" i="25"/>
  <c r="I110" i="25"/>
  <c r="R110" i="25"/>
  <c r="M110" i="25"/>
  <c r="F107" i="22"/>
  <c r="F111" i="22" s="1"/>
  <c r="I109" i="22"/>
  <c r="I150" i="22" s="1"/>
  <c r="F123" i="22"/>
  <c r="I107" i="22"/>
  <c r="I111" i="22" s="1"/>
  <c r="I152" i="22" s="1"/>
  <c r="F109" i="22"/>
  <c r="K123" i="22"/>
  <c r="I110" i="24"/>
  <c r="D109" i="25"/>
  <c r="U110" i="25"/>
  <c r="T110" i="25"/>
  <c r="T141" i="25" s="1"/>
  <c r="S110" i="25"/>
  <c r="S111" i="25"/>
  <c r="O110" i="25"/>
  <c r="O141" i="25" s="1"/>
  <c r="Q110" i="25"/>
  <c r="Q111" i="25"/>
  <c r="N110" i="25"/>
  <c r="N111" i="25"/>
  <c r="L110" i="21"/>
  <c r="M110" i="24"/>
  <c r="M110" i="20"/>
  <c r="M133" i="20" s="1"/>
  <c r="L110" i="24"/>
  <c r="K110" i="24"/>
  <c r="K111" i="24"/>
  <c r="L110" i="26"/>
  <c r="K110" i="26"/>
  <c r="L110" i="25"/>
  <c r="K110" i="25"/>
  <c r="J110" i="25"/>
  <c r="J141" i="25" s="1"/>
  <c r="J111" i="25"/>
  <c r="K109" i="21"/>
  <c r="K107" i="21"/>
  <c r="J110" i="24"/>
  <c r="J141" i="24" s="1"/>
  <c r="J111" i="24"/>
  <c r="J107" i="20"/>
  <c r="J111" i="20" s="1"/>
  <c r="J109" i="21"/>
  <c r="J109" i="20"/>
  <c r="J107" i="21"/>
  <c r="J111" i="21" s="1"/>
  <c r="J110" i="22"/>
  <c r="J141" i="22" s="1"/>
  <c r="J111" i="22"/>
  <c r="J111" i="26"/>
  <c r="J110" i="26"/>
  <c r="I110" i="21"/>
  <c r="I111" i="21"/>
  <c r="D107" i="25"/>
  <c r="D99" i="21"/>
  <c r="D85" i="21"/>
  <c r="D88" i="21"/>
  <c r="D94" i="21"/>
  <c r="D102" i="21"/>
  <c r="D95" i="21"/>
  <c r="D106" i="21"/>
  <c r="D91" i="21"/>
  <c r="D89" i="21"/>
  <c r="D83" i="21"/>
  <c r="D82" i="21"/>
  <c r="D101" i="21"/>
  <c r="D100" i="21"/>
  <c r="D96" i="21"/>
  <c r="D81" i="21"/>
  <c r="D90" i="21"/>
  <c r="D97" i="21"/>
  <c r="D105" i="21"/>
  <c r="D103" i="21"/>
  <c r="D84" i="21"/>
  <c r="D25" i="21"/>
  <c r="D87" i="21"/>
  <c r="D80" i="21"/>
  <c r="D92" i="21"/>
  <c r="D98" i="21"/>
  <c r="D93" i="21"/>
  <c r="D26" i="21"/>
  <c r="D104" i="21"/>
  <c r="H110" i="20"/>
  <c r="H133" i="20" s="1"/>
  <c r="H110" i="22"/>
  <c r="H111" i="20"/>
  <c r="H110" i="21"/>
  <c r="E110" i="24"/>
  <c r="G107" i="21"/>
  <c r="G111" i="21" s="1"/>
  <c r="G109" i="21"/>
  <c r="F110" i="24"/>
  <c r="D86" i="22"/>
  <c r="G107" i="20"/>
  <c r="G109" i="20"/>
  <c r="D102" i="22"/>
  <c r="D93" i="22"/>
  <c r="D84" i="22"/>
  <c r="D92" i="22"/>
  <c r="D104" i="22"/>
  <c r="D105" i="22"/>
  <c r="D91" i="22"/>
  <c r="D98" i="22"/>
  <c r="D80" i="22"/>
  <c r="D101" i="22"/>
  <c r="D83" i="22"/>
  <c r="D100" i="22"/>
  <c r="D95" i="22"/>
  <c r="D96" i="22"/>
  <c r="D103" i="22"/>
  <c r="D90" i="22"/>
  <c r="D89" i="22"/>
  <c r="D106" i="22"/>
  <c r="D82" i="22"/>
  <c r="D97" i="22"/>
  <c r="D88" i="22"/>
  <c r="D94" i="22"/>
  <c r="D99" i="22"/>
  <c r="D81" i="22"/>
  <c r="D25" i="22"/>
  <c r="D87" i="22"/>
  <c r="D85" i="22"/>
  <c r="F109" i="21"/>
  <c r="F107" i="21"/>
  <c r="F107" i="20"/>
  <c r="F111" i="20" s="1"/>
  <c r="F109" i="20"/>
  <c r="E110" i="21"/>
  <c r="D109" i="20"/>
  <c r="E109" i="20"/>
  <c r="D107" i="20"/>
  <c r="E107" i="20"/>
  <c r="D110" i="28"/>
  <c r="D110" i="26"/>
  <c r="D111" i="26"/>
  <c r="K110" i="20" l="1"/>
  <c r="K133" i="20" s="1"/>
  <c r="K110" i="22"/>
  <c r="I110" i="20"/>
  <c r="I133" i="20" s="1"/>
  <c r="M133" i="25"/>
  <c r="M141" i="25"/>
  <c r="R133" i="25"/>
  <c r="R141" i="25"/>
  <c r="I133" i="25"/>
  <c r="I141" i="25"/>
  <c r="H133" i="25"/>
  <c r="H141" i="25"/>
  <c r="K133" i="25"/>
  <c r="K141" i="25"/>
  <c r="L133" i="25"/>
  <c r="L141" i="25"/>
  <c r="K133" i="24"/>
  <c r="K141" i="24"/>
  <c r="L133" i="24"/>
  <c r="L141" i="24"/>
  <c r="F133" i="24"/>
  <c r="F141" i="24"/>
  <c r="L110" i="20"/>
  <c r="L133" i="20" s="1"/>
  <c r="S133" i="25"/>
  <c r="S141" i="25"/>
  <c r="K111" i="20"/>
  <c r="U133" i="25"/>
  <c r="U141" i="25"/>
  <c r="H133" i="22"/>
  <c r="H141" i="22"/>
  <c r="M133" i="24"/>
  <c r="M141" i="24"/>
  <c r="I133" i="24"/>
  <c r="I141" i="24"/>
  <c r="E133" i="24"/>
  <c r="E141" i="24"/>
  <c r="N133" i="25"/>
  <c r="N141" i="25"/>
  <c r="H133" i="24"/>
  <c r="H141" i="24"/>
  <c r="Q133" i="25"/>
  <c r="Q141" i="25"/>
  <c r="K151" i="22"/>
  <c r="K141" i="22"/>
  <c r="E110" i="22"/>
  <c r="K111" i="22"/>
  <c r="K152" i="22" s="1"/>
  <c r="G110" i="22"/>
  <c r="L110" i="22"/>
  <c r="L141" i="22" s="1"/>
  <c r="F110" i="22"/>
  <c r="F141" i="22" s="1"/>
  <c r="I110" i="22"/>
  <c r="D110" i="25"/>
  <c r="K110" i="21"/>
  <c r="K111" i="21"/>
  <c r="J110" i="21"/>
  <c r="J110" i="20"/>
  <c r="J133" i="20" s="1"/>
  <c r="D109" i="21"/>
  <c r="D107" i="21"/>
  <c r="D111" i="21" s="1"/>
  <c r="G110" i="21"/>
  <c r="G110" i="20"/>
  <c r="G133" i="20" s="1"/>
  <c r="G111" i="20"/>
  <c r="D109" i="22"/>
  <c r="D107" i="22"/>
  <c r="D111" i="22" s="1"/>
  <c r="F110" i="21"/>
  <c r="F111" i="21"/>
  <c r="F110" i="20"/>
  <c r="F133" i="20" s="1"/>
  <c r="D111" i="20"/>
  <c r="D110" i="20"/>
  <c r="E110" i="20"/>
  <c r="E133" i="20" s="1"/>
  <c r="E111" i="20"/>
  <c r="G151" i="22" l="1"/>
  <c r="G141" i="22"/>
  <c r="I151" i="22"/>
  <c r="I141" i="22"/>
  <c r="E133" i="22"/>
  <c r="E141" i="22"/>
  <c r="L133" i="22"/>
  <c r="L151" i="22"/>
  <c r="D110" i="21"/>
  <c r="D110" i="22"/>
  <c r="C15" i="1" l="1"/>
  <c r="C16" i="1" s="1"/>
  <c r="C17" i="1" s="1"/>
  <c r="D17" i="1" s="1"/>
  <c r="E17" i="1" s="1"/>
  <c r="J17" i="1" l="1"/>
  <c r="I16" i="1"/>
  <c r="I17" i="1"/>
  <c r="D15" i="1"/>
  <c r="E16" i="1"/>
  <c r="F17" i="1"/>
  <c r="H17" i="1"/>
  <c r="J15" i="1"/>
  <c r="D16" i="1"/>
  <c r="F15" i="1"/>
  <c r="G16" i="1"/>
  <c r="H16" i="1"/>
  <c r="I15" i="1"/>
  <c r="J16" i="1"/>
  <c r="E15" i="1"/>
  <c r="F16" i="1"/>
  <c r="G15" i="1"/>
  <c r="G17" i="1"/>
  <c r="H15" i="1"/>
  <c r="C31" i="1"/>
  <c r="I41" i="5"/>
  <c r="Q8" i="7" l="1"/>
  <c r="Q6" i="7"/>
  <c r="K16" i="7"/>
  <c r="K30" i="7"/>
  <c r="M16" i="5" l="1"/>
  <c r="M14" i="5"/>
  <c r="M13" i="5"/>
  <c r="O12" i="5"/>
  <c r="M12" i="5"/>
  <c r="M10" i="5"/>
  <c r="M9" i="5"/>
  <c r="M8" i="5"/>
  <c r="M7" i="5"/>
  <c r="M6" i="5"/>
  <c r="C2" i="5"/>
  <c r="M2" i="5" s="1"/>
  <c r="O2" i="5"/>
  <c r="Q2" i="5"/>
  <c r="A3" i="5"/>
  <c r="M3" i="5"/>
  <c r="N3" i="5" s="1"/>
  <c r="Q3" i="5"/>
  <c r="A4" i="5"/>
  <c r="M4" i="5"/>
  <c r="O4" i="5"/>
  <c r="Q4" i="5"/>
  <c r="A5" i="5"/>
  <c r="M5" i="5"/>
  <c r="O5" i="5"/>
  <c r="Q5" i="5"/>
  <c r="A6" i="5"/>
  <c r="A7" i="5" s="1"/>
  <c r="A8" i="5" s="1"/>
  <c r="A9" i="5" s="1"/>
  <c r="A10" i="5" s="1"/>
  <c r="O6" i="5"/>
  <c r="Q6" i="5"/>
  <c r="O7" i="5"/>
  <c r="Q7" i="5"/>
  <c r="O8" i="5"/>
  <c r="O9" i="5"/>
  <c r="Q9" i="5"/>
  <c r="O10" i="5"/>
  <c r="M11" i="5"/>
  <c r="O11" i="5"/>
  <c r="Q11" i="5"/>
  <c r="Q12" i="5"/>
  <c r="R8" i="5"/>
  <c r="O13" i="5"/>
  <c r="Q13" i="5"/>
  <c r="O14" i="5"/>
  <c r="Q14" i="5"/>
  <c r="M15" i="5"/>
  <c r="O15" i="5"/>
  <c r="Q15" i="5"/>
  <c r="O16" i="5"/>
  <c r="Q16" i="5"/>
  <c r="M17" i="5"/>
  <c r="O17" i="5"/>
  <c r="Q17" i="5"/>
  <c r="M18" i="5"/>
  <c r="O18" i="5"/>
  <c r="Q18" i="5"/>
  <c r="M19" i="5"/>
  <c r="O19" i="5"/>
  <c r="Q19" i="5"/>
  <c r="Q8" i="3"/>
  <c r="AD57" i="3"/>
  <c r="O3" i="5" l="1"/>
  <c r="N4" i="5"/>
  <c r="N5" i="5" s="1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J14" i="1"/>
  <c r="F14" i="1"/>
  <c r="I14" i="1"/>
  <c r="H14" i="1"/>
  <c r="D14" i="1"/>
  <c r="E14" i="1"/>
  <c r="C14" i="1"/>
  <c r="I12" i="1"/>
  <c r="H12" i="1"/>
  <c r="G12" i="1"/>
  <c r="E12" i="1"/>
  <c r="D12" i="1"/>
  <c r="C12" i="1"/>
  <c r="G14" i="1"/>
  <c r="D25" i="25" l="1"/>
  <c r="D111" i="25" l="1"/>
  <c r="D25" i="24" l="1"/>
  <c r="D101" i="24" l="1"/>
  <c r="D107" i="24" s="1"/>
  <c r="D109" i="24"/>
  <c r="D110" i="24" l="1"/>
  <c r="D111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Lolur, Raghavendra Prasad PTIN-PTS/TCC</author>
  </authors>
  <commentList>
    <comment ref="G54" authorId="0" shapeId="0" xr:uid="{5CDE7152-13C7-4065-9BE3-EB92B31199E2}">
      <text>
        <r>
          <rPr>
            <sz val="9"/>
            <color indexed="81"/>
            <rFont val="Tahoma"/>
            <family val="2"/>
          </rPr>
          <t xml:space="preserve">5000 BPSD ~ 537 tpd @ 675 kg/m3 density
</t>
        </r>
      </text>
    </comment>
    <comment ref="H54" authorId="0" shapeId="0" xr:uid="{478C14E9-05AF-49F9-91B4-A7220ADA710A}">
      <text>
        <r>
          <rPr>
            <sz val="9"/>
            <color indexed="81"/>
            <rFont val="Tahoma"/>
            <family val="2"/>
          </rPr>
          <t xml:space="preserve">5000 BPSD ~ 537 tpd @ 675 kg/m3 density
</t>
        </r>
      </text>
    </comment>
    <comment ref="I54" authorId="0" shapeId="0" xr:uid="{B56333E1-1AFF-4BB8-A898-CEB43E0D9440}">
      <text>
        <r>
          <rPr>
            <sz val="9"/>
            <color indexed="81"/>
            <rFont val="Tahoma"/>
            <family val="2"/>
          </rPr>
          <t xml:space="preserve">5000 BPSD ~ 537 tpd @ 675 kg/m3 density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Lolur, Raghavendra Prasad PTIN-PTS/TCC</author>
  </authors>
  <commentList>
    <comment ref="G54" authorId="0" shapeId="0" xr:uid="{94A2ABB1-71EC-4DED-BFA3-45A5297A83E9}">
      <text>
        <r>
          <rPr>
            <sz val="9"/>
            <color indexed="81"/>
            <rFont val="Tahoma"/>
            <family val="2"/>
          </rPr>
          <t xml:space="preserve">5000 BPSD ~ 537 tpd @ 675 kg/m3 density
</t>
        </r>
      </text>
    </comment>
    <comment ref="H54" authorId="0" shapeId="0" xr:uid="{67252263-081C-4D0C-9C41-7F099480C81F}">
      <text>
        <r>
          <rPr>
            <sz val="9"/>
            <color indexed="81"/>
            <rFont val="Tahoma"/>
            <family val="2"/>
          </rPr>
          <t xml:space="preserve">5000 BPSD ~ 537 tpd @ 675 kg/m3 density
</t>
        </r>
      </text>
    </comment>
    <comment ref="I54" authorId="0" shapeId="0" xr:uid="{050358FA-5D88-4C48-A429-74CA11184BEA}">
      <text>
        <r>
          <rPr>
            <sz val="9"/>
            <color indexed="81"/>
            <rFont val="Tahoma"/>
            <family val="2"/>
          </rPr>
          <t xml:space="preserve">5000 BPSD ~ 537 tpd @ 675 kg/m3 density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Lolur, Raghavendra Prasad PTIN-PTS/TCC</author>
  </authors>
  <commentList>
    <comment ref="G54" authorId="0" shapeId="0" xr:uid="{2179E3B6-0378-4D43-836C-35C4EB402A6D}">
      <text>
        <r>
          <rPr>
            <sz val="9"/>
            <color indexed="81"/>
            <rFont val="Tahoma"/>
            <family val="2"/>
          </rPr>
          <t xml:space="preserve">5000 BPSD ~ 537 tpd @ 675 kg/m3 density
</t>
        </r>
      </text>
    </comment>
    <comment ref="H54" authorId="0" shapeId="0" xr:uid="{2C3D472F-2C8B-452D-A679-38282D0EA928}">
      <text>
        <r>
          <rPr>
            <sz val="9"/>
            <color indexed="81"/>
            <rFont val="Tahoma"/>
            <family val="2"/>
          </rPr>
          <t xml:space="preserve">5000 BPSD ~ 537 tpd @ 675 kg/m3 density
</t>
        </r>
      </text>
    </comment>
    <comment ref="I54" authorId="0" shapeId="0" xr:uid="{76559753-8CF6-4B96-93B1-81A51013418C}">
      <text>
        <r>
          <rPr>
            <sz val="9"/>
            <color indexed="81"/>
            <rFont val="Tahoma"/>
            <family val="2"/>
          </rPr>
          <t xml:space="preserve">5000 BPSD ~ 537 tpd @ 675 kg/m3 density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tc={77AE2017-B509-4BD1-825E-3C20218B54FD}</author>
    <author>tc={54B7F9EE-D593-4D77-A581-CE1594FC2D2B}</author>
  </authors>
  <commentList>
    <comment ref="A11" authorId="0" shapeId="0" xr:uid="{77AE2017-B509-4BD1-825E-3C20218B54F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Conditions: 483 oC @ 1 hr</t>
      </text>
    </comment>
    <comment ref="A12" authorId="1" shapeId="0" xr:uid="{54B7F9EE-D593-4D77-A581-CE1594FC2D2B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Estimated based on LOI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<sst xmlns="http://schemas.openxmlformats.org/spreadsheetml/2006/main" count="3944" uniqueCount="1084">
  <si>
    <r>
      <t xml:space="preserve">C5/C6 ISOMERISATION - Horizon-2 Programme - DGD_Patent_Run - </t>
    </r>
    <r>
      <rPr>
        <b/>
        <u/>
        <sz val="12"/>
        <color rgb="FF00B050"/>
        <rFont val="Aptos Narrow"/>
        <family val="2"/>
      </rPr>
      <t>@ WABT 210 deg C</t>
    </r>
    <r>
      <rPr>
        <b/>
        <u/>
        <sz val="12"/>
        <color theme="1"/>
        <rFont val="Aptos Narrow"/>
        <family val="2"/>
      </rPr>
      <t xml:space="preserve"> - Actual Run Conditions</t>
    </r>
  </si>
  <si>
    <t>No</t>
  </si>
  <si>
    <t>Component ↓</t>
  </si>
  <si>
    <t>UOM</t>
  </si>
  <si>
    <t>Z-700A</t>
  </si>
  <si>
    <t>Athos-1</t>
  </si>
  <si>
    <t>Athos-3</t>
  </si>
  <si>
    <t>Hydrogen</t>
  </si>
  <si>
    <t>wt%</t>
  </si>
  <si>
    <t>Methane</t>
  </si>
  <si>
    <t>Ethane</t>
  </si>
  <si>
    <t>Propane</t>
  </si>
  <si>
    <t>n-Butane</t>
  </si>
  <si>
    <t>iso-Butane</t>
  </si>
  <si>
    <t>n-Pentane</t>
  </si>
  <si>
    <t>iso-Pentane</t>
  </si>
  <si>
    <t>Cyclopentane</t>
  </si>
  <si>
    <t>n-Hexane</t>
  </si>
  <si>
    <t>2-Methyl Pentane</t>
  </si>
  <si>
    <t>3-Methyl Pentane</t>
  </si>
  <si>
    <t>2,3-Dimethyl Butane</t>
  </si>
  <si>
    <t>2,2-Dimetyl Butane</t>
  </si>
  <si>
    <t>Cyclohexane</t>
  </si>
  <si>
    <t>Methyl Cyclopentane</t>
  </si>
  <si>
    <t>Benzene</t>
  </si>
  <si>
    <t>n-Heptane</t>
  </si>
  <si>
    <t>iC7 Single Branched</t>
  </si>
  <si>
    <t>iC7 Multi Branched</t>
  </si>
  <si>
    <t>C7N</t>
  </si>
  <si>
    <t>Toluene</t>
  </si>
  <si>
    <t>C8P</t>
  </si>
  <si>
    <t>Total →</t>
  </si>
  <si>
    <t>Isomerate RON →</t>
  </si>
  <si>
    <t>-</t>
  </si>
  <si>
    <t>Isomerate MON →</t>
  </si>
  <si>
    <t>C5+ Yield</t>
  </si>
  <si>
    <t>lv%</t>
  </si>
  <si>
    <t>C5+ product density</t>
  </si>
  <si>
    <t>g/cc</t>
  </si>
  <si>
    <t>C5+ Isomearate MW</t>
  </si>
  <si>
    <t>g/g-mol</t>
  </si>
  <si>
    <t>H2 consumption</t>
  </si>
  <si>
    <t>Nm3/m3</t>
  </si>
  <si>
    <t>Reid Vapour Pressure</t>
  </si>
  <si>
    <t>mbar</t>
  </si>
  <si>
    <r>
      <rPr>
        <sz val="14"/>
        <color theme="1"/>
        <rFont val="Calibri"/>
        <family val="2"/>
      </rPr>
      <t>∆</t>
    </r>
    <r>
      <rPr>
        <sz val="14"/>
        <color theme="1"/>
        <rFont val="Aptos Narrow"/>
        <family val="2"/>
      </rPr>
      <t xml:space="preserve"> RON (Prod - Feed)</t>
    </r>
  </si>
  <si>
    <r>
      <rPr>
        <sz val="14"/>
        <color theme="1"/>
        <rFont val="Calibri"/>
        <family val="2"/>
      </rPr>
      <t>∆</t>
    </r>
    <r>
      <rPr>
        <sz val="14"/>
        <color theme="1"/>
        <rFont val="Aptos Narrow"/>
        <family val="2"/>
      </rPr>
      <t xml:space="preserve"> MON (Prod - Feed)</t>
    </r>
  </si>
  <si>
    <t>Simulation outuput - Operating Parameters</t>
  </si>
  <si>
    <t>Benefit USD/RON-BBL</t>
  </si>
  <si>
    <t>Reactor Inlet Temp</t>
  </si>
  <si>
    <t>°C</t>
  </si>
  <si>
    <t>Reactor Outlet Temp</t>
  </si>
  <si>
    <t>Reactor dT</t>
  </si>
  <si>
    <t>WABT</t>
  </si>
  <si>
    <t>Reactor Inlet Pre</t>
  </si>
  <si>
    <t>bar (g)</t>
  </si>
  <si>
    <t>LHSV</t>
  </si>
  <si>
    <r>
      <t>hr</t>
    </r>
    <r>
      <rPr>
        <vertAlign val="superscript"/>
        <sz val="12"/>
        <color theme="1"/>
        <rFont val="Aptos Narrow"/>
        <family val="2"/>
      </rPr>
      <t>(-1)</t>
    </r>
  </si>
  <si>
    <t>WHSV</t>
  </si>
  <si>
    <t>H2:HC ratio</t>
  </si>
  <si>
    <t>mol:mol</t>
  </si>
  <si>
    <t>Feed rate</t>
  </si>
  <si>
    <t>BPD</t>
  </si>
  <si>
    <t>Isomerate</t>
  </si>
  <si>
    <t>∆RON-BBL</t>
  </si>
  <si>
    <t>Simple Benefit Analysis</t>
  </si>
  <si>
    <t>KUSD/Day</t>
  </si>
  <si>
    <t>MUSD/Yr</t>
  </si>
  <si>
    <r>
      <t xml:space="preserve">C5/C6 ISOMERISATION - Horizon-2 Programme - DGD_Patent_Run - </t>
    </r>
    <r>
      <rPr>
        <b/>
        <u/>
        <sz val="12"/>
        <color rgb="FFFF0000"/>
        <rFont val="Aptos Narrow"/>
        <family val="2"/>
      </rPr>
      <t>@ WABT 215 deg C</t>
    </r>
    <r>
      <rPr>
        <b/>
        <u/>
        <sz val="12"/>
        <color theme="1"/>
        <rFont val="Aptos Narrow"/>
        <family val="2"/>
      </rPr>
      <t xml:space="preserve"> - Actual Run Conditions</t>
    </r>
  </si>
  <si>
    <r>
      <t xml:space="preserve">C5/C6 ISOMERISATION - Horizon-2 Programme - DGD_Patent_Run - </t>
    </r>
    <r>
      <rPr>
        <b/>
        <u/>
        <sz val="12"/>
        <color theme="5" tint="-0.249977111117893"/>
        <rFont val="Aptos Narrow"/>
        <family val="2"/>
      </rPr>
      <t>@ WABT 220 deg C</t>
    </r>
    <r>
      <rPr>
        <b/>
        <u/>
        <sz val="12"/>
        <color theme="1"/>
        <rFont val="Aptos Narrow"/>
        <family val="2"/>
      </rPr>
      <t xml:space="preserve"> - Actual Run Conditions</t>
    </r>
  </si>
  <si>
    <t>Experimental</t>
  </si>
  <si>
    <r>
      <t xml:space="preserve">220 </t>
    </r>
    <r>
      <rPr>
        <vertAlign val="superscript"/>
        <sz val="11"/>
        <color theme="1"/>
        <rFont val="Aptos Narrow"/>
        <family val="2"/>
      </rPr>
      <t>0</t>
    </r>
    <r>
      <rPr>
        <sz val="11"/>
        <color theme="1"/>
        <rFont val="Aptos Narrow"/>
        <family val="2"/>
      </rPr>
      <t>C</t>
    </r>
  </si>
  <si>
    <t>ATHOS-1</t>
  </si>
  <si>
    <t>ATHOS-3</t>
  </si>
  <si>
    <t>wof%</t>
  </si>
  <si>
    <t>2,2-Dimethyl Butane</t>
  </si>
  <si>
    <t>C3 &amp; Below</t>
  </si>
  <si>
    <t>C4-C5 Unknowns</t>
  </si>
  <si>
    <t>C5-C6 Unknowns</t>
  </si>
  <si>
    <t>C6-C7 Unknowns</t>
  </si>
  <si>
    <t>C7-C8 Unknowns</t>
  </si>
  <si>
    <t>Total</t>
  </si>
  <si>
    <t>Objective</t>
  </si>
  <si>
    <t>Mononaphtha Upgrading is part of the Renewable Gasoline Theme within the Low Carbon Fuels Technology (LCF) Horizon 2 portfolio. This experimental program will generate the data required to support the SG1 decision planned for December 2026. The objective is to screen commercial isomerization catalysts based on:
•	Activity
•	Selectivity (minimizing hydrocracking and maximizing liquid yield C5+)
•	RON uplift
The feedstock will be a commercial naphtha stream from Diamond Green Diesel (USA), produced via the HEFA/VO pathway. While catalyst stability is an important consideration, it is not included in the scope of this initial screening campaign. Based on the activity, selectivity, and RON uplift results, a decision will be made on whether catalyst stability should be evaluated in a subsequent study or as an extension of the current program.</t>
  </si>
  <si>
    <t>Catalyst Loading Plan</t>
  </si>
  <si>
    <t>Units</t>
  </si>
  <si>
    <t>Block 1</t>
  </si>
  <si>
    <t>Block 2</t>
  </si>
  <si>
    <t>Reactor</t>
  </si>
  <si>
    <t>--</t>
  </si>
  <si>
    <t>SCI number</t>
  </si>
  <si>
    <t>CISPRO label</t>
  </si>
  <si>
    <t>C530823</t>
  </si>
  <si>
    <t>C569575</t>
  </si>
  <si>
    <t>C530817</t>
  </si>
  <si>
    <t>Catalyst</t>
  </si>
  <si>
    <t>SiC-INERT</t>
  </si>
  <si>
    <t>Shape &amp; Size</t>
  </si>
  <si>
    <t>mm</t>
  </si>
  <si>
    <t>CY 1.6</t>
  </si>
  <si>
    <t>0.8mm</t>
  </si>
  <si>
    <t>CBD (as-is)</t>
  </si>
  <si>
    <t>g/ml</t>
  </si>
  <si>
    <t>LOI</t>
  </si>
  <si>
    <t>CBD (dry basis)</t>
  </si>
  <si>
    <t>Catalyst volume</t>
  </si>
  <si>
    <t>ml</t>
  </si>
  <si>
    <t>Catalyst amount</t>
  </si>
  <si>
    <t>gms</t>
  </si>
  <si>
    <t>Naphtha Flow rate</t>
  </si>
  <si>
    <t>gms/hr</t>
  </si>
  <si>
    <t>H2 Flow rate</t>
  </si>
  <si>
    <t>NPLH</t>
  </si>
  <si>
    <t>Op.Conditions</t>
  </si>
  <si>
    <t>Pressure</t>
  </si>
  <si>
    <t>barg</t>
  </si>
  <si>
    <r>
      <t xml:space="preserve">Temperature </t>
    </r>
    <r>
      <rPr>
        <sz val="11"/>
        <color rgb="FF7030A0"/>
        <rFont val="Aptos"/>
        <family val="2"/>
      </rPr>
      <t>(*)</t>
    </r>
  </si>
  <si>
    <r>
      <rPr>
        <vertAlign val="superscript"/>
        <sz val="11"/>
        <color theme="1"/>
        <rFont val="Aptos"/>
        <family val="2"/>
      </rPr>
      <t>o</t>
    </r>
    <r>
      <rPr>
        <sz val="11"/>
        <color theme="1"/>
        <rFont val="Aptos"/>
        <family val="2"/>
      </rPr>
      <t>C</t>
    </r>
  </si>
  <si>
    <t>h-1</t>
  </si>
  <si>
    <t>H2/Naphtha</t>
  </si>
  <si>
    <t>mol.basis</t>
  </si>
  <si>
    <t>Duration</t>
  </si>
  <si>
    <t>hrs</t>
  </si>
  <si>
    <r>
      <t xml:space="preserve">Feed Density @ 15 </t>
    </r>
    <r>
      <rPr>
        <vertAlign val="superscript"/>
        <sz val="11"/>
        <color theme="1"/>
        <rFont val="Aptos"/>
        <family val="2"/>
      </rPr>
      <t>o</t>
    </r>
    <r>
      <rPr>
        <sz val="11"/>
        <color theme="1"/>
        <rFont val="Aptos"/>
        <family val="2"/>
      </rPr>
      <t>C</t>
    </r>
  </si>
  <si>
    <t>To be updated following receipt of the analytical results</t>
  </si>
  <si>
    <t>Feed  molecular weight</t>
  </si>
  <si>
    <t>from offline DHA</t>
  </si>
  <si>
    <t>Naphtha/H2</t>
  </si>
  <si>
    <t>mass ratio</t>
  </si>
  <si>
    <t>H2 flow rate</t>
  </si>
  <si>
    <t>NLPH</t>
  </si>
  <si>
    <t xml:space="preserve"> Catalyst Loading Diagram</t>
  </si>
  <si>
    <t>Block1</t>
  </si>
  <si>
    <t>Block2</t>
  </si>
  <si>
    <t>Zones</t>
  </si>
  <si>
    <t>Reactor ID</t>
  </si>
  <si>
    <t>Empty space</t>
  </si>
  <si>
    <t>Isothermal zone height</t>
  </si>
  <si>
    <t xml:space="preserve">Catalyst </t>
  </si>
  <si>
    <t>SiC</t>
  </si>
  <si>
    <t>Isothermal zone volume</t>
  </si>
  <si>
    <t>Preheating Zone, mm</t>
  </si>
  <si>
    <t>Preheating Zone
SiC, 0.8 mm</t>
  </si>
  <si>
    <t>Catalyst Bed Zone, mm</t>
  </si>
  <si>
    <t>Post Heating Zone, mm</t>
  </si>
  <si>
    <t>Z-700A, CY 1.6 (2 ml) + SiC 50 microns (2 ml)
equally divided into 10 portions</t>
  </si>
  <si>
    <t>Post Heating Zone
SiC, 0.8 mm</t>
  </si>
  <si>
    <t>Frit at the end of reactor bottom</t>
  </si>
  <si>
    <t>Height ~ 10 mm</t>
  </si>
  <si>
    <t>Size</t>
  </si>
  <si>
    <t>Steps</t>
  </si>
  <si>
    <t>Start Temperature</t>
  </si>
  <si>
    <t>Target Temperature</t>
  </si>
  <si>
    <t>Ramp Rate, oC/hr</t>
  </si>
  <si>
    <t>Holding, hrs</t>
  </si>
  <si>
    <t>N2 flow, NLPH</t>
  </si>
  <si>
    <t>H2 flow, NLPH</t>
  </si>
  <si>
    <t>Pressure, barg</t>
  </si>
  <si>
    <t>Remarks</t>
  </si>
  <si>
    <t xml:space="preserve"> Step</t>
  </si>
  <si>
    <t>Time, hrs</t>
  </si>
  <si>
    <t>Cumulative Time, hrs</t>
  </si>
  <si>
    <t>Temperature, oC</t>
  </si>
  <si>
    <t>N2/H2 flow</t>
  </si>
  <si>
    <t>N2/H2, barg</t>
  </si>
  <si>
    <t>Y</t>
  </si>
  <si>
    <t>Switch to H₂ gas and flush the system until N₂ is reduced to &lt;0.5 vol%, confirm through online GC</t>
  </si>
  <si>
    <t>Increase the reactor pressure from 1 to 5 barg</t>
  </si>
  <si>
    <t>Increase the H2 pressure to first operating pressure</t>
  </si>
  <si>
    <t>Adjust H2 flow and introduce liquid feed as per condition 1</t>
  </si>
  <si>
    <t>Adjust H2 flow and introduce liquid feed as per experimental condition</t>
  </si>
  <si>
    <t>Below data generated on 7th Aug 2026</t>
  </si>
  <si>
    <t>N2</t>
  </si>
  <si>
    <t>H2</t>
  </si>
  <si>
    <t>ter #</t>
  </si>
  <si>
    <t>Batch #</t>
  </si>
  <si>
    <t>Conc (Vol%)</t>
  </si>
  <si>
    <t>Area</t>
  </si>
  <si>
    <t>RF</t>
  </si>
  <si>
    <t>CAN-01</t>
  </si>
  <si>
    <t>CFC2512006/30033552</t>
  </si>
  <si>
    <t>CSL/16-17/SB3-207</t>
  </si>
  <si>
    <t>CFC2512004/30035552</t>
  </si>
  <si>
    <t>CSL/17-18/SB3/043</t>
  </si>
  <si>
    <t>CFC2512005/30033552</t>
  </si>
  <si>
    <t>CSL/19-20/SB3/HP05</t>
  </si>
  <si>
    <t>CFC2512008/300333552</t>
  </si>
  <si>
    <t>Inter/Extra polation</t>
  </si>
  <si>
    <t>Determined from Co-Pilot</t>
  </si>
  <si>
    <t>Date/Time</t>
  </si>
  <si>
    <t>Sampled_reactor</t>
  </si>
  <si>
    <t>10i1TIC02</t>
  </si>
  <si>
    <t>10i2TIC02</t>
  </si>
  <si>
    <t>10i1PIC01</t>
  </si>
  <si>
    <t>10i2PIC01</t>
  </si>
  <si>
    <t>01i14FIC01</t>
  </si>
  <si>
    <t>01i14FIC02</t>
  </si>
  <si>
    <t>01i14FIC03</t>
  </si>
  <si>
    <t>01i14FIC04</t>
  </si>
  <si>
    <t>01i14FIC05</t>
  </si>
  <si>
    <t>01i14FIC06</t>
  </si>
  <si>
    <t>01i14FIC07</t>
  </si>
  <si>
    <t>01i14FIC08</t>
  </si>
  <si>
    <t>01i14FI01</t>
  </si>
  <si>
    <t>10i1FIC01</t>
  </si>
  <si>
    <t>10i1FIC02</t>
  </si>
  <si>
    <t>10i1FIC03</t>
  </si>
  <si>
    <t>10i1FIC04</t>
  </si>
  <si>
    <t>10i2FIC01</t>
  </si>
  <si>
    <t>10i2FIC02</t>
  </si>
  <si>
    <t>10i2FIC03</t>
  </si>
  <si>
    <t>10i2FIC04</t>
  </si>
  <si>
    <t>10i2TIC01</t>
  </si>
  <si>
    <t>02i2FIC01</t>
  </si>
  <si>
    <t>02i2FIC02</t>
  </si>
  <si>
    <t>02i2FIC03</t>
  </si>
  <si>
    <t>02i2FIC04</t>
  </si>
  <si>
    <t>02i2FIC05</t>
  </si>
  <si>
    <t>02i2FIC06</t>
  </si>
  <si>
    <t>02i2FIC07</t>
  </si>
  <si>
    <t>02i2FIC08</t>
  </si>
  <si>
    <t>GC Date/Time</t>
  </si>
  <si>
    <t>Name_H2</t>
  </si>
  <si>
    <t>Conc_H2</t>
  </si>
  <si>
    <t>ESTD_H2</t>
  </si>
  <si>
    <t>Area_H2</t>
  </si>
  <si>
    <t>RT_H2</t>
  </si>
  <si>
    <t>Date</t>
  </si>
  <si>
    <t>Time Stamp</t>
  </si>
  <si>
    <t>Conc_N2</t>
  </si>
  <si>
    <t>ESTD_N2</t>
  </si>
  <si>
    <t>Area_N2</t>
  </si>
  <si>
    <t>RT_N2</t>
  </si>
  <si>
    <t>H2 Flow, SLPH</t>
  </si>
  <si>
    <t>15.08.2026 14:56:31</t>
  </si>
  <si>
    <t>15.08.2026 15:02:36</t>
  </si>
  <si>
    <t>15.08.2026 15:09:52</t>
  </si>
  <si>
    <t>15.08.2026 15:15:58</t>
  </si>
  <si>
    <t>15.08.2026 15:23:14</t>
  </si>
  <si>
    <t>15.08.2026 15:29:22</t>
  </si>
  <si>
    <t>15.08.2026 15:36:35</t>
  </si>
  <si>
    <t>15.08.2026 15:42:39</t>
  </si>
  <si>
    <t>15.08.2026 15:49:55</t>
  </si>
  <si>
    <t>15.08.2026 15:56:01</t>
  </si>
  <si>
    <t>15.08.2026 16:03:16</t>
  </si>
  <si>
    <t>15.08.2026 16:09:25</t>
  </si>
  <si>
    <t>15.08.2026 16:16:37</t>
  </si>
  <si>
    <t>15.08.2026 16:22:42</t>
  </si>
  <si>
    <t>15.08.2026 16:29:58</t>
  </si>
  <si>
    <t>15.08.2026 16:36:04</t>
  </si>
  <si>
    <t>15.08.2026 16:43:19</t>
  </si>
  <si>
    <t>15.08.2026 16:49:24</t>
  </si>
  <si>
    <t>15.08.2026 16:56:40</t>
  </si>
  <si>
    <t>15.08.2026 17:02:45</t>
  </si>
  <si>
    <t>15.08.2026 17:10:02</t>
  </si>
  <si>
    <t>15.08.2026 17:16:07</t>
  </si>
  <si>
    <t>15.08.2026 17:23:22</t>
  </si>
  <si>
    <t>15.08.2026 17:29:28</t>
  </si>
  <si>
    <t>15.08.2026 17:36:44</t>
  </si>
  <si>
    <t>15.08.2026 17:42:49</t>
  </si>
  <si>
    <t>15.08.2026 17:50:04</t>
  </si>
  <si>
    <t>15.08.2026 17:56:08</t>
  </si>
  <si>
    <t>15.08.2026 18:03:25</t>
  </si>
  <si>
    <t>15.08.2026 18:09:30</t>
  </si>
  <si>
    <t>15.08.2026 18:16:45</t>
  </si>
  <si>
    <t>15.08.2026 18:22:55</t>
  </si>
  <si>
    <t>15.08.2026 18:30:07</t>
  </si>
  <si>
    <t>15.08.2026 18:36:17</t>
  </si>
  <si>
    <t>15.08.2026 18:43:29</t>
  </si>
  <si>
    <t>15.08.2026 18:49:35</t>
  </si>
  <si>
    <t>15.08.2026 18:56:49</t>
  </si>
  <si>
    <t>15.08.2026 19:03:00</t>
  </si>
  <si>
    <t>15.08.2026 19:10:12</t>
  </si>
  <si>
    <t>15.08.2026 19:16:17</t>
  </si>
  <si>
    <t>15.08.2026 19:23:34</t>
  </si>
  <si>
    <t>15.08.2026 19:29:41</t>
  </si>
  <si>
    <t>15.08.2026 19:36:55</t>
  </si>
  <si>
    <t>15.08.2026 19:43:02</t>
  </si>
  <si>
    <t>15.08.2026 19:50:15</t>
  </si>
  <si>
    <t>15.08.2026 19:56:21</t>
  </si>
  <si>
    <t>15.08.2026 20:03:37</t>
  </si>
  <si>
    <t>15.08.2026 20:09:41</t>
  </si>
  <si>
    <t>15.08.2026 20:16:58</t>
  </si>
  <si>
    <t>15.08.2026 20:23:01</t>
  </si>
  <si>
    <t>15.08.2026 20:30:18</t>
  </si>
  <si>
    <t>15.08.2026 20:36:24</t>
  </si>
  <si>
    <t>15.08.2026 20:43:39</t>
  </si>
  <si>
    <t>15.08.2026 20:49:45</t>
  </si>
  <si>
    <t>15.08.2026 20:57:00</t>
  </si>
  <si>
    <t>15.08.2026 21:03:04</t>
  </si>
  <si>
    <t>15.08.2026 21:10:21</t>
  </si>
  <si>
    <t>15.08.2026 21:16:26</t>
  </si>
  <si>
    <t>15.08.2026 21:23:41</t>
  </si>
  <si>
    <t>15.08.2026 21:29:51</t>
  </si>
  <si>
    <t>15.08.2026 21:37:03</t>
  </si>
  <si>
    <t>15.08.2026 21:43:07</t>
  </si>
  <si>
    <t>15.08.2026 21:50:23</t>
  </si>
  <si>
    <t>15.08.2026 21:56:30</t>
  </si>
  <si>
    <t>15.08.2026 22:03:45</t>
  </si>
  <si>
    <t>15.08.2026 22:09:49</t>
  </si>
  <si>
    <t>15.08.2026 22:17:06</t>
  </si>
  <si>
    <t>15.08.2026 22:23:11</t>
  </si>
  <si>
    <t>15.08.2026 22:30:26</t>
  </si>
  <si>
    <t>15.08.2026 22:36:36</t>
  </si>
  <si>
    <t>15.08.2026 22:43:49</t>
  </si>
  <si>
    <t>15.08.2026 22:49:58</t>
  </si>
  <si>
    <t>15.08.2026 22:57:11</t>
  </si>
  <si>
    <t>15.08.2026 23:03:15</t>
  </si>
  <si>
    <t>15.08.2026 23:10:30</t>
  </si>
  <si>
    <t>15.08.2026 23:16:35</t>
  </si>
  <si>
    <t>15.08.2026 23:23:51</t>
  </si>
  <si>
    <t>15.08.2026 23:29:57</t>
  </si>
  <si>
    <t>15.08.2026 23:37:12</t>
  </si>
  <si>
    <t>15.08.2026 23:43:22</t>
  </si>
  <si>
    <t>15.08.2026 23:50:35</t>
  </si>
  <si>
    <t>15.08.2026 23:56:40</t>
  </si>
  <si>
    <t>16.08.2026 00:03:56</t>
  </si>
  <si>
    <t>16.08.2026 00:10:05</t>
  </si>
  <si>
    <t>16.08.2026 00:17:17</t>
  </si>
  <si>
    <t>16.08.2026 00:23:21</t>
  </si>
  <si>
    <t>16.08.2026 00:30:38</t>
  </si>
  <si>
    <t>16.08.2026 00:36:43</t>
  </si>
  <si>
    <t>16.08.2026 00:43:59</t>
  </si>
  <si>
    <t>16.08.2026 00:50:04</t>
  </si>
  <si>
    <t>16.08.2026 00:57:20</t>
  </si>
  <si>
    <t>16.08.2026 01:03:24</t>
  </si>
  <si>
    <t>16.08.2026 01:10:41</t>
  </si>
  <si>
    <t>16.08.2026 01:16:46</t>
  </si>
  <si>
    <t>16.08.2026 01:24:01</t>
  </si>
  <si>
    <t>16.08.2026 01:30:07</t>
  </si>
  <si>
    <t>16.08.2026 01:37:22</t>
  </si>
  <si>
    <t>16.08.2026 01:43:28</t>
  </si>
  <si>
    <t>16.08.2026 01:50:43</t>
  </si>
  <si>
    <t>16.08.2026 01:56:48</t>
  </si>
  <si>
    <t>16.08.2026 02:04:03</t>
  </si>
  <si>
    <t>16.08.2026 02:10:12</t>
  </si>
  <si>
    <t>16.08.2026 02:17:25</t>
  </si>
  <si>
    <t>16.08.2026 02:23:30</t>
  </si>
  <si>
    <t>16.08.2026 02:30:47</t>
  </si>
  <si>
    <t>16.08.2026 02:36:52</t>
  </si>
  <si>
    <t>16.08.2026 02:44:07</t>
  </si>
  <si>
    <t>16.08.2026 02:50:15</t>
  </si>
  <si>
    <t>16.08.2026 02:57:28</t>
  </si>
  <si>
    <t>16.08.2026 03:03:32</t>
  </si>
  <si>
    <t>16.08.2026 03:10:49</t>
  </si>
  <si>
    <t>16.08.2026 03:16:53</t>
  </si>
  <si>
    <t>16.08.2026 03:24:10</t>
  </si>
  <si>
    <t>16.08.2026 03:30:19</t>
  </si>
  <si>
    <t>16.08.2026 03:37:32</t>
  </si>
  <si>
    <t>16.08.2026 03:43:40</t>
  </si>
  <si>
    <t>16.08.2026 03:50:53</t>
  </si>
  <si>
    <t>16.08.2026 03:56:58</t>
  </si>
  <si>
    <t>16.08.2026 04:04:13</t>
  </si>
  <si>
    <t>16.08.2026 04:10:19</t>
  </si>
  <si>
    <t>16.08.2026 04:17:34</t>
  </si>
  <si>
    <t>16.08.2026 04:23:40</t>
  </si>
  <si>
    <t>16.08.2026 04:30:55</t>
  </si>
  <si>
    <t>16.08.2026 04:37:03</t>
  </si>
  <si>
    <t>16.08.2026 04:44:16</t>
  </si>
  <si>
    <t>16.08.2026 04:50:25</t>
  </si>
  <si>
    <t>16.08.2026 04:57:37</t>
  </si>
  <si>
    <t>16.08.2026 05:03:47</t>
  </si>
  <si>
    <t>16.08.2026 05:10:59</t>
  </si>
  <si>
    <t>16.08.2026 05:17:09</t>
  </si>
  <si>
    <t>16.08.2026 05:24:22</t>
  </si>
  <si>
    <t>16.08.2026 05:30:26</t>
  </si>
  <si>
    <t>16.08.2026 05:37:44</t>
  </si>
  <si>
    <t>16.08.2026 05:43:47</t>
  </si>
  <si>
    <t>16.08.2026 05:51:05</t>
  </si>
  <si>
    <t>16.08.2026 05:57:09</t>
  </si>
  <si>
    <t>16.08.2026 06:04:25</t>
  </si>
  <si>
    <t>16.08.2026 06:10:29</t>
  </si>
  <si>
    <t>16.08.2026 06:17:47</t>
  </si>
  <si>
    <t>16.08.2026 06:23:54</t>
  </si>
  <si>
    <t>16.08.2026 06:31:06</t>
  </si>
  <si>
    <t>16.08.2026 06:37:11</t>
  </si>
  <si>
    <t>16.08.2026 06:44:27</t>
  </si>
  <si>
    <t>16.08.2026 06:50:32</t>
  </si>
  <si>
    <t>16.08.2026 06:57:48</t>
  </si>
  <si>
    <t>16.08.2026 07:03:53</t>
  </si>
  <si>
    <t>16.08.2026 07:11:10</t>
  </si>
  <si>
    <t>16.08.2026 07:17:19</t>
  </si>
  <si>
    <t>16.08.2026 07:24:31</t>
  </si>
  <si>
    <t>16.08.2026 07:30:40</t>
  </si>
  <si>
    <t>16.08.2026 07:37:54</t>
  </si>
  <si>
    <t>16.08.2026 07:44:02</t>
  </si>
  <si>
    <t>16.08.2026 07:51:14</t>
  </si>
  <si>
    <t>16.08.2026 07:57:20</t>
  </si>
  <si>
    <t>16.08.2026 08:04:35</t>
  </si>
  <si>
    <t>16.08.2026 08:10:44</t>
  </si>
  <si>
    <t>16.08.2026 08:17:56</t>
  </si>
  <si>
    <t>16.08.2026 08:24:06</t>
  </si>
  <si>
    <t>16.08.2026 08:31:18</t>
  </si>
  <si>
    <t>16.08.2026 08:37:23</t>
  </si>
  <si>
    <t>16.08.2026 08:44:40</t>
  </si>
  <si>
    <t>16.08.2026 08:50:48</t>
  </si>
  <si>
    <t>16.08.2026 08:58:00</t>
  </si>
  <si>
    <t>16.08.2026 09:04:05</t>
  </si>
  <si>
    <t>16.08.2026 09:11:22</t>
  </si>
  <si>
    <t>16.08.2026 09:17:28</t>
  </si>
  <si>
    <t>16.08.2026 09:24:42</t>
  </si>
  <si>
    <t>16.08.2026 09:30:52</t>
  </si>
  <si>
    <t>16.08.2026 09:38:05</t>
  </si>
  <si>
    <t>16.08.2026 09:44:11</t>
  </si>
  <si>
    <t>16.08.2026 09:51:26</t>
  </si>
  <si>
    <t>16.08.2026 09:57:31</t>
  </si>
  <si>
    <t>16.08.2026 10:04:47</t>
  </si>
  <si>
    <t>16.08.2026 10:10:56</t>
  </si>
  <si>
    <t>16.08.2026 10:18:07</t>
  </si>
  <si>
    <t>16.08.2026 10:24:13</t>
  </si>
  <si>
    <t>16.08.2026 10:31:28</t>
  </si>
  <si>
    <t>16.08.2026 10:37:33</t>
  </si>
  <si>
    <t>16.08.2026 10:44:49</t>
  </si>
  <si>
    <t>16.08.2026 10:50:55</t>
  </si>
  <si>
    <t>16.08.2026 10:58:11</t>
  </si>
  <si>
    <t>16.08.2026 11:04:15</t>
  </si>
  <si>
    <t>16.08.2026 11:11:32</t>
  </si>
  <si>
    <t>16.08.2026 11:17:37</t>
  </si>
  <si>
    <t>16.08.2026 11:24:53</t>
  </si>
  <si>
    <t>16.08.2026 11:31:01</t>
  </si>
  <si>
    <t>16.08.2026 11:38:13</t>
  </si>
  <si>
    <t>16.08.2026 11:44:23</t>
  </si>
  <si>
    <t>16.08.2026 11:51:36</t>
  </si>
  <si>
    <t>16.08.2026 11:57:44</t>
  </si>
  <si>
    <t>16.08.2026 12:04:56</t>
  </si>
  <si>
    <t>16.08.2026 12:11:01</t>
  </si>
  <si>
    <t>16.08.2026 12:18:18</t>
  </si>
  <si>
    <t>16.08.2026 12:24:22</t>
  </si>
  <si>
    <t>16.08.2026 12:31:39</t>
  </si>
  <si>
    <t>16.08.2026 12:37:48</t>
  </si>
  <si>
    <t>16.08.2026 12:45:00</t>
  </si>
  <si>
    <t>16.08.2026 12:51:10</t>
  </si>
  <si>
    <t>16.08.2026 12:58:22</t>
  </si>
  <si>
    <t>16.08.2026 13:04:28</t>
  </si>
  <si>
    <t>16.08.2026 13:11:43</t>
  </si>
  <si>
    <t>16.08.2026 13:17:52</t>
  </si>
  <si>
    <t>16.08.2026 13:25:04</t>
  </si>
  <si>
    <t>16.08.2026 13:31:10</t>
  </si>
  <si>
    <t>16.08.2026 13:38:25</t>
  </si>
  <si>
    <t>16.08.2026 13:44:31</t>
  </si>
  <si>
    <t>16.08.2026 13:51:47</t>
  </si>
  <si>
    <t>16.08.2026 13:57:56</t>
  </si>
  <si>
    <t>16.08.2026 14:05:10</t>
  </si>
  <si>
    <t>16.08.2026 14:11:15</t>
  </si>
  <si>
    <t>16.08.2026 14:18:30</t>
  </si>
  <si>
    <t>16.08.2026 14:24:35</t>
  </si>
  <si>
    <t>16.08.2026 14:31:51</t>
  </si>
  <si>
    <t>16.08.2026 14:37:57</t>
  </si>
  <si>
    <t>16.08.2026 14:45:12</t>
  </si>
  <si>
    <t>16.08.2026 14:51:17</t>
  </si>
  <si>
    <t>16.08.2026 14:58:34</t>
  </si>
  <si>
    <t>16.08.2026 15:04:39</t>
  </si>
  <si>
    <t>16.08.2026 15:11:54</t>
  </si>
  <si>
    <t>16.08.2026 15:18:03</t>
  </si>
  <si>
    <t>16.08.2026 15:25:15</t>
  </si>
  <si>
    <t>16.08.2026 15:31:20</t>
  </si>
  <si>
    <t>16.08.2026 15:38:36</t>
  </si>
  <si>
    <t>16.08.2026 15:44:41</t>
  </si>
  <si>
    <t>16.08.2026 15:51:57</t>
  </si>
  <si>
    <t>16.08.2026 15:58:02</t>
  </si>
  <si>
    <t>16.08.2026 16:05:18</t>
  </si>
  <si>
    <t>16.08.2026 16:11:27</t>
  </si>
  <si>
    <t>16.08.2026 16:18:39</t>
  </si>
  <si>
    <t>16.08.2026 16:24:49</t>
  </si>
  <si>
    <t>16.08.2026 16:32:02</t>
  </si>
  <si>
    <t>16.08.2026 16:38:06</t>
  </si>
  <si>
    <t>16.08.2026 16:45:22</t>
  </si>
  <si>
    <t>16.08.2026 16:51:31</t>
  </si>
  <si>
    <t>16.08.2026 16:58:44</t>
  </si>
  <si>
    <t>16.08.2026 17:04:53</t>
  </si>
  <si>
    <t>16.08.2026 17:12:06</t>
  </si>
  <si>
    <t>16.08.2026 17:18:12</t>
  </si>
  <si>
    <t>16.08.2026 17:25:28</t>
  </si>
  <si>
    <t>16.08.2026 17:31:32</t>
  </si>
  <si>
    <t>16.08.2026 17:38:48</t>
  </si>
  <si>
    <t>16.08.2026 17:44:53</t>
  </si>
  <si>
    <t>16.08.2026 17:52:09</t>
  </si>
  <si>
    <t>16.08.2026 17:58:13</t>
  </si>
  <si>
    <t>16.08.2026 18:05:30</t>
  </si>
  <si>
    <t>16.08.2026 18:11:35</t>
  </si>
  <si>
    <t>16.08.2026 18:18:52</t>
  </si>
  <si>
    <t>16.08.2026 18:24:56</t>
  </si>
  <si>
    <t>16.08.2026 18:32:12</t>
  </si>
  <si>
    <t>16.08.2026 18:38:21</t>
  </si>
  <si>
    <t>16.08.2026 18:45:34</t>
  </si>
  <si>
    <t>16.08.2026 18:51:38</t>
  </si>
  <si>
    <t>16.08.2026 18:58:54</t>
  </si>
  <si>
    <t>16.08.2026 19:04:59</t>
  </si>
  <si>
    <t>16.08.2026 19:12:16</t>
  </si>
  <si>
    <t>16.08.2026 19:18:25</t>
  </si>
  <si>
    <t>16.08.2026 19:25:37</t>
  </si>
  <si>
    <t>16.08.2026 19:31:45</t>
  </si>
  <si>
    <t>16.08.2026 19:38:58</t>
  </si>
  <si>
    <t>16.08.2026 19:45:04</t>
  </si>
  <si>
    <t>16.08.2026 19:52:19</t>
  </si>
  <si>
    <t>16.08.2026 19:58:25</t>
  </si>
  <si>
    <t>16.08.2026 20:05:40</t>
  </si>
  <si>
    <t>16.08.2026 20:11:48</t>
  </si>
  <si>
    <t>16.08.2026 20:19:00</t>
  </si>
  <si>
    <t>16.08.2026 20:25:06</t>
  </si>
  <si>
    <t>16.08.2026 20:32:22</t>
  </si>
  <si>
    <t>16.08.2026 20:38:26</t>
  </si>
  <si>
    <t>16.08.2026 20:45:43</t>
  </si>
  <si>
    <t>16.08.2026 20:51:48</t>
  </si>
  <si>
    <t>16.08.2026 20:59:03</t>
  </si>
  <si>
    <t>16.08.2026 21:05:13</t>
  </si>
  <si>
    <t>16.08.2026 21:12:27</t>
  </si>
  <si>
    <t>16.08.2026 21:18:34</t>
  </si>
  <si>
    <t>16.08.2026 21:25:46</t>
  </si>
  <si>
    <t>16.08.2026 21:31:52</t>
  </si>
  <si>
    <t>16.08.2026 21:39:08</t>
  </si>
  <si>
    <t>16.08.2026 21:45:13</t>
  </si>
  <si>
    <t>16.08.2026 21:52:29</t>
  </si>
  <si>
    <t>16.08.2026 21:58:34</t>
  </si>
  <si>
    <t>16.08.2026 22:05:49</t>
  </si>
  <si>
    <t>16.08.2026 22:11:55</t>
  </si>
  <si>
    <t>16.08.2026 22:19:10</t>
  </si>
  <si>
    <t>16.08.2026 22:25:19</t>
  </si>
  <si>
    <t>16.08.2026 22:32:32</t>
  </si>
  <si>
    <t>16.08.2026 22:38:37</t>
  </si>
  <si>
    <t>16.08.2026 22:45:52</t>
  </si>
  <si>
    <t>16.08.2026 22:52:02</t>
  </si>
  <si>
    <t>16.08.2026 22:59:15</t>
  </si>
  <si>
    <t>16.08.2026 23:05:23</t>
  </si>
  <si>
    <t>16.08.2026 23:12:36</t>
  </si>
  <si>
    <t>16.08.2026 23:18:46</t>
  </si>
  <si>
    <t>16.08.2026 23:25:58</t>
  </si>
  <si>
    <t>16.08.2026 23:32:07</t>
  </si>
  <si>
    <t>16.08.2026 23:39:20</t>
  </si>
  <si>
    <t>16.08.2026 23:45:24</t>
  </si>
  <si>
    <t>16.08.2026 23:52:42</t>
  </si>
  <si>
    <t>16.08.2026 23:58:46</t>
  </si>
  <si>
    <t>17.08.2026 00:06:02</t>
  </si>
  <si>
    <t>17.08.2026 00:12:08</t>
  </si>
  <si>
    <t>17.08.2026 00:19:24</t>
  </si>
  <si>
    <t>17.08.2026 00:25:29</t>
  </si>
  <si>
    <t>17.08.2026 00:32:44</t>
  </si>
  <si>
    <t>17.08.2026 00:38:49</t>
  </si>
  <si>
    <t>17.08.2026 00:46:05</t>
  </si>
  <si>
    <t>17.08.2026 00:52:14</t>
  </si>
  <si>
    <t>17.08.2026 00:59:26</t>
  </si>
  <si>
    <t>17.08.2026 01:05:34</t>
  </si>
  <si>
    <t>17.08.2026 01:12:47</t>
  </si>
  <si>
    <t>17.08.2026 01:18:56</t>
  </si>
  <si>
    <t>17.08.2026 01:26:10</t>
  </si>
  <si>
    <t>17.08.2026 01:32:18</t>
  </si>
  <si>
    <t>17.08.2026 01:39:31</t>
  </si>
  <si>
    <t>17.08.2026 01:45:39</t>
  </si>
  <si>
    <t>17.08.2026 01:52:53</t>
  </si>
  <si>
    <t>17.08.2026 01:58:57</t>
  </si>
  <si>
    <t>17.08.2026 02:06:14</t>
  </si>
  <si>
    <t>17.08.2026 02:12:18</t>
  </si>
  <si>
    <t>17.08.2026 02:19:33</t>
  </si>
  <si>
    <t>17.08.2026 02:25:43</t>
  </si>
  <si>
    <t>17.08.2026 02:32:55</t>
  </si>
  <si>
    <t>17.08.2026 02:39:00</t>
  </si>
  <si>
    <t>17.08.2026 02:46:16</t>
  </si>
  <si>
    <t>17.08.2026 02:52:20</t>
  </si>
  <si>
    <t>17.08.2026 02:59:37</t>
  </si>
  <si>
    <t>17.08.2026 03:05:43</t>
  </si>
  <si>
    <t>17.08.2026 03:12:58</t>
  </si>
  <si>
    <t>17.08.2026 03:19:06</t>
  </si>
  <si>
    <t>17.08.2026 03:26:19</t>
  </si>
  <si>
    <t>17.08.2026 03:32:24</t>
  </si>
  <si>
    <t>17.08.2026 03:39:40</t>
  </si>
  <si>
    <t>17.08.2026 03:45:48</t>
  </si>
  <si>
    <t>17.08.2026 03:53:02</t>
  </si>
  <si>
    <t>17.08.2026 03:59:11</t>
  </si>
  <si>
    <t>17.08.2026 04:06:24</t>
  </si>
  <si>
    <t>17.08.2026 04:12:28</t>
  </si>
  <si>
    <t>17.08.2026 04:19:45</t>
  </si>
  <si>
    <t>17.08.2026 04:25:50</t>
  </si>
  <si>
    <t>17.08.2026 04:33:05</t>
  </si>
  <si>
    <t>17.08.2026 04:39:14</t>
  </si>
  <si>
    <t>17.08.2026 04:46:27</t>
  </si>
  <si>
    <t>17.08.2026 04:52:32</t>
  </si>
  <si>
    <t>17.08.2026 04:59:48</t>
  </si>
  <si>
    <t>17.08.2026 05:05:58</t>
  </si>
  <si>
    <t>17.08.2026 05:13:10</t>
  </si>
  <si>
    <t>17.08.2026 05:19:18</t>
  </si>
  <si>
    <t>17.08.2026 05:26:31</t>
  </si>
  <si>
    <t>17.08.2026 05:32:36</t>
  </si>
  <si>
    <t>17.08.2026 05:39:51</t>
  </si>
  <si>
    <t>17.08.2026 05:46:00</t>
  </si>
  <si>
    <t>17.08.2026 05:53:13</t>
  </si>
  <si>
    <t>17.08.2026 05:59:19</t>
  </si>
  <si>
    <t>17.08.2026 06:06:34</t>
  </si>
  <si>
    <t>17.08.2026 06:12:43</t>
  </si>
  <si>
    <t>17.08.2026 06:19:56</t>
  </si>
  <si>
    <t>17.08.2026 06:26:05</t>
  </si>
  <si>
    <t>17.08.2026 06:33:18</t>
  </si>
  <si>
    <t>17.08.2026 06:39:23</t>
  </si>
  <si>
    <t>17.08.2026 06:46:39</t>
  </si>
  <si>
    <t>17.08.2026 06:52:48</t>
  </si>
  <si>
    <t>17.08.2026 07:00:00</t>
  </si>
  <si>
    <t>17.08.2026 07:06:05</t>
  </si>
  <si>
    <t>17.08.2026 07:13:21</t>
  </si>
  <si>
    <t>17.08.2026 07:19:26</t>
  </si>
  <si>
    <t>17.08.2026 07:26:42</t>
  </si>
  <si>
    <t>17.08.2026 07:32:48</t>
  </si>
  <si>
    <t>17.08.2026 07:40:03</t>
  </si>
  <si>
    <t>17.08.2026 07:46:07</t>
  </si>
  <si>
    <t>17.08.2026 07:53:24</t>
  </si>
  <si>
    <t>17.08.2026 07:59:31</t>
  </si>
  <si>
    <t>17.08.2026 08:06:44</t>
  </si>
  <si>
    <t>17.08.2026 08:12:49</t>
  </si>
  <si>
    <t>17.08.2026 08:20:06</t>
  </si>
  <si>
    <t>17.08.2026 08:26:14</t>
  </si>
  <si>
    <t>17.08.2026 08:33:27</t>
  </si>
  <si>
    <t>17.08.2026 08:39:37</t>
  </si>
  <si>
    <t>17.08.2026 08:46:50</t>
  </si>
  <si>
    <t>17.08.2026 08:52:54</t>
  </si>
  <si>
    <t>17.08.2026 09:00:11</t>
  </si>
  <si>
    <t>17.08.2026 09:06:20</t>
  </si>
  <si>
    <t>17.08.2026 09:13:33</t>
  </si>
  <si>
    <t>17.08.2026 09:19:41</t>
  </si>
  <si>
    <t>17.08.2026 09:26:55</t>
  </si>
  <si>
    <t>17.08.2026 09:32:59</t>
  </si>
  <si>
    <t>17.08.2026 09:40:15</t>
  </si>
  <si>
    <t>17.08.2026 09:46:24</t>
  </si>
  <si>
    <t>17.08.2026 09:53:37</t>
  </si>
  <si>
    <t>17.08.2026 09:59:41</t>
  </si>
  <si>
    <t>17.08.2026 10:06:58</t>
  </si>
  <si>
    <t>17.08.2026 10:13:02</t>
  </si>
  <si>
    <t>17.08.2026 10:20:18</t>
  </si>
  <si>
    <t>17.08.2026 10:26:26</t>
  </si>
  <si>
    <t>17.08.2026 10:33:38</t>
  </si>
  <si>
    <t>17.08.2026 10:39:47</t>
  </si>
  <si>
    <t>17.08.2026 10:47:00</t>
  </si>
  <si>
    <t>17.08.2026 10:53:09</t>
  </si>
  <si>
    <t>17.08.2026 11:00:21</t>
  </si>
  <si>
    <t>17.08.2026 11:06:27</t>
  </si>
  <si>
    <t>17.08.2026 11:13:43</t>
  </si>
  <si>
    <t>17.08.2026 11:19:52</t>
  </si>
  <si>
    <t>GC Data</t>
  </si>
  <si>
    <t>GC Time Stamp</t>
  </si>
  <si>
    <t>C8N</t>
  </si>
  <si>
    <t>C8A</t>
  </si>
  <si>
    <t>C9P</t>
  </si>
  <si>
    <t>C9N</t>
  </si>
  <si>
    <t>C9A</t>
  </si>
  <si>
    <t>C10P</t>
  </si>
  <si>
    <t>C10N</t>
  </si>
  <si>
    <t>C10A</t>
  </si>
  <si>
    <t>C8 Plus</t>
  </si>
  <si>
    <t>Carbon</t>
  </si>
  <si>
    <t>Linear RON</t>
  </si>
  <si>
    <t>Calculated RON</t>
  </si>
  <si>
    <t>Molecular Weight</t>
  </si>
  <si>
    <t>Specific Gravity</t>
  </si>
  <si>
    <t>Mol. Weight</t>
  </si>
  <si>
    <t>Carbon, wt%</t>
  </si>
  <si>
    <t>Hydrogen, wt%</t>
  </si>
  <si>
    <t>RON</t>
  </si>
  <si>
    <t>14.08.2026 21:36:45</t>
  </si>
  <si>
    <t>14.08.2026 23:19:20</t>
  </si>
  <si>
    <t>R16_C1_S2_001_2026-08-14 21-0</t>
  </si>
  <si>
    <t>14.08.2026 23:40:46</t>
  </si>
  <si>
    <t>15.08.2026 01:23:22</t>
  </si>
  <si>
    <t>R16_C1_S2_002_2026-08-14 23-1</t>
  </si>
  <si>
    <t>15.08.2026 03:29:35</t>
  </si>
  <si>
    <t>15.08.2026 05:12:13</t>
  </si>
  <si>
    <t>R16_C1_S2_003_2026-08-15 01-2</t>
  </si>
  <si>
    <t>15.08.2026 05:33:37</t>
  </si>
  <si>
    <t>15.08.2026 07:16:13</t>
  </si>
  <si>
    <t>R16_C1_S2_004_2026-08-15 05-1</t>
  </si>
  <si>
    <t>15.08.2026 07:37:38</t>
  </si>
  <si>
    <t>15.08.2026 09:20:14</t>
  </si>
  <si>
    <t>R16_C1_S2_005_2026-08-15 07-1</t>
  </si>
  <si>
    <t>15.08.2026 09:41:40</t>
  </si>
  <si>
    <t>15.08.2026 11:24:15</t>
  </si>
  <si>
    <t>R16_C1_S2_006_2026-08-15 09-2</t>
  </si>
  <si>
    <t>15.08.2026 11:45:41</t>
  </si>
  <si>
    <t>15.08.2026 13:28:24</t>
  </si>
  <si>
    <t>R16_C1_S2_007_2026-08-15 11-2</t>
  </si>
  <si>
    <t>17.08.2026 14:07:39</t>
  </si>
  <si>
    <t>17.08.2026 15:50:15</t>
  </si>
  <si>
    <t>R16_C3_S1_001_2026-08-17 12-1</t>
  </si>
  <si>
    <t>17.08.2026 16:11:40</t>
  </si>
  <si>
    <t>17.08.2026 17:54:15</t>
  </si>
  <si>
    <t>R16_C3_S1_002_2026-08-17 15-5</t>
  </si>
  <si>
    <t>17.08.2026 18:15:42</t>
  </si>
  <si>
    <t>17.08.2026 19:58:17</t>
  </si>
  <si>
    <t>R16_C3_S1_003_2026-08-17 17-5</t>
  </si>
  <si>
    <t>17.08.2026 20:19:43</t>
  </si>
  <si>
    <t>17.08.2026 22:02:18</t>
  </si>
  <si>
    <t>R16_C3_S1_004_2026-08-17 19-5</t>
  </si>
  <si>
    <t>17.08.2026 22:23:44</t>
  </si>
  <si>
    <t>18.08.2026 00:06:24</t>
  </si>
  <si>
    <t>R16_C3_S1_005_2026-08-17 22-0</t>
  </si>
  <si>
    <t>18.08.2026 00:27:46</t>
  </si>
  <si>
    <t>18.08.2026 02:10:26</t>
  </si>
  <si>
    <t>R16_C3_S1_006_2026-08-18 00-0</t>
  </si>
  <si>
    <t>18.08.2026 02:31:48</t>
  </si>
  <si>
    <t>18.08.2026 04:14:27</t>
  </si>
  <si>
    <t>R16_C3_S1_007_2026-08-18 02-1</t>
  </si>
  <si>
    <t>18.08.2026 04:35:49</t>
  </si>
  <si>
    <t>18.08.2026 06:18:25</t>
  </si>
  <si>
    <t>R16_C3_S1_008_2026-08-18 04-1</t>
  </si>
  <si>
    <t>18.08.2026 06:39:50</t>
  </si>
  <si>
    <t>18.08.2026 08:01:47</t>
  </si>
  <si>
    <t>R16_C3_S1_009_2026-08-18 06-1</t>
  </si>
  <si>
    <t>18.08.2026 11:25:07</t>
  </si>
  <si>
    <t>18.08.2026 13:07:41</t>
  </si>
  <si>
    <t>R16_C3_S1_001_2026-08-18 11-1</t>
  </si>
  <si>
    <t>18.08.2026 13:29:08</t>
  </si>
  <si>
    <t>18.08.2026 15:11:42</t>
  </si>
  <si>
    <t>R16_C3_S1_002_2026-08-18 13-0</t>
  </si>
  <si>
    <t>18.08.2026 15:33:10</t>
  </si>
  <si>
    <t>18.08.2026 17:15:43</t>
  </si>
  <si>
    <t>R16_C3_S1_003_2026-08-18 15-1</t>
  </si>
  <si>
    <t>18.08.2026 17:37:11</t>
  </si>
  <si>
    <t>18.08.2026 19:19:50</t>
  </si>
  <si>
    <t>R16_C3_S1_004_2026-08-18 17-1</t>
  </si>
  <si>
    <t>18.08.2026 19:41:12</t>
  </si>
  <si>
    <t>18.08.2026 21:23:48</t>
  </si>
  <si>
    <t>R16_C3_S1_005_2026-08-18 19-1</t>
  </si>
  <si>
    <t>18.08.2026 21:45:13</t>
  </si>
  <si>
    <t>18.08.2026 23:27:48</t>
  </si>
  <si>
    <t>R16_C3_S1_006_2026-08-18 21-2</t>
  </si>
  <si>
    <t>18.08.2026 23:49:15</t>
  </si>
  <si>
    <t>19.08.2026 01:31:53</t>
  </si>
  <si>
    <t>R16_C3_S1_007_2026-08-18 23-2</t>
  </si>
  <si>
    <t>19.08.2026 01:53:16</t>
  </si>
  <si>
    <t>19.08.2026 03:35:52</t>
  </si>
  <si>
    <t>R16_C3_S1_008_2026-08-19 01-3</t>
  </si>
  <si>
    <t>19.08.2026 03:57:17</t>
  </si>
  <si>
    <t>19.08.2026 05:39:58</t>
  </si>
  <si>
    <t>R16_C3_S1_009_2026-08-19 03-3</t>
  </si>
  <si>
    <t>19.08.2026 06:01:20</t>
  </si>
  <si>
    <t>19.08.2026 07:43:55</t>
  </si>
  <si>
    <t>R16_C3_S1_010_2026-08-19 05-3</t>
  </si>
  <si>
    <t>19.08.2026 08:05:20</t>
  </si>
  <si>
    <t>19.08.2026 09:47:55</t>
  </si>
  <si>
    <t>R16_C3_S1_011_2026-08-19 07-4</t>
  </si>
  <si>
    <t>19.08.2026 10:09:22</t>
  </si>
  <si>
    <t>19.08.2026 11:52:01</t>
  </si>
  <si>
    <t>R16_C3_S1_012_2026-08-19 09-4</t>
  </si>
  <si>
    <t>19.08.2026 12:13:23</t>
  </si>
  <si>
    <t>19.08.2026 13:56:03</t>
  </si>
  <si>
    <t>R16_C3_S1_013_2026-08-19 11-5</t>
  </si>
  <si>
    <t>19.08.2026 14:17:25</t>
  </si>
  <si>
    <t>19.08.2026 16:00:04</t>
  </si>
  <si>
    <t>R16_C3_S1_014_2026-08-19 13-5</t>
  </si>
  <si>
    <t>19.08.2026 16:21:27</t>
  </si>
  <si>
    <t>19.08.2026 18:04:06</t>
  </si>
  <si>
    <t>R16_C3_S1_015_2026-08-19 16-0</t>
  </si>
  <si>
    <t>19.08.2026 18:25:27</t>
  </si>
  <si>
    <t>19.08.2026 20:08:03</t>
  </si>
  <si>
    <t>R16_C3_S1_016_2026-08-19 18-0</t>
  </si>
  <si>
    <t>19.08.2026 20:29:28</t>
  </si>
  <si>
    <t>19.08.2026 22:12:05</t>
  </si>
  <si>
    <t>R16_C3_S1_017_2026-08-19 20-0</t>
  </si>
  <si>
    <t>19.08.2026 22:33:31</t>
  </si>
  <si>
    <t>20.08.2026 00:16:07</t>
  </si>
  <si>
    <t>R16_C3_S1_018_2026-08-19 22-1</t>
  </si>
  <si>
    <t>20.08.2026 00:37:32</t>
  </si>
  <si>
    <t>20.08.2026 02:20:12</t>
  </si>
  <si>
    <t>R16_C3_S1_019_2026-08-20 00-1</t>
  </si>
  <si>
    <t>20.08.2026 02:41:33</t>
  </si>
  <si>
    <t>20.08.2026 04:24:12</t>
  </si>
  <si>
    <t>R16_C3_S1_020_2026-08-20 02-2</t>
  </si>
  <si>
    <t>20.08.2026 04:45:34</t>
  </si>
  <si>
    <t>20.08.2026 06:28:09</t>
  </si>
  <si>
    <t>R16_C3_S1_021_2026-08-20 04-2</t>
  </si>
  <si>
    <t>20.08.2026 06:49:35</t>
  </si>
  <si>
    <t>20.08.2026 08:32:16</t>
  </si>
  <si>
    <t>R16_C3_S1_022_2026-08-20 06-2</t>
  </si>
  <si>
    <t>20.08.2026 08:53:37</t>
  </si>
  <si>
    <t>20.08.2026 10:36:13</t>
  </si>
  <si>
    <t>R16_C3_S1_023_2026-08-20 08-3</t>
  </si>
  <si>
    <t>20.08.2026 10:57:38</t>
  </si>
  <si>
    <t>20.08.2026 12:40:19</t>
  </si>
  <si>
    <t>R16_C3_S1_024_2026-08-20 10-3</t>
  </si>
  <si>
    <t>20.08.2026 13:01:39</t>
  </si>
  <si>
    <t>20.08.2026 14:44:18</t>
  </si>
  <si>
    <t>R16_C3_S1_025_2026-08-20 12-4</t>
  </si>
  <si>
    <t>20.08.2026 15:05:41</t>
  </si>
  <si>
    <t>20.08.2026 16:48:16</t>
  </si>
  <si>
    <t>R16_C3_S1_026_2026-08-20 14-4</t>
  </si>
  <si>
    <t>20.08.2026 17:09:42</t>
  </si>
  <si>
    <t>20.08.2026 18:52:19</t>
  </si>
  <si>
    <t>R16_C3_S1_027_2026-08-20 16-4</t>
  </si>
  <si>
    <t>20.08.2026 19:13:45</t>
  </si>
  <si>
    <t>20.08.2026 20:56:24</t>
  </si>
  <si>
    <t>R16_C3_S1_028_2026-08-20 18-5</t>
  </si>
  <si>
    <t>20.08.2026 21:17:46</t>
  </si>
  <si>
    <t>20.08.2026 23:00:24</t>
  </si>
  <si>
    <t>R16_C3_S1_029_2026-08-20 20-5</t>
  </si>
  <si>
    <t>20.08.2026 23:21:46</t>
  </si>
  <si>
    <t>21.08.2026 01:04:27</t>
  </si>
  <si>
    <t>R16_C3_S1_030_2026-08-20 23-0</t>
  </si>
  <si>
    <t>21.08.2026 01:25:49</t>
  </si>
  <si>
    <t>21.08.2026 03:08:28</t>
  </si>
  <si>
    <t>R16_C3_S1_031_2026-08-21 01-0</t>
  </si>
  <si>
    <t>21.08.2026 03:29:51</t>
  </si>
  <si>
    <t>21.08.2026 05:12:30</t>
  </si>
  <si>
    <t>R16_C3_S1_032_2026-08-21 03-0</t>
  </si>
  <si>
    <t>21.08.2026 05:33:51</t>
  </si>
  <si>
    <t>21.08.2026 07:16:28</t>
  </si>
  <si>
    <t>R16_C3_S1_033_2026-08-21 05-1</t>
  </si>
  <si>
    <t>21.08.2026 07:37:53</t>
  </si>
  <si>
    <t>21.08.2026 09:20:28</t>
  </si>
  <si>
    <t>R16_C3_S1_034_2026-08-21 07-1</t>
  </si>
  <si>
    <t>21.08.2026 09:41:54</t>
  </si>
  <si>
    <t>21.08.2026 11:24:35</t>
  </si>
  <si>
    <t>R16_C3_S1_035_2026-08-21 09-2</t>
  </si>
  <si>
    <t>21.08.2026 11:45:56</t>
  </si>
  <si>
    <t>21.08.2026 13:28:33</t>
  </si>
  <si>
    <t>R16_C3_S1_036_2026-08-21 11-2</t>
  </si>
  <si>
    <t>21.08.2026 13:49:58</t>
  </si>
  <si>
    <t>21.08.2026 15:32:33</t>
  </si>
  <si>
    <t>R16_C3_S1_037_2026-08-21 13-2</t>
  </si>
  <si>
    <t>21.08.2026 15:53:59</t>
  </si>
  <si>
    <t>21.08.2026 17:36:33</t>
  </si>
  <si>
    <t>R16_C3_S1_038_2026-08-21 15-3</t>
  </si>
  <si>
    <t>21.08.2026 17:58:00</t>
  </si>
  <si>
    <t>21.08.2026 19:40:35</t>
  </si>
  <si>
    <t>R16_C3_S1_039_2026-08-21 17-3</t>
  </si>
  <si>
    <t>21.08.2026 20:02:01</t>
  </si>
  <si>
    <t>21.08.2026 21:44:42</t>
  </si>
  <si>
    <t>R16_C3_S1_040_2026-08-21 19-4</t>
  </si>
  <si>
    <t>21.08.2026 22:06:04</t>
  </si>
  <si>
    <t>21.08.2026 23:48:43</t>
  </si>
  <si>
    <t>R16_C3_S1_041_2026-08-21 21-4</t>
  </si>
  <si>
    <t>22.08.2026 00:10:05</t>
  </si>
  <si>
    <t>22.08.2026 01:52:43</t>
  </si>
  <si>
    <t>R16_C3_S1_042_2026-08-21 23-4</t>
  </si>
  <si>
    <t>22.08.2026 02:14:05</t>
  </si>
  <si>
    <t>22.08.2026 03:56:45</t>
  </si>
  <si>
    <t>R16_C3_S1_043_2026-08-22 01-5</t>
  </si>
  <si>
    <t>22.08.2026 04:18:07</t>
  </si>
  <si>
    <t>22.08.2026 06:00:43</t>
  </si>
  <si>
    <t>R16_C3_S1_044_2026-08-22 03-5</t>
  </si>
  <si>
    <t>22.08.2026 06:22:09</t>
  </si>
  <si>
    <t>22.08.2026 08:04:44</t>
  </si>
  <si>
    <t>R16_C3_S1_045_2026-08-22 06-0</t>
  </si>
  <si>
    <t>22.08.2026 08:26:11</t>
  </si>
  <si>
    <t>22.08.2026 10:08:45</t>
  </si>
  <si>
    <t>R16_C3_S1_046_2026-08-22 08-0</t>
  </si>
  <si>
    <t>22.08.2026 10:30:11</t>
  </si>
  <si>
    <t>22.08.2026 12:12:46</t>
  </si>
  <si>
    <t>R16_C3_S1_047_2026-08-22 10-0</t>
  </si>
  <si>
    <t>22.08.2026 12:34:12</t>
  </si>
  <si>
    <t>22.08.2026 14:16:48</t>
  </si>
  <si>
    <t>R16_C3_S1_048_2026-08-22 12-1</t>
  </si>
  <si>
    <t>22.08.2026 14:38:15</t>
  </si>
  <si>
    <t>22.08.2026 16:20:53</t>
  </si>
  <si>
    <t>R16_C3_S1_049_2026-08-22 14-1</t>
  </si>
  <si>
    <t>22.08.2026 16:42:15</t>
  </si>
  <si>
    <t>22.08.2026 18:24:55</t>
  </si>
  <si>
    <t>R16_C3_S1_050_2026-08-22 16-2</t>
  </si>
  <si>
    <t>22.08.2026 18:46:18</t>
  </si>
  <si>
    <t>22.08.2026 20:28:55</t>
  </si>
  <si>
    <t>R16_C3_S1_051_2026-08-22 18-2</t>
  </si>
  <si>
    <t>22.08.2026 20:50:20</t>
  </si>
  <si>
    <t>22.08.2026 22:32:58</t>
  </si>
  <si>
    <t>R16_C3_S1_052_2026-08-22 20-2</t>
  </si>
  <si>
    <t>22.08.2026 22:54:20</t>
  </si>
  <si>
    <t>23.08.2026 00:37:00</t>
  </si>
  <si>
    <t>R16_C3_S1_053_2026-08-22 22-3</t>
  </si>
  <si>
    <t>23.08.2026 00:58:21</t>
  </si>
  <si>
    <t>23.08.2026 02:40:57</t>
  </si>
  <si>
    <t>R16_C3_S1_054_2026-08-23 00-3</t>
  </si>
  <si>
    <t>23.08.2026 03:02:22</t>
  </si>
  <si>
    <t>23.08.2026 04:44:57</t>
  </si>
  <si>
    <t>R16_C3_S1_055_2026-08-23 02-4</t>
  </si>
  <si>
    <t>23.08.2026 05:06:24</t>
  </si>
  <si>
    <t>23.08.2026 06:49:03</t>
  </si>
  <si>
    <t>R16_C3_S1_056_2026-08-23 04-4</t>
  </si>
  <si>
    <t>23.08.2026 07:10:26</t>
  </si>
  <si>
    <t>23.08.2026 08:53:06</t>
  </si>
  <si>
    <t>R16_C3_S1_057_2026-08-23 06-4</t>
  </si>
  <si>
    <t>23.08.2026 09:14:27</t>
  </si>
  <si>
    <t>23.08.2026 10:57:07</t>
  </si>
  <si>
    <t>R16_C3_S1_058_2026-08-23 08-5</t>
  </si>
  <si>
    <t>23.08.2026 11:18:29</t>
  </si>
  <si>
    <t>23.08.2026 13:01:09</t>
  </si>
  <si>
    <t>R16_C3_S1_059_2026-08-23 10-5</t>
  </si>
  <si>
    <t>23.08.2026 13:22:31</t>
  </si>
  <si>
    <t>95.9877E-6</t>
  </si>
  <si>
    <t>23.08.2026 15:05:09</t>
  </si>
  <si>
    <t>R16_C3_S1_060_2026-08-23 13-0</t>
  </si>
  <si>
    <t>23.08.2026 15:26:31</t>
  </si>
  <si>
    <t>23.08.2026 17:09:11</t>
  </si>
  <si>
    <t>R16_C3_S1_061_2026-08-23 15-0</t>
  </si>
  <si>
    <t>23.08.2026 17:30:33</t>
  </si>
  <si>
    <t>23.08.2026 19:13:12</t>
  </si>
  <si>
    <t>R16_C3_S1_062_2026-08-23 17-0</t>
  </si>
  <si>
    <t>23.08.2026 19:34:33</t>
  </si>
  <si>
    <t>23.08.2026 21:17:14</t>
  </si>
  <si>
    <t>R16_C3_S1_063_2026-08-23 19-1</t>
  </si>
  <si>
    <t>23.08.2026 21:38:36</t>
  </si>
  <si>
    <t>23.08.2026 23:21:15</t>
  </si>
  <si>
    <t>R16_C3_S1_064_2026-08-23 21-1</t>
  </si>
  <si>
    <t>23.08.2026 23:42:37</t>
  </si>
  <si>
    <t>24.08.2026 01:25:16</t>
  </si>
  <si>
    <t>R16_C3_S1_065_2026-08-23 23-2</t>
  </si>
  <si>
    <t>24.08.2026 01:46:38</t>
  </si>
  <si>
    <t>24.08.2026 03:29:18</t>
  </si>
  <si>
    <t>R16_C3_S1_066_2026-08-24 01-2</t>
  </si>
  <si>
    <t>24.08.2026 03:50:39</t>
  </si>
  <si>
    <t>24.08.2026 05:33:20</t>
  </si>
  <si>
    <t>R16_C3_S1_067_2026-08-24 03-2</t>
  </si>
  <si>
    <t>24.08.2026 05:54:41</t>
  </si>
  <si>
    <t>24.08.2026 07:37:20</t>
  </si>
  <si>
    <t>R16_C3_S1_068_2026-08-24 05-3</t>
  </si>
  <si>
    <t>24.08.2026 15:00:26</t>
  </si>
  <si>
    <t>24.08.2026 16:43:02</t>
  </si>
  <si>
    <t>R16_C3_S2_001_2026-08-24 14-3</t>
  </si>
  <si>
    <t>24.08.2026 17:57:02</t>
  </si>
  <si>
    <t>24.08.2026 19:39:41</t>
  </si>
  <si>
    <t>R16_C3_S2_002_2026-08-24 16-4</t>
  </si>
  <si>
    <t>24.08.2026 20:01:04</t>
  </si>
  <si>
    <t>24.08.2026 21:43:44</t>
  </si>
  <si>
    <t>R16_C3_S2_003_2026-08-24 19-3</t>
  </si>
  <si>
    <t>Unstable sample. Hence not considered</t>
  </si>
  <si>
    <t>24.08.2026 22:05:04</t>
  </si>
  <si>
    <t>24.08.2026 23:47:45</t>
  </si>
  <si>
    <t>R16_C3_S2_004_2026-08-24 21-4</t>
  </si>
  <si>
    <t>25.08.2026 00:09:07</t>
  </si>
  <si>
    <t>25.08.2026 01:51:46</t>
  </si>
  <si>
    <t>R16_C3_S2_005_2026-08-24 23-4</t>
  </si>
  <si>
    <t>25.08.2026 02:13:08</t>
  </si>
  <si>
    <t>25.08.2026 03:55:43</t>
  </si>
  <si>
    <t>R16_C3_S2_006_2026-08-25 01-5</t>
  </si>
  <si>
    <t>25.08.2026 04:17:09</t>
  </si>
  <si>
    <t>25.08.2026 05:59:48</t>
  </si>
  <si>
    <t>R16_C3_S2_007_2026-08-25 03-5</t>
  </si>
  <si>
    <t>25.08.2026 06:21:11</t>
  </si>
  <si>
    <t>25.08.2026 08:03:46</t>
  </si>
  <si>
    <t>R16_C3_S2_008_2026-08-25 05-5</t>
  </si>
  <si>
    <t>25.08.2026 08:25:12</t>
  </si>
  <si>
    <t>25.08.2026 10:07:47</t>
  </si>
  <si>
    <t>R16_C3_S2_009_2026-08-25 08-0</t>
  </si>
  <si>
    <t>25.08.2026 10:29:14</t>
  </si>
  <si>
    <t>25.08.2026 12:11:53</t>
  </si>
  <si>
    <t>R16_C3_S2_010_2026-08-25 10-0</t>
  </si>
  <si>
    <t>R16_C3_S2_011_2026-08-25 12-1</t>
  </si>
  <si>
    <t>Light Naphtha (&lt;120 oC)</t>
  </si>
  <si>
    <t>Carbon_Online DHA</t>
  </si>
  <si>
    <t>Hydrogen_Online DHA</t>
  </si>
  <si>
    <t>Total_Online DHA</t>
  </si>
  <si>
    <t>RON_Online DHA</t>
  </si>
  <si>
    <t>Molecular Weight_Online DHA</t>
  </si>
  <si>
    <t>Feed Cut-In</t>
  </si>
  <si>
    <t>Density_Online DHA</t>
  </si>
  <si>
    <t>np cprrectopm</t>
  </si>
  <si>
    <t>cprr</t>
  </si>
  <si>
    <t>Catalyst Performance (Z-700A)</t>
  </si>
  <si>
    <t>Injection Time</t>
  </si>
  <si>
    <t>Run length</t>
  </si>
  <si>
    <t>hr</t>
  </si>
  <si>
    <t>Temperature</t>
  </si>
  <si>
    <t>oC</t>
  </si>
  <si>
    <t>mol. Basis</t>
  </si>
  <si>
    <t>N2 (Rx effluent)</t>
  </si>
  <si>
    <t>H2 (Rx effluent)</t>
  </si>
  <si>
    <t>% vol</t>
  </si>
  <si>
    <t>Naphtha (Rx effluent)</t>
  </si>
  <si>
    <t>Carbon_Naphtha (Rx effluent)</t>
  </si>
  <si>
    <t>Hydrogen_Naphtha (Rx effluent)</t>
  </si>
  <si>
    <t>Naphtha (Feed Rate)</t>
  </si>
  <si>
    <t>Naphtha/H2 (Rx effluent)</t>
  </si>
  <si>
    <t>mass basis</t>
  </si>
  <si>
    <t>Estimated RON</t>
  </si>
  <si>
    <t>Specific Gravity (Online DHA)</t>
  </si>
  <si>
    <t>Gas (C1-C4)</t>
  </si>
  <si>
    <t>C5+</t>
  </si>
  <si>
    <t>n-C6 conversion</t>
  </si>
  <si>
    <t>n-C7 conversion</t>
  </si>
  <si>
    <t>n-C8 conversion</t>
  </si>
  <si>
    <t>i-C6 selectivity</t>
  </si>
  <si>
    <t>2-Methylhexane selectivity</t>
  </si>
  <si>
    <t>3-Methylhexane selectivity</t>
  </si>
  <si>
    <t>Unidentified(C6-C7)</t>
  </si>
  <si>
    <t>i-C7 selectivity</t>
  </si>
  <si>
    <t>Unidentified(C7-C8)</t>
  </si>
  <si>
    <t>i-C8 selectivity</t>
  </si>
  <si>
    <t>Octatonne</t>
  </si>
  <si>
    <t>%</t>
  </si>
  <si>
    <t>iC5/(iC5+nC5)</t>
  </si>
  <si>
    <t>iC6/(nC6+iC6)</t>
  </si>
  <si>
    <t>iC7/(nC7+iC7)</t>
  </si>
  <si>
    <t>iC7/(nC7+iC7)xC7+</t>
  </si>
  <si>
    <t>C7+</t>
  </si>
  <si>
    <t>Catalyst Performance (ATHOS-1)</t>
  </si>
  <si>
    <t>No Liquid Feed</t>
  </si>
  <si>
    <t>Catalyst Performance (ATHOS-3)</t>
  </si>
  <si>
    <t>INERT REACTOR (SiC)</t>
  </si>
  <si>
    <t>C5+, RON (Estimated)</t>
  </si>
  <si>
    <t>% Isomers (C5+)</t>
  </si>
  <si>
    <t>Rx Temperature, oC</t>
  </si>
  <si>
    <t>Gas (C1-C4), wof%</t>
  </si>
  <si>
    <t>Isomerate (C5+), wof%</t>
  </si>
  <si>
    <t>H2 Consumption, wof%</t>
  </si>
  <si>
    <t>H2 consumption (Method 1)</t>
  </si>
  <si>
    <t>H2 consumption (Method 2)</t>
  </si>
  <si>
    <t>Rx effluent composition (Experimental)</t>
  </si>
  <si>
    <t>PRO II Output (Isomerate, Stabilizer)</t>
  </si>
  <si>
    <t>PROPANE</t>
  </si>
  <si>
    <t>IBUTANE</t>
  </si>
  <si>
    <t>BUTANE</t>
  </si>
  <si>
    <t>IPENTANE</t>
  </si>
  <si>
    <t>PENTANE</t>
  </si>
  <si>
    <t>22MB</t>
  </si>
  <si>
    <t>23MB</t>
  </si>
  <si>
    <t>2MP</t>
  </si>
  <si>
    <t>3MP</t>
  </si>
  <si>
    <t>HEXANE</t>
  </si>
  <si>
    <t>MCP</t>
  </si>
  <si>
    <t>2MHX</t>
  </si>
  <si>
    <t>3MHX</t>
  </si>
  <si>
    <t>HEPTANE</t>
  </si>
  <si>
    <t>OCTANE</t>
  </si>
  <si>
    <t>ETHANE</t>
  </si>
  <si>
    <t>SHIM Results (Prasad, TA2)</t>
  </si>
  <si>
    <t xml:space="preserve">WABT, </t>
  </si>
  <si>
    <t>Isomerate Yield (C5+)</t>
  </si>
  <si>
    <t>Isobutane for alkylate. Increase the feed cut-point thereby reduce load to Reforming -- as future recommendation</t>
  </si>
  <si>
    <t>iC7 cracking to Iso-Butane and Propane</t>
  </si>
  <si>
    <t>Isomerization potential of nC5 is low probably due to presence of iso-pentane and also generation of isopentane via cracking pathway</t>
  </si>
  <si>
    <t>Minimum isomerization potential of nC6</t>
  </si>
  <si>
    <t>C8 is cracking into Isopentane and propane</t>
  </si>
  <si>
    <t>C8 is cracking into Isobutane X2</t>
  </si>
  <si>
    <t>Feed</t>
  </si>
  <si>
    <t>ATHOS-1 (@ 220 oC)</t>
  </si>
  <si>
    <t>ATHOS-3 (@ 190 oC)</t>
  </si>
  <si>
    <t>ATHOS-3 (@ 205 oC)</t>
  </si>
  <si>
    <t>COMPONENT</t>
  </si>
  <si>
    <t>%WGT</t>
  </si>
  <si>
    <t>i-Butane</t>
  </si>
  <si>
    <t>i-Pentane</t>
  </si>
  <si>
    <t>2,2-Dimethylbutane</t>
  </si>
  <si>
    <t>2,3-Dimethylbutane</t>
  </si>
  <si>
    <t>2-Methylpentane</t>
  </si>
  <si>
    <t>3-Methylpentane</t>
  </si>
  <si>
    <t>2,2-Dimethylpentane</t>
  </si>
  <si>
    <t>2,4-Dimethylpentane</t>
  </si>
  <si>
    <t>2,2,3-Trimethylbutane</t>
  </si>
  <si>
    <t>3,3-Dimethylpentane</t>
  </si>
  <si>
    <t>2-Methylhexane</t>
  </si>
  <si>
    <t>2,3-Dimethylpentane</t>
  </si>
  <si>
    <t>3-Methylhexane</t>
  </si>
  <si>
    <t>3-Ethylpentane</t>
  </si>
  <si>
    <t>2,5-Dimethylhexane</t>
  </si>
  <si>
    <t>2,4-Dimethylhexane</t>
  </si>
  <si>
    <t>3,3-Dimethylhexane</t>
  </si>
  <si>
    <t>2,3-Dimethylhexane</t>
  </si>
  <si>
    <t>2-Methylheptane</t>
  </si>
  <si>
    <t>1t,2-Dimethylcyclopentane</t>
  </si>
  <si>
    <t>4-Methylheptane</t>
  </si>
  <si>
    <t>3-Methylheptane</t>
  </si>
  <si>
    <t>n-Octane</t>
  </si>
  <si>
    <t>Methylcyclopentane</t>
  </si>
  <si>
    <t>Ethylcyclopentane</t>
  </si>
  <si>
    <t>1,1-Dimethylcyclohexane</t>
  </si>
  <si>
    <t>Methylcyclohexane</t>
  </si>
  <si>
    <t>1,1,3-Trimethylcyclopentane</t>
  </si>
  <si>
    <t>Carbon Content Analysis, wt%</t>
  </si>
  <si>
    <t>Spent Catalyst Sample</t>
  </si>
  <si>
    <t>R5</t>
  </si>
  <si>
    <t>R6</t>
  </si>
  <si>
    <t>R7</t>
  </si>
  <si>
    <t>B0001074001</t>
  </si>
  <si>
    <t>B0001074002</t>
  </si>
  <si>
    <t>B0001074003</t>
  </si>
  <si>
    <t>Feed Throughput</t>
  </si>
  <si>
    <t>kta</t>
  </si>
  <si>
    <t>mt/h</t>
  </si>
  <si>
    <t>Feed Density @ 15 oC</t>
  </si>
  <si>
    <t>m3/h</t>
  </si>
  <si>
    <t>LHSV (Fresh feed basis)</t>
  </si>
  <si>
    <t>m3</t>
  </si>
  <si>
    <t>Catalyst Quantity (ATHOS-1)</t>
  </si>
  <si>
    <t>tons</t>
  </si>
  <si>
    <t>Catalyst Quantity (ATHOS-3)</t>
  </si>
  <si>
    <t>Platinum Cost</t>
  </si>
  <si>
    <t>$/kg</t>
  </si>
  <si>
    <t>% Pt on Catalyst</t>
  </si>
  <si>
    <t>Pt amount on 1 kg Catalyst</t>
  </si>
  <si>
    <t>Includes 2% manufacturing losses</t>
  </si>
  <si>
    <t>Pt cost present on 1 kg Catalyst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</si>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</sst>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0.0000"/>
    <numFmt numFmtId="165" formatCode="0.000"/>
    <numFmt numFmtId="166" formatCode="0.0"/>
    <numFmt numFmtId="167" formatCode="0.0000000000"/>
    <numFmt numFmtId="168" formatCode="0.000000000"/>
    <numFmt numFmtId="169" formatCode="0.00000E+00"/>
    <numFmt numFmtId="170" formatCode="[$-F800]dddd\,\ mmmm\ dd\,\ yyyy"/>
    <numFmt numFmtId="171" formatCode="[$-F400]h:mm:ss\ AM/PM"/>
    <numFmt numFmtId="172" formatCode="[$-14009]hh:mm:ss;@"/>
    <numFmt numFmtId="173" formatCode="#,##0.0"/>
  </numFmts>
  <fonts count="40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rgb="FFFF0000"/>
      <name val="Aptos"/>
      <family val="2"/>
    </font>
    <font>
      <vertAlign val="superscript"/>
      <sz val="11"/>
      <color theme="1"/>
      <name val="Aptos"/>
      <family val="2"/>
    </font>
    <font>
      <b/>
      <sz val="11"/>
      <color rgb="FF0070C0"/>
      <name val="Aptos"/>
      <family val="2"/>
    </font>
    <font>
      <sz val="11"/>
      <color rgb="FF7030A0"/>
      <name val="Aptos"/>
      <family val="2"/>
    </font>
    <font>
      <sz val="11"/>
      <color indexed="8"/>
      <name val="Aptos"/>
      <family val="2"/>
    </font>
    <font>
      <b/>
      <sz val="11"/>
      <color theme="1"/>
      <name val="Aptos"/>
      <family val="2"/>
    </font>
    <font>
      <sz val="10"/>
      <color theme="1"/>
      <name val="Aptos"/>
      <family val="2"/>
    </font>
    <font>
      <b/>
      <sz val="12"/>
      <color theme="1"/>
      <name val="Aptos"/>
      <family val="2"/>
    </font>
    <font>
      <sz val="11"/>
      <color theme="1"/>
      <name val="Segoe UI"/>
      <family val="2"/>
    </font>
    <font>
      <b/>
      <sz val="10"/>
      <color theme="1"/>
      <name val="Aptos"/>
      <family val="2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4"/>
      <color rgb="FF0070C0"/>
      <name val="Aptos Narrow"/>
      <family val="2"/>
    </font>
    <font>
      <b/>
      <sz val="11"/>
      <color theme="1"/>
      <name val="Aptos Narrow"/>
      <family val="2"/>
    </font>
    <font>
      <sz val="14"/>
      <color theme="1"/>
      <name val="Aptos Narrow"/>
      <family val="2"/>
    </font>
    <font>
      <sz val="14"/>
      <color rgb="FF0070C0"/>
      <name val="Aptos Narrow"/>
      <family val="2"/>
    </font>
    <font>
      <sz val="12"/>
      <color theme="1"/>
      <name val="Aptos Narrow"/>
      <family val="2"/>
    </font>
    <font>
      <vertAlign val="superscript"/>
      <sz val="12"/>
      <color theme="1"/>
      <name val="Aptos Narrow"/>
      <family val="2"/>
    </font>
    <font>
      <sz val="14"/>
      <color theme="5" tint="-0.249977111117893"/>
      <name val="Aptos Narrow"/>
      <family val="2"/>
    </font>
    <font>
      <sz val="11"/>
      <color rgb="FFFF0000"/>
      <name val="Aptos Narrow"/>
      <family val="2"/>
    </font>
    <font>
      <u/>
      <sz val="14"/>
      <color rgb="FF0070C0"/>
      <name val="Aptos Narrow"/>
      <family val="2"/>
    </font>
    <font>
      <b/>
      <sz val="14"/>
      <color theme="1"/>
      <name val="Aptos Narrow"/>
      <family val="2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b/>
      <u/>
      <sz val="12"/>
      <color theme="1"/>
      <name val="Aptos Narrow"/>
      <family val="2"/>
    </font>
    <font>
      <b/>
      <u/>
      <sz val="12"/>
      <color theme="5" tint="-0.249977111117893"/>
      <name val="Aptos Narrow"/>
      <family val="2"/>
    </font>
    <font>
      <sz val="9"/>
      <color indexed="81"/>
      <name val="Tahoma"/>
      <family val="2"/>
    </font>
    <font>
      <sz val="14"/>
      <color rgb="FFFF0000"/>
      <name val="Aptos Narrow"/>
      <family val="2"/>
    </font>
    <font>
      <b/>
      <u/>
      <sz val="12"/>
      <color rgb="FFFF0000"/>
      <name val="Aptos Narrow"/>
      <family val="2"/>
    </font>
    <font>
      <sz val="14"/>
      <color rgb="FF00B050"/>
      <name val="Aptos Narrow"/>
      <family val="2"/>
    </font>
    <font>
      <b/>
      <u/>
      <sz val="12"/>
      <color rgb="FF00B050"/>
      <name val="Aptos Narrow"/>
      <family val="2"/>
    </font>
    <font>
      <b/>
      <sz val="10"/>
      <color indexed="8"/>
      <name val="Aptos"/>
      <family val="2"/>
    </font>
    <font>
      <sz val="10"/>
      <color indexed="8"/>
      <name val="Aptos"/>
      <family val="2"/>
    </font>
    <font>
      <b/>
      <sz val="8.25"/>
      <color indexed="8"/>
      <name val="Tahoma"/>
      <family val="2"/>
    </font>
    <font>
      <sz val="8.25"/>
      <color indexed="8"/>
      <name val="Tahoma"/>
      <family val="2"/>
    </font>
    <font>
      <vertAlign val="superscript"/>
      <sz val="11"/>
      <color theme="1"/>
      <name val="Aptos Narrow"/>
      <family val="2"/>
    </font>
    <font>
      <sz val="8"/>
      <name val="Calibri"/>
      <family val="2"/>
      <scheme val="minor"/>
    </font>
    <font>
      <b/>
      <sz val="11"/>
      <color indexed="8"/>
      <name val="Aptos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26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/>
    <xf numFmtId="0" fontId="1" fillId="2" borderId="5" xfId="0" applyFont="1" applyFill="1" applyBorder="1"/>
    <xf numFmtId="2" fontId="1" fillId="2" borderId="3" xfId="0" applyNumberFormat="1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right"/>
    </xf>
    <xf numFmtId="165" fontId="1" fillId="2" borderId="3" xfId="0" applyNumberFormat="1" applyFont="1" applyFill="1" applyBorder="1" applyAlignment="1">
      <alignment horizontal="center"/>
    </xf>
    <xf numFmtId="0" fontId="1" fillId="2" borderId="3" xfId="0" quotePrefix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166" fontId="1" fillId="2" borderId="3" xfId="0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2" xfId="0" applyFill="1" applyBorder="1"/>
    <xf numFmtId="2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right"/>
    </xf>
    <xf numFmtId="2" fontId="1" fillId="2" borderId="0" xfId="0" applyNumberFormat="1" applyFont="1" applyFill="1" applyAlignment="1">
      <alignment horizontal="center"/>
    </xf>
    <xf numFmtId="9" fontId="0" fillId="2" borderId="0" xfId="0" applyNumberFormat="1" applyFill="1"/>
    <xf numFmtId="166" fontId="0" fillId="2" borderId="0" xfId="0" applyNumberForma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wrapText="1"/>
    </xf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right"/>
    </xf>
    <xf numFmtId="0" fontId="0" fillId="2" borderId="7" xfId="0" applyFill="1" applyBorder="1"/>
    <xf numFmtId="0" fontId="1" fillId="2" borderId="2" xfId="0" applyFont="1" applyFill="1" applyBorder="1" applyAlignment="1">
      <alignment horizontal="right"/>
    </xf>
    <xf numFmtId="0" fontId="1" fillId="8" borderId="5" xfId="0" applyFont="1" applyFill="1" applyBorder="1" applyAlignment="1">
      <alignment horizontal="center"/>
    </xf>
    <xf numFmtId="0" fontId="1" fillId="8" borderId="7" xfId="0" applyFont="1" applyFill="1" applyBorder="1"/>
    <xf numFmtId="0" fontId="1" fillId="2" borderId="6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1" fontId="1" fillId="2" borderId="5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1" fontId="1" fillId="2" borderId="0" xfId="0" applyNumberFormat="1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7" fontId="1" fillId="2" borderId="3" xfId="0" applyNumberFormat="1" applyFont="1" applyFill="1" applyBorder="1" applyAlignment="1">
      <alignment horizontal="center" vertical="center" wrapText="1"/>
    </xf>
    <xf numFmtId="166" fontId="1" fillId="0" borderId="3" xfId="0" applyNumberFormat="1" applyFont="1" applyBorder="1" applyAlignment="1">
      <alignment horizontal="center"/>
    </xf>
    <xf numFmtId="168" fontId="1" fillId="2" borderId="3" xfId="0" applyNumberFormat="1" applyFont="1" applyFill="1" applyBorder="1" applyAlignment="1">
      <alignment horizontal="center" vertical="center" wrapText="1"/>
    </xf>
    <xf numFmtId="168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168" fontId="1" fillId="2" borderId="10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7" fontId="1" fillId="7" borderId="0" xfId="0" applyNumberFormat="1" applyFont="1" applyFill="1" applyAlignment="1">
      <alignment horizontal="center" vertical="center" wrapText="1"/>
    </xf>
    <xf numFmtId="11" fontId="1" fillId="2" borderId="0" xfId="0" applyNumberFormat="1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68" fontId="1" fillId="2" borderId="12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11" xfId="0" applyNumberFormat="1" applyFont="1" applyFill="1" applyBorder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67" fontId="1" fillId="2" borderId="12" xfId="0" applyNumberFormat="1" applyFont="1" applyFill="1" applyBorder="1" applyAlignment="1">
      <alignment horizontal="center" vertical="center" wrapText="1"/>
    </xf>
    <xf numFmtId="167" fontId="1" fillId="2" borderId="10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/>
    </xf>
    <xf numFmtId="11" fontId="1" fillId="0" borderId="0" xfId="0" applyNumberFormat="1" applyFont="1"/>
    <xf numFmtId="0" fontId="0" fillId="4" borderId="0" xfId="0" applyFill="1"/>
    <xf numFmtId="11" fontId="0" fillId="0" borderId="0" xfId="0" applyNumberFormat="1"/>
    <xf numFmtId="169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horizontal="center"/>
    </xf>
    <xf numFmtId="11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" fillId="11" borderId="0" xfId="0" applyFont="1" applyFill="1" applyAlignment="1">
      <alignment horizontal="center"/>
    </xf>
    <xf numFmtId="0" fontId="6" fillId="2" borderId="0" xfId="0" applyFont="1" applyFill="1" applyAlignment="1">
      <alignment horizontal="right" vertical="top"/>
    </xf>
    <xf numFmtId="164" fontId="1" fillId="2" borderId="0" xfId="0" applyNumberFormat="1" applyFont="1" applyFill="1"/>
    <xf numFmtId="2" fontId="1" fillId="2" borderId="0" xfId="0" applyNumberFormat="1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166" fontId="7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right"/>
    </xf>
    <xf numFmtId="0" fontId="1" fillId="7" borderId="0" xfId="0" applyFont="1" applyFill="1" applyAlignment="1">
      <alignment horizontal="center"/>
    </xf>
    <xf numFmtId="0" fontId="1" fillId="7" borderId="0" xfId="0" applyFont="1" applyFill="1"/>
    <xf numFmtId="0" fontId="1" fillId="12" borderId="0" xfId="0" applyFont="1" applyFill="1"/>
    <xf numFmtId="0" fontId="1" fillId="12" borderId="0" xfId="0" applyFont="1" applyFill="1" applyAlignment="1">
      <alignment horizontal="center"/>
    </xf>
    <xf numFmtId="2" fontId="1" fillId="7" borderId="0" xfId="0" applyNumberFormat="1" applyFont="1" applyFill="1" applyAlignment="1">
      <alignment horizontal="center"/>
    </xf>
    <xf numFmtId="166" fontId="1" fillId="12" borderId="0" xfId="0" applyNumberFormat="1" applyFont="1" applyFill="1" applyAlignment="1">
      <alignment horizontal="center"/>
    </xf>
    <xf numFmtId="166" fontId="1" fillId="7" borderId="0" xfId="0" applyNumberFormat="1" applyFont="1" applyFill="1" applyAlignment="1">
      <alignment horizontal="center"/>
    </xf>
    <xf numFmtId="1" fontId="1" fillId="2" borderId="0" xfId="0" applyNumberFormat="1" applyFont="1" applyFill="1"/>
    <xf numFmtId="1" fontId="1" fillId="7" borderId="0" xfId="0" applyNumberFormat="1" applyFont="1" applyFill="1" applyAlignment="1">
      <alignment horizontal="center"/>
    </xf>
    <xf numFmtId="1" fontId="1" fillId="2" borderId="0" xfId="0" quotePrefix="1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center"/>
    </xf>
    <xf numFmtId="166" fontId="1" fillId="2" borderId="0" xfId="0" quotePrefix="1" applyNumberFormat="1" applyFont="1" applyFill="1" applyAlignment="1">
      <alignment horizontal="center"/>
    </xf>
    <xf numFmtId="166" fontId="1" fillId="2" borderId="0" xfId="0" applyNumberFormat="1" applyFont="1" applyFill="1"/>
    <xf numFmtId="1" fontId="7" fillId="2" borderId="0" xfId="0" applyNumberFormat="1" applyFont="1" applyFill="1" applyAlignment="1">
      <alignment horizontal="center"/>
    </xf>
    <xf numFmtId="0" fontId="7" fillId="7" borderId="0" xfId="0" applyFont="1" applyFill="1" applyAlignment="1">
      <alignment horizontal="center"/>
    </xf>
    <xf numFmtId="1" fontId="8" fillId="2" borderId="0" xfId="0" applyNumberFormat="1" applyFont="1" applyFill="1" applyAlignment="1">
      <alignment horizontal="center"/>
    </xf>
    <xf numFmtId="170" fontId="1" fillId="2" borderId="0" xfId="0" applyNumberFormat="1" applyFont="1" applyFill="1"/>
    <xf numFmtId="170" fontId="1" fillId="2" borderId="0" xfId="0" applyNumberFormat="1" applyFont="1" applyFill="1" applyAlignment="1">
      <alignment horizontal="center"/>
    </xf>
    <xf numFmtId="170" fontId="1" fillId="2" borderId="0" xfId="0" applyNumberFormat="1" applyFont="1" applyFill="1" applyAlignment="1">
      <alignment horizontal="right"/>
    </xf>
    <xf numFmtId="170" fontId="1" fillId="2" borderId="0" xfId="0" quotePrefix="1" applyNumberFormat="1" applyFont="1" applyFill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171" fontId="1" fillId="0" borderId="0" xfId="0" applyNumberFormat="1" applyFont="1" applyAlignment="1">
      <alignment horizontal="center" vertical="center"/>
    </xf>
    <xf numFmtId="172" fontId="1" fillId="2" borderId="0" xfId="0" applyNumberFormat="1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9" borderId="0" xfId="0" applyFont="1" applyFill="1"/>
    <xf numFmtId="2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2" fontId="1" fillId="0" borderId="0" xfId="0" applyNumberFormat="1" applyFont="1" applyAlignment="1">
      <alignment horizontal="center"/>
    </xf>
    <xf numFmtId="0" fontId="1" fillId="2" borderId="2" xfId="0" quotePrefix="1" applyFont="1" applyFill="1" applyBorder="1" applyAlignment="1">
      <alignment horizontal="center"/>
    </xf>
    <xf numFmtId="11" fontId="1" fillId="0" borderId="0" xfId="0" applyNumberFormat="1" applyFont="1" applyAlignment="1">
      <alignment horizontal="center"/>
    </xf>
    <xf numFmtId="21" fontId="1" fillId="0" borderId="0" xfId="0" applyNumberFormat="1" applyFont="1" applyAlignment="1">
      <alignment horizontal="center"/>
    </xf>
    <xf numFmtId="0" fontId="10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13" borderId="0" xfId="0" applyFont="1" applyFill="1"/>
    <xf numFmtId="0" fontId="8" fillId="13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14" fontId="8" fillId="0" borderId="0" xfId="0" applyNumberFormat="1" applyFont="1" applyAlignment="1">
      <alignment horizontal="center" vertical="center"/>
    </xf>
    <xf numFmtId="17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11" fillId="13" borderId="0" xfId="0" applyFont="1" applyFill="1" applyAlignment="1">
      <alignment horizontal="center"/>
    </xf>
    <xf numFmtId="1" fontId="8" fillId="0" borderId="0" xfId="0" applyNumberFormat="1" applyFont="1" applyAlignment="1">
      <alignment horizontal="center"/>
    </xf>
    <xf numFmtId="0" fontId="7" fillId="4" borderId="0" xfId="0" applyFont="1" applyFill="1" applyAlignment="1">
      <alignment horizontal="right"/>
    </xf>
    <xf numFmtId="0" fontId="7" fillId="14" borderId="0" xfId="0" applyFont="1" applyFill="1" applyAlignment="1">
      <alignment horizontal="right"/>
    </xf>
    <xf numFmtId="0" fontId="1" fillId="14" borderId="0" xfId="0" applyFont="1" applyFill="1" applyAlignment="1">
      <alignment horizontal="center"/>
    </xf>
    <xf numFmtId="165" fontId="1" fillId="14" borderId="0" xfId="0" applyNumberFormat="1" applyFont="1" applyFill="1" applyAlignment="1">
      <alignment horizontal="center"/>
    </xf>
    <xf numFmtId="0" fontId="1" fillId="14" borderId="0" xfId="0" applyFont="1" applyFill="1"/>
    <xf numFmtId="0" fontId="1" fillId="14" borderId="0" xfId="0" applyFont="1" applyFill="1" applyAlignment="1">
      <alignment horizontal="right"/>
    </xf>
    <xf numFmtId="2" fontId="1" fillId="14" borderId="0" xfId="0" applyNumberFormat="1" applyFont="1" applyFill="1" applyAlignment="1">
      <alignment horizontal="center"/>
    </xf>
    <xf numFmtId="166" fontId="1" fillId="14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right" vertical="center"/>
    </xf>
    <xf numFmtId="21" fontId="1" fillId="2" borderId="0" xfId="0" applyNumberFormat="1" applyFont="1" applyFill="1" applyAlignment="1">
      <alignment horizontal="center"/>
    </xf>
    <xf numFmtId="166" fontId="1" fillId="4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 vertical="center"/>
    </xf>
    <xf numFmtId="171" fontId="1" fillId="2" borderId="0" xfId="0" applyNumberFormat="1" applyFont="1" applyFill="1" applyAlignment="1">
      <alignment horizontal="center" vertical="center"/>
    </xf>
    <xf numFmtId="15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4" borderId="0" xfId="0" applyFont="1" applyFill="1"/>
    <xf numFmtId="14" fontId="1" fillId="4" borderId="0" xfId="0" applyNumberFormat="1" applyFont="1" applyFill="1" applyAlignment="1">
      <alignment horizontal="center" vertical="center"/>
    </xf>
    <xf numFmtId="171" fontId="1" fillId="4" borderId="0" xfId="0" applyNumberFormat="1" applyFont="1" applyFill="1" applyAlignment="1">
      <alignment horizontal="center" vertical="center"/>
    </xf>
    <xf numFmtId="2" fontId="1" fillId="4" borderId="0" xfId="0" applyNumberFormat="1" applyFont="1" applyFill="1" applyAlignment="1">
      <alignment horizontal="center"/>
    </xf>
    <xf numFmtId="21" fontId="1" fillId="4" borderId="0" xfId="0" applyNumberFormat="1" applyFont="1" applyFill="1" applyAlignment="1">
      <alignment horizontal="center"/>
    </xf>
    <xf numFmtId="15" fontId="10" fillId="0" borderId="0" xfId="0" applyNumberFormat="1" applyFont="1" applyAlignment="1">
      <alignment vertical="center"/>
    </xf>
    <xf numFmtId="0" fontId="7" fillId="7" borderId="0" xfId="0" applyFont="1" applyFill="1" applyAlignment="1">
      <alignment horizontal="right"/>
    </xf>
    <xf numFmtId="0" fontId="7" fillId="7" borderId="0" xfId="0" applyFont="1" applyFill="1"/>
    <xf numFmtId="0" fontId="1" fillId="7" borderId="0" xfId="0" applyFont="1" applyFill="1" applyAlignment="1">
      <alignment horizontal="right"/>
    </xf>
    <xf numFmtId="0" fontId="13" fillId="2" borderId="0" xfId="0" applyFont="1" applyFill="1" applyAlignment="1">
      <alignment vertical="top"/>
    </xf>
    <xf numFmtId="1" fontId="13" fillId="2" borderId="0" xfId="0" applyNumberFormat="1" applyFont="1" applyFill="1" applyAlignment="1">
      <alignment vertical="top"/>
    </xf>
    <xf numFmtId="166" fontId="13" fillId="2" borderId="0" xfId="0" applyNumberFormat="1" applyFont="1" applyFill="1" applyAlignment="1">
      <alignment vertical="top"/>
    </xf>
    <xf numFmtId="165" fontId="13" fillId="2" borderId="0" xfId="0" applyNumberFormat="1" applyFont="1" applyFill="1" applyAlignment="1">
      <alignment vertical="top"/>
    </xf>
    <xf numFmtId="9" fontId="13" fillId="2" borderId="0" xfId="1" applyFont="1" applyFill="1" applyAlignment="1">
      <alignment vertical="top"/>
    </xf>
    <xf numFmtId="166" fontId="14" fillId="2" borderId="3" xfId="0" applyNumberFormat="1" applyFont="1" applyFill="1" applyBorder="1" applyAlignment="1">
      <alignment vertical="top"/>
    </xf>
    <xf numFmtId="0" fontId="15" fillId="2" borderId="3" xfId="0" applyFont="1" applyFill="1" applyBorder="1" applyAlignment="1">
      <alignment horizontal="right" vertical="top"/>
    </xf>
    <xf numFmtId="0" fontId="16" fillId="2" borderId="3" xfId="0" applyFont="1" applyFill="1" applyBorder="1" applyAlignment="1">
      <alignment horizontal="right" vertical="top"/>
    </xf>
    <xf numFmtId="0" fontId="16" fillId="2" borderId="3" xfId="0" applyFont="1" applyFill="1" applyBorder="1" applyAlignment="1">
      <alignment horizontal="center" vertical="top"/>
    </xf>
    <xf numFmtId="166" fontId="17" fillId="2" borderId="3" xfId="0" applyNumberFormat="1" applyFont="1" applyFill="1" applyBorder="1" applyAlignment="1">
      <alignment vertical="top"/>
    </xf>
    <xf numFmtId="0" fontId="13" fillId="2" borderId="3" xfId="0" applyFont="1" applyFill="1" applyBorder="1" applyAlignment="1">
      <alignment horizontal="right" vertical="top"/>
    </xf>
    <xf numFmtId="3" fontId="17" fillId="2" borderId="3" xfId="0" applyNumberFormat="1" applyFont="1" applyFill="1" applyBorder="1" applyAlignment="1">
      <alignment vertical="top"/>
    </xf>
    <xf numFmtId="0" fontId="16" fillId="2" borderId="0" xfId="0" applyFont="1" applyFill="1" applyAlignment="1">
      <alignment vertical="top"/>
    </xf>
    <xf numFmtId="0" fontId="18" fillId="2" borderId="3" xfId="0" quotePrefix="1" applyFont="1" applyFill="1" applyBorder="1" applyAlignment="1">
      <alignment horizontal="right" vertical="top"/>
    </xf>
    <xf numFmtId="0" fontId="18" fillId="2" borderId="3" xfId="0" applyFont="1" applyFill="1" applyBorder="1" applyAlignment="1">
      <alignment horizontal="right" vertical="top"/>
    </xf>
    <xf numFmtId="2" fontId="17" fillId="2" borderId="3" xfId="0" applyNumberFormat="1" applyFont="1" applyFill="1" applyBorder="1" applyAlignment="1">
      <alignment vertical="top"/>
    </xf>
    <xf numFmtId="173" fontId="16" fillId="15" borderId="3" xfId="0" applyNumberFormat="1" applyFont="1" applyFill="1" applyBorder="1" applyAlignment="1">
      <alignment vertical="top"/>
    </xf>
    <xf numFmtId="3" fontId="20" fillId="15" borderId="3" xfId="0" applyNumberFormat="1" applyFont="1" applyFill="1" applyBorder="1" applyAlignment="1">
      <alignment vertical="top"/>
    </xf>
    <xf numFmtId="173" fontId="20" fillId="15" borderId="3" xfId="0" applyNumberFormat="1" applyFont="1" applyFill="1" applyBorder="1" applyAlignment="1">
      <alignment vertical="top"/>
    </xf>
    <xf numFmtId="0" fontId="21" fillId="2" borderId="0" xfId="0" applyFont="1" applyFill="1" applyAlignment="1">
      <alignment vertical="top"/>
    </xf>
    <xf numFmtId="1" fontId="20" fillId="15" borderId="3" xfId="0" applyNumberFormat="1" applyFont="1" applyFill="1" applyBorder="1" applyAlignment="1">
      <alignment vertical="top"/>
    </xf>
    <xf numFmtId="0" fontId="13" fillId="2" borderId="0" xfId="0" applyFont="1" applyFill="1" applyAlignment="1">
      <alignment horizontal="right" vertical="top"/>
    </xf>
    <xf numFmtId="0" fontId="22" fillId="2" borderId="0" xfId="0" applyFont="1" applyFill="1" applyAlignment="1">
      <alignment vertical="top"/>
    </xf>
    <xf numFmtId="166" fontId="23" fillId="7" borderId="3" xfId="0" applyNumberFormat="1" applyFont="1" applyFill="1" applyBorder="1" applyAlignment="1">
      <alignment horizontal="right" vertical="top"/>
    </xf>
    <xf numFmtId="0" fontId="16" fillId="2" borderId="3" xfId="0" quotePrefix="1" applyFont="1" applyFill="1" applyBorder="1" applyAlignment="1">
      <alignment horizontal="center" vertical="top"/>
    </xf>
    <xf numFmtId="166" fontId="20" fillId="15" borderId="3" xfId="0" applyNumberFormat="1" applyFont="1" applyFill="1" applyBorder="1" applyAlignment="1">
      <alignment vertical="top"/>
    </xf>
    <xf numFmtId="165" fontId="20" fillId="15" borderId="3" xfId="0" applyNumberFormat="1" applyFont="1" applyFill="1" applyBorder="1" applyAlignment="1">
      <alignment vertical="top"/>
    </xf>
    <xf numFmtId="166" fontId="20" fillId="5" borderId="3" xfId="0" applyNumberFormat="1" applyFont="1" applyFill="1" applyBorder="1" applyAlignment="1">
      <alignment vertical="top"/>
    </xf>
    <xf numFmtId="0" fontId="16" fillId="2" borderId="3" xfId="0" quotePrefix="1" applyFont="1" applyFill="1" applyBorder="1" applyAlignment="1">
      <alignment horizontal="right" vertical="top"/>
    </xf>
    <xf numFmtId="166" fontId="23" fillId="2" borderId="3" xfId="0" applyNumberFormat="1" applyFont="1" applyFill="1" applyBorder="1" applyAlignment="1">
      <alignment vertical="top"/>
    </xf>
    <xf numFmtId="0" fontId="23" fillId="2" borderId="3" xfId="0" applyFont="1" applyFill="1" applyBorder="1" applyAlignment="1">
      <alignment horizontal="right" vertical="top"/>
    </xf>
    <xf numFmtId="2" fontId="16" fillId="2" borderId="3" xfId="0" applyNumberFormat="1" applyFont="1" applyFill="1" applyBorder="1" applyAlignment="1">
      <alignment vertical="top"/>
    </xf>
    <xf numFmtId="2" fontId="16" fillId="2" borderId="3" xfId="0" applyNumberFormat="1" applyFont="1" applyFill="1" applyBorder="1" applyAlignment="1">
      <alignment horizontal="right" vertical="top"/>
    </xf>
    <xf numFmtId="2" fontId="16" fillId="10" borderId="3" xfId="0" applyNumberFormat="1" applyFont="1" applyFill="1" applyBorder="1" applyAlignment="1">
      <alignment vertical="top"/>
    </xf>
    <xf numFmtId="2" fontId="16" fillId="10" borderId="3" xfId="0" applyNumberFormat="1" applyFont="1" applyFill="1" applyBorder="1" applyAlignment="1">
      <alignment horizontal="right" vertical="top"/>
    </xf>
    <xf numFmtId="0" fontId="25" fillId="2" borderId="3" xfId="0" applyFont="1" applyFill="1" applyBorder="1" applyAlignment="1">
      <alignment horizontal="right" vertical="top"/>
    </xf>
    <xf numFmtId="0" fontId="16" fillId="16" borderId="3" xfId="0" applyFont="1" applyFill="1" applyBorder="1" applyAlignment="1">
      <alignment horizontal="center" vertical="top"/>
    </xf>
    <xf numFmtId="0" fontId="16" fillId="9" borderId="3" xfId="0" applyFont="1" applyFill="1" applyBorder="1" applyAlignment="1">
      <alignment horizontal="center" vertical="top"/>
    </xf>
    <xf numFmtId="0" fontId="13" fillId="2" borderId="0" xfId="0" applyFont="1" applyFill="1" applyAlignment="1">
      <alignment horizontal="left" vertical="top"/>
    </xf>
    <xf numFmtId="0" fontId="26" fillId="2" borderId="0" xfId="0" applyFont="1" applyFill="1" applyAlignment="1">
      <alignment horizontal="left" vertical="top"/>
    </xf>
    <xf numFmtId="3" fontId="29" fillId="15" borderId="3" xfId="0" applyNumberFormat="1" applyFont="1" applyFill="1" applyBorder="1" applyAlignment="1">
      <alignment vertical="top"/>
    </xf>
    <xf numFmtId="173" fontId="29" fillId="15" borderId="3" xfId="0" applyNumberFormat="1" applyFont="1" applyFill="1" applyBorder="1" applyAlignment="1">
      <alignment vertical="top"/>
    </xf>
    <xf numFmtId="1" fontId="29" fillId="15" borderId="3" xfId="0" applyNumberFormat="1" applyFont="1" applyFill="1" applyBorder="1" applyAlignment="1">
      <alignment vertical="top"/>
    </xf>
    <xf numFmtId="166" fontId="29" fillId="15" borderId="3" xfId="0" applyNumberFormat="1" applyFont="1" applyFill="1" applyBorder="1" applyAlignment="1">
      <alignment vertical="top"/>
    </xf>
    <xf numFmtId="165" fontId="29" fillId="15" borderId="3" xfId="0" applyNumberFormat="1" applyFont="1" applyFill="1" applyBorder="1" applyAlignment="1">
      <alignment vertical="top"/>
    </xf>
    <xf numFmtId="166" fontId="29" fillId="5" borderId="3" xfId="0" applyNumberFormat="1" applyFont="1" applyFill="1" applyBorder="1" applyAlignment="1">
      <alignment vertical="top"/>
    </xf>
    <xf numFmtId="3" fontId="31" fillId="2" borderId="3" xfId="0" applyNumberFormat="1" applyFont="1" applyFill="1" applyBorder="1" applyAlignment="1">
      <alignment vertical="top"/>
    </xf>
    <xf numFmtId="173" fontId="31" fillId="2" borderId="3" xfId="0" applyNumberFormat="1" applyFont="1" applyFill="1" applyBorder="1" applyAlignment="1">
      <alignment vertical="top"/>
    </xf>
    <xf numFmtId="1" fontId="31" fillId="2" borderId="3" xfId="0" applyNumberFormat="1" applyFont="1" applyFill="1" applyBorder="1" applyAlignment="1">
      <alignment vertical="top"/>
    </xf>
    <xf numFmtId="166" fontId="31" fillId="2" borderId="3" xfId="0" applyNumberFormat="1" applyFont="1" applyFill="1" applyBorder="1" applyAlignment="1">
      <alignment vertical="top"/>
    </xf>
    <xf numFmtId="165" fontId="31" fillId="2" borderId="3" xfId="0" applyNumberFormat="1" applyFont="1" applyFill="1" applyBorder="1" applyAlignment="1">
      <alignment vertical="top"/>
    </xf>
    <xf numFmtId="166" fontId="31" fillId="5" borderId="3" xfId="0" applyNumberFormat="1" applyFont="1" applyFill="1" applyBorder="1" applyAlignment="1">
      <alignment vertical="top"/>
    </xf>
    <xf numFmtId="2" fontId="1" fillId="2" borderId="5" xfId="0" applyNumberFormat="1" applyFont="1" applyFill="1" applyBorder="1"/>
    <xf numFmtId="0" fontId="1" fillId="2" borderId="5" xfId="0" quotePrefix="1" applyFont="1" applyFill="1" applyBorder="1" applyAlignment="1">
      <alignment horizontal="center"/>
    </xf>
    <xf numFmtId="1" fontId="1" fillId="2" borderId="5" xfId="0" applyNumberFormat="1" applyFont="1" applyFill="1" applyBorder="1"/>
    <xf numFmtId="1" fontId="1" fillId="2" borderId="2" xfId="0" applyNumberFormat="1" applyFont="1" applyFill="1" applyBorder="1"/>
    <xf numFmtId="165" fontId="1" fillId="2" borderId="2" xfId="0" applyNumberFormat="1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2" fontId="7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11" fontId="1" fillId="2" borderId="0" xfId="0" applyNumberFormat="1" applyFont="1" applyFill="1"/>
    <xf numFmtId="11" fontId="7" fillId="2" borderId="0" xfId="0" applyNumberFormat="1" applyFont="1" applyFill="1"/>
    <xf numFmtId="0" fontId="33" fillId="0" borderId="0" xfId="0" applyFont="1" applyAlignment="1">
      <alignment horizontal="center" vertical="top"/>
    </xf>
    <xf numFmtId="0" fontId="33" fillId="0" borderId="0" xfId="0" applyFont="1" applyAlignment="1">
      <alignment horizontal="right" vertical="top"/>
    </xf>
    <xf numFmtId="0" fontId="34" fillId="0" borderId="0" xfId="0" applyFont="1" applyAlignment="1">
      <alignment horizontal="right" vertical="top"/>
    </xf>
    <xf numFmtId="0" fontId="1" fillId="0" borderId="0" xfId="0" applyFont="1" applyAlignment="1">
      <alignment horizontal="right"/>
    </xf>
    <xf numFmtId="2" fontId="34" fillId="0" borderId="0" xfId="0" applyNumberFormat="1" applyFont="1" applyAlignment="1">
      <alignment horizontal="center" vertical="top"/>
    </xf>
    <xf numFmtId="0" fontId="35" fillId="0" borderId="0" xfId="0" applyFont="1" applyAlignment="1">
      <alignment horizontal="left" vertical="top"/>
    </xf>
    <xf numFmtId="0" fontId="36" fillId="0" borderId="0" xfId="0" applyFont="1" applyAlignment="1">
      <alignment horizontal="right" vertical="top"/>
    </xf>
    <xf numFmtId="0" fontId="8" fillId="9" borderId="0" xfId="0" applyFont="1" applyFill="1" applyAlignment="1">
      <alignment horizontal="center"/>
    </xf>
    <xf numFmtId="2" fontId="8" fillId="9" borderId="0" xfId="0" applyNumberFormat="1" applyFont="1" applyFill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0" fontId="2" fillId="7" borderId="0" xfId="0" applyFont="1" applyFill="1" applyAlignment="1">
      <alignment horizontal="right"/>
    </xf>
    <xf numFmtId="0" fontId="1" fillId="2" borderId="5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166" fontId="7" fillId="7" borderId="0" xfId="0" applyNumberFormat="1" applyFont="1" applyFill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center" vertical="top"/>
    </xf>
    <xf numFmtId="2" fontId="1" fillId="2" borderId="0" xfId="0" applyNumberFormat="1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0" borderId="2" xfId="0" applyFont="1" applyBorder="1" applyAlignment="1">
      <alignment horizontal="right"/>
    </xf>
    <xf numFmtId="0" fontId="1" fillId="0" borderId="2" xfId="0" applyFont="1" applyBorder="1"/>
    <xf numFmtId="0" fontId="1" fillId="0" borderId="5" xfId="0" applyFont="1" applyBorder="1" applyAlignment="1">
      <alignment horizontal="right"/>
    </xf>
    <xf numFmtId="0" fontId="1" fillId="0" borderId="5" xfId="0" applyFont="1" applyBorder="1"/>
    <xf numFmtId="0" fontId="1" fillId="7" borderId="2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2" fontId="1" fillId="7" borderId="0" xfId="0" applyNumberFormat="1" applyFont="1" applyFill="1" applyAlignment="1">
      <alignment horizontal="right"/>
    </xf>
    <xf numFmtId="0" fontId="39" fillId="2" borderId="0" xfId="0" applyFont="1" applyFill="1" applyAlignment="1">
      <alignment horizontal="right" vertical="top"/>
    </xf>
    <xf numFmtId="0" fontId="39" fillId="7" borderId="0" xfId="0" applyFont="1" applyFill="1" applyAlignment="1">
      <alignment horizontal="right" vertical="top"/>
    </xf>
    <xf numFmtId="0" fontId="7" fillId="7" borderId="2" xfId="0" applyFont="1" applyFill="1" applyBorder="1" applyAlignment="1">
      <alignment horizontal="center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7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7" fillId="14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28752636-27FB-4129-8A30-AB27F4AB4A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603318772398048E-2"/>
          <c:y val="0.10519563900666265"/>
          <c:w val="0.87292311659552835"/>
          <c:h val="0.60201796890773274"/>
        </c:manualLayout>
      </c:layout>
      <c:barChart>
        <c:barDir val="col"/>
        <c:grouping val="clustered"/>
        <c:varyColors val="0"/>
        <c:ser>
          <c:idx val="0"/>
          <c:order val="0"/>
          <c:tx>
            <c:v>SHIM 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'P. Yields - WABT 220 Act Fe (2)'!$L$8:$L$29</c:f>
              <c:strCache>
                <c:ptCount val="22"/>
                <c:pt idx="0">
                  <c:v>Methane</c:v>
                </c:pt>
                <c:pt idx="1">
                  <c:v>Ethane</c:v>
                </c:pt>
                <c:pt idx="2">
                  <c:v>Propane</c:v>
                </c:pt>
                <c:pt idx="3">
                  <c:v>n-Butane</c:v>
                </c:pt>
                <c:pt idx="4">
                  <c:v>iso-Butane</c:v>
                </c:pt>
                <c:pt idx="5">
                  <c:v>n-Pentane</c:v>
                </c:pt>
                <c:pt idx="6">
                  <c:v>iso-Pentane</c:v>
                </c:pt>
                <c:pt idx="7">
                  <c:v>Cyclopentane</c:v>
                </c:pt>
                <c:pt idx="8">
                  <c:v>n-Hexane</c:v>
                </c:pt>
                <c:pt idx="9">
                  <c:v>2-Methyl Pentane</c:v>
                </c:pt>
                <c:pt idx="10">
                  <c:v>3-Methyl Pentane</c:v>
                </c:pt>
                <c:pt idx="11">
                  <c:v>2,3-Dimethyl Butane</c:v>
                </c:pt>
                <c:pt idx="12">
                  <c:v>2,2-Dimethyl Butane</c:v>
                </c:pt>
                <c:pt idx="13">
                  <c:v>Cyclohexane</c:v>
                </c:pt>
                <c:pt idx="14">
                  <c:v>Methyl Cyclopentane</c:v>
                </c:pt>
                <c:pt idx="15">
                  <c:v>Benzene</c:v>
                </c:pt>
                <c:pt idx="16">
                  <c:v>n-Heptane</c:v>
                </c:pt>
                <c:pt idx="17">
                  <c:v>iC7 Single Branched</c:v>
                </c:pt>
                <c:pt idx="18">
                  <c:v>iC7 Multi Branched</c:v>
                </c:pt>
                <c:pt idx="19">
                  <c:v>C7N</c:v>
                </c:pt>
                <c:pt idx="20">
                  <c:v>Toluene</c:v>
                </c:pt>
                <c:pt idx="21">
                  <c:v>C8P</c:v>
                </c:pt>
              </c:strCache>
            </c:strRef>
          </c:cat>
          <c:val>
            <c:numRef>
              <c:f>'P. Yields - WABT 220 Act Fe (2)'!$I$8:$I$29</c:f>
              <c:numCache>
                <c:formatCode>0.00</c:formatCode>
                <c:ptCount val="22"/>
                <c:pt idx="0">
                  <c:v>2.925809349E-3</c:v>
                </c:pt>
                <c:pt idx="1">
                  <c:v>2.9093573489999999E-3</c:v>
                </c:pt>
                <c:pt idx="2">
                  <c:v>0.2168483329</c:v>
                </c:pt>
                <c:pt idx="3">
                  <c:v>1.70390066</c:v>
                </c:pt>
                <c:pt idx="4">
                  <c:v>3.5822216579999999</c:v>
                </c:pt>
                <c:pt idx="5">
                  <c:v>11.599570529999999</c:v>
                </c:pt>
                <c:pt idx="6">
                  <c:v>9.2090082379999991</c:v>
                </c:pt>
                <c:pt idx="7">
                  <c:v>0.27939404880000002</c:v>
                </c:pt>
                <c:pt idx="8">
                  <c:v>13.218186559999999</c:v>
                </c:pt>
                <c:pt idx="9">
                  <c:v>8.2090945749999999</c:v>
                </c:pt>
                <c:pt idx="10">
                  <c:v>5.0318694180000003</c:v>
                </c:pt>
                <c:pt idx="11">
                  <c:v>2.0163862890000002</c:v>
                </c:pt>
                <c:pt idx="12">
                  <c:v>1.4140081200000001</c:v>
                </c:pt>
                <c:pt idx="13">
                  <c:v>0.32051852089999999</c:v>
                </c:pt>
                <c:pt idx="14">
                  <c:v>0.68590329120000004</c:v>
                </c:pt>
                <c:pt idx="15">
                  <c:v>4.8307979999999999E-10</c:v>
                </c:pt>
                <c:pt idx="16">
                  <c:v>5.9302974209999997</c:v>
                </c:pt>
                <c:pt idx="17">
                  <c:v>13.38140527</c:v>
                </c:pt>
                <c:pt idx="18">
                  <c:v>11.0503842</c:v>
                </c:pt>
                <c:pt idx="19">
                  <c:v>0.88360110420000004</c:v>
                </c:pt>
                <c:pt idx="20">
                  <c:v>1.2039620439999999E-5</c:v>
                </c:pt>
                <c:pt idx="21">
                  <c:v>11.33749268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1A-4989-85EB-DA890DB585B8}"/>
            </c:ext>
          </c:extLst>
        </c:ser>
        <c:ser>
          <c:idx val="2"/>
          <c:order val="1"/>
          <c:tx>
            <c:v>ATHOS-1 (EXP)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'P. Yields - WABT 220 Act Fe (2)'!$L$8:$L$29</c:f>
              <c:strCache>
                <c:ptCount val="22"/>
                <c:pt idx="0">
                  <c:v>Methane</c:v>
                </c:pt>
                <c:pt idx="1">
                  <c:v>Ethane</c:v>
                </c:pt>
                <c:pt idx="2">
                  <c:v>Propane</c:v>
                </c:pt>
                <c:pt idx="3">
                  <c:v>n-Butane</c:v>
                </c:pt>
                <c:pt idx="4">
                  <c:v>iso-Butane</c:v>
                </c:pt>
                <c:pt idx="5">
                  <c:v>n-Pentane</c:v>
                </c:pt>
                <c:pt idx="6">
                  <c:v>iso-Pentane</c:v>
                </c:pt>
                <c:pt idx="7">
                  <c:v>Cyclopentane</c:v>
                </c:pt>
                <c:pt idx="8">
                  <c:v>n-Hexane</c:v>
                </c:pt>
                <c:pt idx="9">
                  <c:v>2-Methyl Pentane</c:v>
                </c:pt>
                <c:pt idx="10">
                  <c:v>3-Methyl Pentane</c:v>
                </c:pt>
                <c:pt idx="11">
                  <c:v>2,3-Dimethyl Butane</c:v>
                </c:pt>
                <c:pt idx="12">
                  <c:v>2,2-Dimethyl Butane</c:v>
                </c:pt>
                <c:pt idx="13">
                  <c:v>Cyclohexane</c:v>
                </c:pt>
                <c:pt idx="14">
                  <c:v>Methyl Cyclopentane</c:v>
                </c:pt>
                <c:pt idx="15">
                  <c:v>Benzene</c:v>
                </c:pt>
                <c:pt idx="16">
                  <c:v>n-Heptane</c:v>
                </c:pt>
                <c:pt idx="17">
                  <c:v>iC7 Single Branched</c:v>
                </c:pt>
                <c:pt idx="18">
                  <c:v>iC7 Multi Branched</c:v>
                </c:pt>
                <c:pt idx="19">
                  <c:v>C7N</c:v>
                </c:pt>
                <c:pt idx="20">
                  <c:v>Toluene</c:v>
                </c:pt>
                <c:pt idx="21">
                  <c:v>C8P</c:v>
                </c:pt>
              </c:strCache>
            </c:strRef>
          </c:cat>
          <c:val>
            <c:numRef>
              <c:f>'P. Yields - WABT 220 Act Fe (2)'!$N$8:$N$29</c:f>
              <c:numCache>
                <c:formatCode>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3.7960348916825488</c:v>
                </c:pt>
                <c:pt idx="3">
                  <c:v>3.2262748960061183</c:v>
                </c:pt>
                <c:pt idx="4">
                  <c:v>8.3316778842543346</c:v>
                </c:pt>
                <c:pt idx="5">
                  <c:v>12.537023423386755</c:v>
                </c:pt>
                <c:pt idx="6">
                  <c:v>10.050345587440438</c:v>
                </c:pt>
                <c:pt idx="7">
                  <c:v>0</c:v>
                </c:pt>
                <c:pt idx="8">
                  <c:v>14.268626963826033</c:v>
                </c:pt>
                <c:pt idx="9">
                  <c:v>8.5874999245818344</c:v>
                </c:pt>
                <c:pt idx="10">
                  <c:v>5.1822401351478513</c:v>
                </c:pt>
                <c:pt idx="11">
                  <c:v>1.874632467237678</c:v>
                </c:pt>
                <c:pt idx="12">
                  <c:v>0.38912700752714074</c:v>
                </c:pt>
                <c:pt idx="13">
                  <c:v>0.32198270516148697</c:v>
                </c:pt>
                <c:pt idx="14">
                  <c:v>0.68935124900346501</c:v>
                </c:pt>
                <c:pt idx="15">
                  <c:v>0</c:v>
                </c:pt>
                <c:pt idx="16">
                  <c:v>7.5004118285138484</c:v>
                </c:pt>
                <c:pt idx="17">
                  <c:v>13.314346997633022</c:v>
                </c:pt>
                <c:pt idx="18">
                  <c:v>4.2020182346247941</c:v>
                </c:pt>
                <c:pt idx="19">
                  <c:v>1.0696526189633193</c:v>
                </c:pt>
                <c:pt idx="20">
                  <c:v>0</c:v>
                </c:pt>
                <c:pt idx="21">
                  <c:v>4.9543985677491866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1A-4989-85EB-DA890DB585B8}"/>
            </c:ext>
          </c:extLst>
        </c:ser>
        <c:ser>
          <c:idx val="1"/>
          <c:order val="2"/>
          <c:tx>
            <c:v>ATHOS-3 (EXP)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'P. Yields - WABT 220 Act Fe (2)'!$L$8:$L$29</c:f>
              <c:strCache>
                <c:ptCount val="22"/>
                <c:pt idx="0">
                  <c:v>Methane</c:v>
                </c:pt>
                <c:pt idx="1">
                  <c:v>Ethane</c:v>
                </c:pt>
                <c:pt idx="2">
                  <c:v>Propane</c:v>
                </c:pt>
                <c:pt idx="3">
                  <c:v>n-Butane</c:v>
                </c:pt>
                <c:pt idx="4">
                  <c:v>iso-Butane</c:v>
                </c:pt>
                <c:pt idx="5">
                  <c:v>n-Pentane</c:v>
                </c:pt>
                <c:pt idx="6">
                  <c:v>iso-Pentane</c:v>
                </c:pt>
                <c:pt idx="7">
                  <c:v>Cyclopentane</c:v>
                </c:pt>
                <c:pt idx="8">
                  <c:v>n-Hexane</c:v>
                </c:pt>
                <c:pt idx="9">
                  <c:v>2-Methyl Pentane</c:v>
                </c:pt>
                <c:pt idx="10">
                  <c:v>3-Methyl Pentane</c:v>
                </c:pt>
                <c:pt idx="11">
                  <c:v>2,3-Dimethyl Butane</c:v>
                </c:pt>
                <c:pt idx="12">
                  <c:v>2,2-Dimethyl Butane</c:v>
                </c:pt>
                <c:pt idx="13">
                  <c:v>Cyclohexane</c:v>
                </c:pt>
                <c:pt idx="14">
                  <c:v>Methyl Cyclopentane</c:v>
                </c:pt>
                <c:pt idx="15">
                  <c:v>Benzene</c:v>
                </c:pt>
                <c:pt idx="16">
                  <c:v>n-Heptane</c:v>
                </c:pt>
                <c:pt idx="17">
                  <c:v>iC7 Single Branched</c:v>
                </c:pt>
                <c:pt idx="18">
                  <c:v>iC7 Multi Branched</c:v>
                </c:pt>
                <c:pt idx="19">
                  <c:v>C7N</c:v>
                </c:pt>
                <c:pt idx="20">
                  <c:v>Toluene</c:v>
                </c:pt>
                <c:pt idx="21">
                  <c:v>C8P</c:v>
                </c:pt>
              </c:strCache>
            </c:strRef>
          </c:cat>
          <c:val>
            <c:numRef>
              <c:f>'P. Yields - WABT 220 Act Fe (2)'!$O$8:$O$29</c:f>
              <c:numCache>
                <c:formatCode>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10.350041312139162</c:v>
                </c:pt>
                <c:pt idx="3">
                  <c:v>3.8442694807741939</c:v>
                </c:pt>
                <c:pt idx="4">
                  <c:v>19.184296483683386</c:v>
                </c:pt>
                <c:pt idx="5">
                  <c:v>11.985358607648449</c:v>
                </c:pt>
                <c:pt idx="6">
                  <c:v>11.777568181210711</c:v>
                </c:pt>
                <c:pt idx="7">
                  <c:v>0</c:v>
                </c:pt>
                <c:pt idx="8">
                  <c:v>10.917220123130354</c:v>
                </c:pt>
                <c:pt idx="9">
                  <c:v>9.6585235422598625</c:v>
                </c:pt>
                <c:pt idx="10">
                  <c:v>5.986637812514779</c:v>
                </c:pt>
                <c:pt idx="11">
                  <c:v>2.9024668259480646</c:v>
                </c:pt>
                <c:pt idx="12">
                  <c:v>0.80554997381108129</c:v>
                </c:pt>
                <c:pt idx="13">
                  <c:v>0.26038207929407536</c:v>
                </c:pt>
                <c:pt idx="14">
                  <c:v>0.60293710492178743</c:v>
                </c:pt>
                <c:pt idx="15">
                  <c:v>0</c:v>
                </c:pt>
                <c:pt idx="16">
                  <c:v>2.6100834311429568</c:v>
                </c:pt>
                <c:pt idx="17">
                  <c:v>5.5262039367751044</c:v>
                </c:pt>
                <c:pt idx="18">
                  <c:v>2.41971978285572</c:v>
                </c:pt>
                <c:pt idx="19">
                  <c:v>0.9214944183007423</c:v>
                </c:pt>
                <c:pt idx="20">
                  <c:v>0</c:v>
                </c:pt>
                <c:pt idx="21">
                  <c:v>0.96430321772345939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1A-4989-85EB-DA890DB58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5652768"/>
        <c:axId val="2015650848"/>
        <c:extLst/>
      </c:barChart>
      <c:catAx>
        <c:axId val="201565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auto val="1"/>
        <c:lblAlgn val="ctr"/>
        <c:lblOffset val="100"/>
        <c:noMultiLvlLbl val="0"/>
      </c:catAx>
      <c:valAx>
        <c:axId val="2015650848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>
                    <a:latin typeface="Aptos" panose="020B0004020202020204" pitchFamily="34" charset="0"/>
                  </a:rPr>
                  <a:t>Concentration,</a:t>
                </a:r>
                <a:r>
                  <a:rPr lang="en-IN" sz="1100" baseline="0">
                    <a:latin typeface="Aptos" panose="020B0004020202020204" pitchFamily="34" charset="0"/>
                  </a:rPr>
                  <a:t> wt%</a:t>
                </a:r>
                <a:endParaRPr lang="en-IN" sz="1100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292748639077632E-2"/>
              <c:y val="0.316807187563093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35123450502412851"/>
          <c:y val="0.11805030359229049"/>
          <c:w val="0.36450302477681468"/>
          <c:h val="4.9475873208156676E-2"/>
        </c:manualLayout>
      </c:layout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Drying (N2)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'Catalyst Drying and Reduction'!$N$2:$N$8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 formatCode="0">
                  <c:v>7.5</c:v>
                </c:pt>
                <c:pt idx="3" formatCode="0">
                  <c:v>9.5</c:v>
                </c:pt>
                <c:pt idx="4" formatCode="0">
                  <c:v>12.5</c:v>
                </c:pt>
                <c:pt idx="5" formatCode="0">
                  <c:v>12.5</c:v>
                </c:pt>
                <c:pt idx="6" formatCode="0">
                  <c:v>12.5</c:v>
                </c:pt>
              </c:numCache>
            </c:numRef>
          </c:xVal>
          <c:yVal>
            <c:numRef>
              <c:f>'Catalyst Drying and Reduction'!$O$2:$O$8</c:f>
              <c:numCache>
                <c:formatCode>General</c:formatCode>
                <c:ptCount val="7"/>
                <c:pt idx="0">
                  <c:v>25</c:v>
                </c:pt>
                <c:pt idx="1">
                  <c:v>25</c:v>
                </c:pt>
                <c:pt idx="2">
                  <c:v>300</c:v>
                </c:pt>
                <c:pt idx="3">
                  <c:v>300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AB-48A0-8783-49F37DDD01CC}"/>
            </c:ext>
          </c:extLst>
        </c:ser>
        <c:ser>
          <c:idx val="1"/>
          <c:order val="1"/>
          <c:tx>
            <c:v>Reduction (H2)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'Catalyst Drying and Reduction'!$N$8:$N$17</c:f>
              <c:numCache>
                <c:formatCode>0</c:formatCode>
                <c:ptCount val="10"/>
                <c:pt idx="0">
                  <c:v>12.5</c:v>
                </c:pt>
                <c:pt idx="1">
                  <c:v>14.5</c:v>
                </c:pt>
                <c:pt idx="2">
                  <c:v>14.5</c:v>
                </c:pt>
                <c:pt idx="3">
                  <c:v>15.5</c:v>
                </c:pt>
                <c:pt idx="4">
                  <c:v>18.5</c:v>
                </c:pt>
                <c:pt idx="5">
                  <c:v>20.5</c:v>
                </c:pt>
                <c:pt idx="6">
                  <c:v>22.3</c:v>
                </c:pt>
                <c:pt idx="7">
                  <c:v>22.3</c:v>
                </c:pt>
                <c:pt idx="8">
                  <c:v>22.3</c:v>
                </c:pt>
                <c:pt idx="9">
                  <c:v>23.3</c:v>
                </c:pt>
              </c:numCache>
            </c:numRef>
          </c:xVal>
          <c:yVal>
            <c:numRef>
              <c:f>'Catalyst Drying and Reduction'!$O$8:$O$17</c:f>
              <c:numCache>
                <c:formatCode>General</c:formatCode>
                <c:ptCount val="10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300</c:v>
                </c:pt>
                <c:pt idx="5">
                  <c:v>300</c:v>
                </c:pt>
                <c:pt idx="6">
                  <c:v>210</c:v>
                </c:pt>
                <c:pt idx="7">
                  <c:v>210</c:v>
                </c:pt>
                <c:pt idx="8">
                  <c:v>210</c:v>
                </c:pt>
                <c:pt idx="9">
                  <c:v>210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AB-48A0-8783-49F37DDD01CC}"/>
            </c:ext>
          </c:extLst>
        </c:ser>
        <c:ser>
          <c:idx val="2"/>
          <c:order val="2"/>
          <c:tx>
            <c:v>Feed Cut-in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'Catalyst Drying and Reduction'!$N$18:$N$19</c:f>
              <c:numCache>
                <c:formatCode>0</c:formatCode>
                <c:ptCount val="2"/>
                <c:pt idx="0">
                  <c:v>23.3</c:v>
                </c:pt>
                <c:pt idx="1">
                  <c:v>24.3</c:v>
                </c:pt>
              </c:numCache>
            </c:numRef>
          </c:xVal>
          <c:yVal>
            <c:numRef>
              <c:f>'Catalyst Drying and Reduction'!$O$18:$O$19</c:f>
              <c:numCache>
                <c:formatCode>General</c:formatCode>
                <c:ptCount val="2"/>
                <c:pt idx="0">
                  <c:v>210</c:v>
                </c:pt>
                <c:pt idx="1">
                  <c:v>210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AB-48A0-8783-49F37DDD0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069199"/>
        <c:axId val="1606068239"/>
      </c:scatterChart>
      <c:scatterChart>
        <c:scatterStyle val="lineMarker"/>
        <c:varyColors val="0"/>
        <c:ser>
          <c:idx val="3"/>
          <c:order val="3"/>
          <c:tx>
            <c:v>Pressure</c:v>
          </c:tx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'Catalyst Drying and Reduction'!$N$2:$N$19</c:f>
              <c:numCache>
                <c:formatCode>General</c:formatCode>
                <c:ptCount val="18"/>
                <c:pt idx="0">
                  <c:v>0</c:v>
                </c:pt>
                <c:pt idx="1">
                  <c:v>2</c:v>
                </c:pt>
                <c:pt idx="2" formatCode="0">
                  <c:v>7.5</c:v>
                </c:pt>
                <c:pt idx="3" formatCode="0">
                  <c:v>9.5</c:v>
                </c:pt>
                <c:pt idx="4" formatCode="0">
                  <c:v>12.5</c:v>
                </c:pt>
                <c:pt idx="5" formatCode="0">
                  <c:v>12.5</c:v>
                </c:pt>
                <c:pt idx="6" formatCode="0">
                  <c:v>12.5</c:v>
                </c:pt>
                <c:pt idx="7" formatCode="0">
                  <c:v>14.5</c:v>
                </c:pt>
                <c:pt idx="8" formatCode="0">
                  <c:v>14.5</c:v>
                </c:pt>
                <c:pt idx="9" formatCode="0">
                  <c:v>15.5</c:v>
                </c:pt>
                <c:pt idx="10" formatCode="0">
                  <c:v>18.5</c:v>
                </c:pt>
                <c:pt idx="11" formatCode="0">
                  <c:v>20.5</c:v>
                </c:pt>
                <c:pt idx="12" formatCode="0">
                  <c:v>22.3</c:v>
                </c:pt>
                <c:pt idx="13" formatCode="0">
                  <c:v>22.3</c:v>
                </c:pt>
                <c:pt idx="14" formatCode="0">
                  <c:v>22.3</c:v>
                </c:pt>
                <c:pt idx="15" formatCode="0">
                  <c:v>23.3</c:v>
                </c:pt>
                <c:pt idx="16" formatCode="0">
                  <c:v>23.3</c:v>
                </c:pt>
                <c:pt idx="17" formatCode="0">
                  <c:v>24.3</c:v>
                </c:pt>
              </c:numCache>
            </c:numRef>
          </c:xVal>
          <c:yVal>
            <c:numRef>
              <c:f>'Catalyst Drying and Reduction'!$Q$2:$Q$19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AB-48A0-8783-49F37DDD0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796688"/>
        <c:axId val="1690713552"/>
      </c:scatterChart>
      <c:valAx>
        <c:axId val="1606069199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latin typeface="Aptos" panose="020B0004020202020204" pitchFamily="34" charset="0"/>
                  </a:rPr>
                  <a:t>Time,</a:t>
                </a:r>
                <a:r>
                  <a:rPr lang="en-IN" baseline="0">
                    <a:latin typeface="Aptos" panose="020B0004020202020204" pitchFamily="34" charset="0"/>
                  </a:rPr>
                  <a:t> hrs</a:t>
                </a:r>
                <a:endParaRPr lang="en-IN">
                  <a:latin typeface="Aptos" panose="020B00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06068239"/>
        <c:crosses val="autoZero"/>
        <c:crossBetween val="midCat"/>
        <c:majorUnit val="2"/>
      </c:valAx>
      <c:valAx>
        <c:axId val="1606068239"/>
        <c:scaling>
          <c:orientation val="minMax"/>
          <c:max val="350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latin typeface="Aptos" panose="020B0004020202020204" pitchFamily="34" charset="0"/>
                  </a:rPr>
                  <a:t>Temperature,</a:t>
                </a:r>
                <a:r>
                  <a:rPr lang="en-IN" baseline="0">
                    <a:latin typeface="Aptos" panose="020B0004020202020204" pitchFamily="34" charset="0"/>
                  </a:rPr>
                  <a:t> </a:t>
                </a:r>
                <a:r>
                  <a:rPr lang="en-IN" baseline="30000">
                    <a:latin typeface="Aptos" panose="020B0004020202020204" pitchFamily="34" charset="0"/>
                  </a:rPr>
                  <a:t>o</a:t>
                </a:r>
                <a:r>
                  <a:rPr lang="en-IN" baseline="0">
                    <a:latin typeface="Aptos" panose="020B0004020202020204" pitchFamily="34" charset="0"/>
                  </a:rPr>
                  <a:t>C</a:t>
                </a:r>
                <a:endParaRPr lang="en-IN">
                  <a:latin typeface="Aptos" panose="020B00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06069199"/>
        <c:crosses val="autoZero"/>
        <c:crossBetween val="midCat"/>
        <c:majorUnit val="25"/>
      </c:valAx>
      <c:valAx>
        <c:axId val="1690713552"/>
        <c:scaling>
          <c:orientation val="minMax"/>
          <c:max val="5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latin typeface="Aptos" panose="020B0004020202020204" pitchFamily="34" charset="0"/>
                  </a:rPr>
                  <a:t>Pressure, barg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695796688"/>
        <c:crosses val="max"/>
        <c:crossBetween val="midCat"/>
      </c:valAx>
      <c:valAx>
        <c:axId val="1695796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0713552"/>
        <c:crosses val="autoZero"/>
        <c:crossBetween val="midCat"/>
      </c:valAx>
      <c:spPr>
        <a:noFill/>
        <a:ln>
          <a:solidFill>
            <a:schemeClr val="bg2">
              <a:lumMod val="7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140381641845848"/>
          <c:y val="2.7777777777777776E-2"/>
          <c:w val="0.74122125467608302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'GC Calibration Data '!$K$6:$K$9</c:f>
              <c:numCache>
                <c:formatCode>General</c:formatCode>
                <c:ptCount val="4"/>
                <c:pt idx="0">
                  <c:v>19.77</c:v>
                </c:pt>
                <c:pt idx="1">
                  <c:v>39.869999999999997</c:v>
                </c:pt>
                <c:pt idx="2">
                  <c:v>59.76</c:v>
                </c:pt>
                <c:pt idx="3">
                  <c:v>79.569999999999993</c:v>
                </c:pt>
              </c:numCache>
            </c:numRef>
          </c:xVal>
          <c:yVal>
            <c:numRef>
              <c:f>'GC Calibration Data '!$M$6:$M$9</c:f>
              <c:numCache>
                <c:formatCode>0.000000000</c:formatCode>
                <c:ptCount val="4"/>
                <c:pt idx="0">
                  <c:v>4.3390999999999997E-6</c:v>
                </c:pt>
                <c:pt idx="1">
                  <c:v>4.4182299999999999E-6</c:v>
                </c:pt>
                <c:pt idx="2">
                  <c:v>4.4981799999999999E-6</c:v>
                </c:pt>
                <c:pt idx="3">
                  <c:v>4.5427599999999997E-6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10-449B-9F3A-2BE98B229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218496"/>
        <c:axId val="1210217056"/>
      </c:scatterChart>
      <c:valAx>
        <c:axId val="121021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H2 Concentration,</a:t>
                </a:r>
                <a:r>
                  <a:rPr lang="en-IN" baseline="0"/>
                  <a:t> vol%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217056"/>
        <c:crosses val="autoZero"/>
        <c:crossBetween val="midCat"/>
      </c:valAx>
      <c:valAx>
        <c:axId val="121021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Response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218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'GC Calibration Data '!$H$6:$H$9</c:f>
              <c:numCache>
                <c:formatCode>General</c:formatCode>
                <c:ptCount val="4"/>
                <c:pt idx="0">
                  <c:v>80.23</c:v>
                </c:pt>
                <c:pt idx="1">
                  <c:v>60.13</c:v>
                </c:pt>
                <c:pt idx="2">
                  <c:v>40.24</c:v>
                </c:pt>
                <c:pt idx="3">
                  <c:v>20.43</c:v>
                </c:pt>
              </c:numCache>
            </c:numRef>
          </c:xVal>
          <c:yVal>
            <c:numRef>
              <c:f>'GC Calibration Data '!$J$6:$J$9</c:f>
              <c:numCache>
                <c:formatCode>0.0000000000</c:formatCode>
                <c:ptCount val="4"/>
                <c:pt idx="0">
                  <c:v>1.8131700000000001E-7</c:v>
                </c:pt>
                <c:pt idx="1">
                  <c:v>1.8009099999999999E-7</c:v>
                </c:pt>
                <c:pt idx="2">
                  <c:v>1.7604899999999999E-7</c:v>
                </c:pt>
                <c:pt idx="3">
                  <c:v>1.6383899999999999E-7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6A-462A-A7DC-67371FF7D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218496"/>
        <c:axId val="1210217056"/>
      </c:scatterChart>
      <c:valAx>
        <c:axId val="121021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N2 Concentration,</a:t>
                </a:r>
                <a:r>
                  <a:rPr lang="en-IN" baseline="0"/>
                  <a:t> vol%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217056"/>
        <c:crosses val="autoZero"/>
        <c:crossBetween val="midCat"/>
      </c:valAx>
      <c:valAx>
        <c:axId val="121021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Response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218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'GC Calibration Data '!$Q$6:$Q$9</c:f>
              <c:numCache>
                <c:formatCode>0</c:formatCode>
                <c:ptCount val="4"/>
                <c:pt idx="0" formatCode="General">
                  <c:v>100</c:v>
                </c:pt>
                <c:pt idx="1">
                  <c:v>80.206999999999994</c:v>
                </c:pt>
                <c:pt idx="2">
                  <c:v>15.79</c:v>
                </c:pt>
                <c:pt idx="3">
                  <c:v>4.7699999999999996</c:v>
                </c:pt>
              </c:numCache>
            </c:numRef>
          </c:xVal>
          <c:yVal>
            <c:numRef>
              <c:f>'GC Calibration Data '!$R$6:$R$9</c:f>
              <c:numCache>
                <c:formatCode>0.00E+00</c:formatCode>
                <c:ptCount val="4"/>
                <c:pt idx="0">
                  <c:v>17760613.600000001</c:v>
                </c:pt>
                <c:pt idx="1">
                  <c:v>14914676</c:v>
                </c:pt>
                <c:pt idx="2">
                  <c:v>2991265</c:v>
                </c:pt>
                <c:pt idx="3">
                  <c:v>959013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A1-4BB2-867E-FD5705ADA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218496"/>
        <c:axId val="1210217056"/>
      </c:scatterChart>
      <c:valAx>
        <c:axId val="121021849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/>
                  <a:t>H2 Concentration, vol%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210217056"/>
        <c:crosses val="autoZero"/>
        <c:crossBetween val="midCat"/>
      </c:valAx>
      <c:valAx>
        <c:axId val="121021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/>
                  <a:t>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210218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'GC Calibration Data '!$T$6:$T$9</c:f>
              <c:numCache>
                <c:formatCode>0</c:formatCode>
                <c:ptCount val="4"/>
                <c:pt idx="0" formatCode="General">
                  <c:v>100</c:v>
                </c:pt>
                <c:pt idx="1">
                  <c:v>95.23</c:v>
                </c:pt>
                <c:pt idx="2">
                  <c:v>83.93</c:v>
                </c:pt>
                <c:pt idx="3">
                  <c:v>9.6300000000000008</c:v>
                </c:pt>
              </c:numCache>
            </c:numRef>
          </c:xVal>
          <c:yVal>
            <c:numRef>
              <c:f>'GC Calibration Data '!$T$6:$T$9</c:f>
              <c:numCache>
                <c:formatCode>0</c:formatCode>
                <c:ptCount val="4"/>
                <c:pt idx="0" formatCode="General">
                  <c:v>100</c:v>
                </c:pt>
                <c:pt idx="1">
                  <c:v>95.23</c:v>
                </c:pt>
                <c:pt idx="2">
                  <c:v>83.93</c:v>
                </c:pt>
                <c:pt idx="3">
                  <c:v>9.6300000000000008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D4-4416-B237-7EEC14563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218496"/>
        <c:axId val="1210217056"/>
      </c:scatterChart>
      <c:valAx>
        <c:axId val="121021849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/>
                  <a:t>N2 Concentration, vol%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210217056"/>
        <c:crosses val="autoZero"/>
        <c:crossBetween val="midCat"/>
      </c:valAx>
      <c:valAx>
        <c:axId val="121021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/>
                  <a:t>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210218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New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'GC Calibration Data '!$Q$6:$Q$9</c:f>
              <c:numCache>
                <c:formatCode>0</c:formatCode>
                <c:ptCount val="4"/>
                <c:pt idx="0" formatCode="General">
                  <c:v>100</c:v>
                </c:pt>
                <c:pt idx="1">
                  <c:v>80.206999999999994</c:v>
                </c:pt>
                <c:pt idx="2">
                  <c:v>15.79</c:v>
                </c:pt>
                <c:pt idx="3">
                  <c:v>4.7699999999999996</c:v>
                </c:pt>
              </c:numCache>
            </c:numRef>
          </c:xVal>
          <c:yVal>
            <c:numRef>
              <c:f>'GC Calibration Data '!$S$6:$S$9</c:f>
              <c:numCache>
                <c:formatCode>0.0000000000</c:formatCode>
                <c:ptCount val="4"/>
                <c:pt idx="0">
                  <c:v>5.6304399999999997E-6</c:v>
                </c:pt>
                <c:pt idx="1">
                  <c:v>5.3500999999999998E-6</c:v>
                </c:pt>
                <c:pt idx="2">
                  <c:v>5.2787E-6</c:v>
                </c:pt>
                <c:pt idx="3">
                  <c:v>4.9738599999999997E-6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30-4845-98B1-6A58BF259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218496"/>
        <c:axId val="1210217056"/>
      </c:scatterChart>
      <c:valAx>
        <c:axId val="121021849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/>
                  <a:t>H2 Concentration, vol%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210217056"/>
        <c:crosses val="autoZero"/>
        <c:crossBetween val="midCat"/>
      </c:valAx>
      <c:valAx>
        <c:axId val="121021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/>
                  <a:t>Response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210218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New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'GC Calibration Data '!$T$6:$T$9</c:f>
              <c:numCache>
                <c:formatCode>0</c:formatCode>
                <c:ptCount val="4"/>
                <c:pt idx="0" formatCode="General">
                  <c:v>100</c:v>
                </c:pt>
                <c:pt idx="1">
                  <c:v>95.23</c:v>
                </c:pt>
                <c:pt idx="2">
                  <c:v>83.93</c:v>
                </c:pt>
                <c:pt idx="3">
                  <c:v>9.6300000000000008</c:v>
                </c:pt>
              </c:numCache>
            </c:numRef>
          </c:xVal>
          <c:yVal>
            <c:numRef>
              <c:f>'GC Calibration Data '!$V$6:$V$9</c:f>
              <c:numCache>
                <c:formatCode>0.0000000000</c:formatCode>
                <c:ptCount val="4"/>
                <c:pt idx="0">
                  <c:v>2.0954100000000001E-7</c:v>
                </c:pt>
                <c:pt idx="1">
                  <c:v>2.0951800000000001E-7</c:v>
                </c:pt>
                <c:pt idx="2">
                  <c:v>2.08807E-7</c:v>
                </c:pt>
                <c:pt idx="3">
                  <c:v>1.88595E-7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8C-46BD-9493-0EEF9924E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218496"/>
        <c:axId val="1210217056"/>
      </c:scatterChart>
      <c:valAx>
        <c:axId val="121021849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/>
                  <a:t>N2 Concentration, vol%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210217056"/>
        <c:crosses val="autoZero"/>
        <c:crossBetween val="midCat"/>
      </c:valAx>
      <c:valAx>
        <c:axId val="121021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/>
                  <a:t>Response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210218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45236450706819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0"/>
          <c:order val="0"/>
          <c:tx>
            <c:v>R1 (Z-700A)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Reactor1!$D$110:$Z$110</c:f>
              <c:numCache>
                <c:formatCode>0.00</c:formatCode>
                <c:ptCount val="23"/>
                <c:pt idx="0">
                  <c:v>97.72848104177335</c:v>
                </c:pt>
                <c:pt idx="1">
                  <c:v>96.881258978468452</c:v>
                </c:pt>
                <c:pt idx="2">
                  <c:v>96.882478606216097</c:v>
                </c:pt>
                <c:pt idx="3">
                  <c:v>96.846169522640523</c:v>
                </c:pt>
                <c:pt idx="4">
                  <c:v>96.849353947658642</c:v>
                </c:pt>
                <c:pt idx="5">
                  <c:v>97.283906856055154</c:v>
                </c:pt>
                <c:pt idx="6">
                  <c:v>97.30677011299008</c:v>
                </c:pt>
                <c:pt idx="7">
                  <c:v>97.309692693388854</c:v>
                </c:pt>
                <c:pt idx="8">
                  <c:v>97.641423589641789</c:v>
                </c:pt>
                <c:pt idx="9">
                  <c:v>97.84253294779495</c:v>
                </c:pt>
                <c:pt idx="10">
                  <c:v>97.836222436835186</c:v>
                </c:pt>
              </c:numCache>
            </c:numRef>
          </c:xVal>
          <c:yVal>
            <c:numRef>
              <c:f>Reactor1!$D$109:$Z$109</c:f>
              <c:numCache>
                <c:formatCode>0.00</c:formatCode>
                <c:ptCount val="23"/>
                <c:pt idx="0">
                  <c:v>2.3580280378570979</c:v>
                </c:pt>
                <c:pt idx="1">
                  <c:v>3.2348746181222499</c:v>
                </c:pt>
                <c:pt idx="2">
                  <c:v>3.2318381821976838</c:v>
                </c:pt>
                <c:pt idx="3">
                  <c:v>3.266414611209238</c:v>
                </c:pt>
                <c:pt idx="4">
                  <c:v>3.2666425355871729</c:v>
                </c:pt>
                <c:pt idx="5">
                  <c:v>2.8223765035605695</c:v>
                </c:pt>
                <c:pt idx="6">
                  <c:v>2.7993928793732827</c:v>
                </c:pt>
                <c:pt idx="7">
                  <c:v>2.7963143753396915</c:v>
                </c:pt>
                <c:pt idx="8">
                  <c:v>2.4561949208965026</c:v>
                </c:pt>
                <c:pt idx="9">
                  <c:v>2.2503640891801604</c:v>
                </c:pt>
                <c:pt idx="10">
                  <c:v>2.2578698846671634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36-4DAB-A1BC-E570CD96C45A}"/>
            </c:ext>
          </c:extLst>
        </c:ser>
        <c:ser>
          <c:idx val="1"/>
          <c:order val="1"/>
          <c:tx>
            <c:v>R5 (Z-700A)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Reactor5!$D$110:$Z$110</c:f>
              <c:numCache>
                <c:formatCode>0.00</c:formatCode>
                <c:ptCount val="23"/>
                <c:pt idx="0">
                  <c:v>97.268017363458597</c:v>
                </c:pt>
                <c:pt idx="1">
                  <c:v>95.822064622456182</c:v>
                </c:pt>
                <c:pt idx="2">
                  <c:v>95.839348974857913</c:v>
                </c:pt>
                <c:pt idx="3">
                  <c:v>95.849168740156983</c:v>
                </c:pt>
                <c:pt idx="4">
                  <c:v>96.592703378279367</c:v>
                </c:pt>
                <c:pt idx="5">
                  <c:v>96.552375170864337</c:v>
                </c:pt>
                <c:pt idx="6">
                  <c:v>97.089626527890147</c:v>
                </c:pt>
                <c:pt idx="7">
                  <c:v>97.098951460587116</c:v>
                </c:pt>
                <c:pt idx="8">
                  <c:v>97.503537946657417</c:v>
                </c:pt>
              </c:numCache>
            </c:numRef>
          </c:xVal>
          <c:yVal>
            <c:numRef>
              <c:f>Reactor5!$D$109:$Z$109</c:f>
              <c:numCache>
                <c:formatCode>0.00</c:formatCode>
                <c:ptCount val="23"/>
                <c:pt idx="0">
                  <c:v>2.8274297533637736</c:v>
                </c:pt>
                <c:pt idx="1">
                  <c:v>4.3098403408323431</c:v>
                </c:pt>
                <c:pt idx="2">
                  <c:v>4.293289496595639</c:v>
                </c:pt>
                <c:pt idx="3">
                  <c:v>4.2835437329548185</c:v>
                </c:pt>
                <c:pt idx="4">
                  <c:v>3.5246222336225861</c:v>
                </c:pt>
                <c:pt idx="5">
                  <c:v>3.5670728411972177</c:v>
                </c:pt>
                <c:pt idx="6">
                  <c:v>3.0189471361016991</c:v>
                </c:pt>
                <c:pt idx="7">
                  <c:v>3.0097225393258982</c:v>
                </c:pt>
                <c:pt idx="8">
                  <c:v>2.596075972272776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36-4DAB-A1BC-E570CD96C45A}"/>
            </c:ext>
          </c:extLst>
        </c:ser>
        <c:ser>
          <c:idx val="2"/>
          <c:order val="2"/>
          <c:tx>
            <c:v>R2 (ATHOS-1)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Reactor2!$D$110:$N$110</c:f>
              <c:numCache>
                <c:formatCode>0.00</c:formatCode>
                <c:ptCount val="11"/>
                <c:pt idx="0">
                  <c:v>94.214051404765215</c:v>
                </c:pt>
                <c:pt idx="1">
                  <c:v>88.470507926680824</c:v>
                </c:pt>
                <c:pt idx="2">
                  <c:v>85.009422414884099</c:v>
                </c:pt>
                <c:pt idx="3">
                  <c:v>84.564524079799952</c:v>
                </c:pt>
                <c:pt idx="4">
                  <c:v>88.066401395370846</c:v>
                </c:pt>
                <c:pt idx="5">
                  <c:v>87.973764291405516</c:v>
                </c:pt>
                <c:pt idx="6">
                  <c:v>88.017330179592392</c:v>
                </c:pt>
                <c:pt idx="7">
                  <c:v>90.984965081382015</c:v>
                </c:pt>
                <c:pt idx="8">
                  <c:v>93.597152160670021</c:v>
                </c:pt>
                <c:pt idx="9">
                  <c:v>93.512183472967209</c:v>
                </c:pt>
              </c:numCache>
            </c:numRef>
          </c:xVal>
          <c:yVal>
            <c:numRef>
              <c:f>Reactor2!$D$109:$N$109</c:f>
              <c:numCache>
                <c:formatCode>0.00</c:formatCode>
                <c:ptCount val="11"/>
                <c:pt idx="0">
                  <c:v>5.9341508155458147</c:v>
                </c:pt>
                <c:pt idx="1">
                  <c:v>11.773673626684294</c:v>
                </c:pt>
                <c:pt idx="2">
                  <c:v>15.362916111355934</c:v>
                </c:pt>
                <c:pt idx="3">
                  <c:v>15.815996324752993</c:v>
                </c:pt>
                <c:pt idx="4">
                  <c:v>12.238371740356699</c:v>
                </c:pt>
                <c:pt idx="5">
                  <c:v>12.332800833906749</c:v>
                </c:pt>
                <c:pt idx="6">
                  <c:v>12.288955962415798</c:v>
                </c:pt>
                <c:pt idx="7">
                  <c:v>9.2561061111465275</c:v>
                </c:pt>
                <c:pt idx="8">
                  <c:v>6.5879145564327786</c:v>
                </c:pt>
                <c:pt idx="9">
                  <c:v>6.6746690622838605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F36-4DAB-A1BC-E570CD96C45A}"/>
            </c:ext>
          </c:extLst>
        </c:ser>
        <c:ser>
          <c:idx val="3"/>
          <c:order val="3"/>
          <c:tx>
            <c:v>R6 (ATHOS-1)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Reactor6!$D$110:$Z$110</c:f>
              <c:numCache>
                <c:formatCode>0.00</c:formatCode>
                <c:ptCount val="23"/>
                <c:pt idx="0">
                  <c:v>93.572645992029351</c:v>
                </c:pt>
                <c:pt idx="1">
                  <c:v>85.725888653170244</c:v>
                </c:pt>
                <c:pt idx="2">
                  <c:v>84.998885340904465</c:v>
                </c:pt>
                <c:pt idx="3">
                  <c:v>88.540114775625511</c:v>
                </c:pt>
                <c:pt idx="4">
                  <c:v>88.035883509216902</c:v>
                </c:pt>
                <c:pt idx="5">
                  <c:v>87.880760727930465</c:v>
                </c:pt>
                <c:pt idx="6">
                  <c:v>90.81900288653739</c:v>
                </c:pt>
                <c:pt idx="7">
                  <c:v>90.737785087759988</c:v>
                </c:pt>
                <c:pt idx="8">
                  <c:v>93.31101470180387</c:v>
                </c:pt>
                <c:pt idx="9">
                  <c:v>94.801062988510139</c:v>
                </c:pt>
              </c:numCache>
            </c:numRef>
          </c:xVal>
          <c:yVal>
            <c:numRef>
              <c:f>Reactor6!$D$109:$Z$109</c:f>
              <c:numCache>
                <c:formatCode>0.00</c:formatCode>
                <c:ptCount val="23"/>
                <c:pt idx="0">
                  <c:v>6.4875854750907944</c:v>
                </c:pt>
                <c:pt idx="1">
                  <c:v>14.626673512661863</c:v>
                </c:pt>
                <c:pt idx="2">
                  <c:v>15.371643965636409</c:v>
                </c:pt>
                <c:pt idx="3">
                  <c:v>11.753805771773621</c:v>
                </c:pt>
                <c:pt idx="4">
                  <c:v>12.269504371655023</c:v>
                </c:pt>
                <c:pt idx="5">
                  <c:v>12.428255186110739</c:v>
                </c:pt>
                <c:pt idx="6">
                  <c:v>9.4249050556519975</c:v>
                </c:pt>
                <c:pt idx="7">
                  <c:v>9.5087010532942671</c:v>
                </c:pt>
                <c:pt idx="8">
                  <c:v>6.8798735761753171</c:v>
                </c:pt>
                <c:pt idx="9">
                  <c:v>5.3575042409279057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F36-4DAB-A1BC-E570CD96C45A}"/>
            </c:ext>
          </c:extLst>
        </c:ser>
        <c:ser>
          <c:idx val="5"/>
          <c:order val="4"/>
          <c:tx>
            <c:v>R7 (ATHOS-3)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8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C74-48EB-A40D-F3F66D00437F}"/>
              </c:ext>
            </c:extLst>
          </c:dPt>
          <c:xVal>
            <c:numRef>
              <c:f>Reactor7!$D$110:$Z$110</c:f>
              <c:numCache>
                <c:formatCode>0.00</c:formatCode>
                <c:ptCount val="23"/>
                <c:pt idx="0">
                  <c:v>85.236597561107786</c:v>
                </c:pt>
                <c:pt idx="1">
                  <c:v>69.948330051261792</c:v>
                </c:pt>
                <c:pt idx="2">
                  <c:v>67.351474035393977</c:v>
                </c:pt>
                <c:pt idx="3">
                  <c:v>70.110470681361662</c:v>
                </c:pt>
                <c:pt idx="4">
                  <c:v>69.900343771786993</c:v>
                </c:pt>
                <c:pt idx="5">
                  <c:v>69.591370232765513</c:v>
                </c:pt>
                <c:pt idx="6">
                  <c:v>73.35983369276363</c:v>
                </c:pt>
                <c:pt idx="7">
                  <c:v>73.333467434979781</c:v>
                </c:pt>
                <c:pt idx="8">
                  <c:v>78.343293282600541</c:v>
                </c:pt>
                <c:pt idx="9">
                  <c:v>81.796365534975649</c:v>
                </c:pt>
                <c:pt idx="10">
                  <c:v>81.287032109003007</c:v>
                </c:pt>
                <c:pt idx="11">
                  <c:v>81.425659311126424</c:v>
                </c:pt>
                <c:pt idx="13">
                  <c:v>73.247917962850622</c:v>
                </c:pt>
                <c:pt idx="14">
                  <c:v>73.215402188749664</c:v>
                </c:pt>
                <c:pt idx="15">
                  <c:v>73.247093055150216</c:v>
                </c:pt>
                <c:pt idx="16">
                  <c:v>73.37366948975793</c:v>
                </c:pt>
                <c:pt idx="17">
                  <c:v>87.476906875800807</c:v>
                </c:pt>
                <c:pt idx="18">
                  <c:v>0</c:v>
                </c:pt>
              </c:numCache>
            </c:numRef>
          </c:xVal>
          <c:yVal>
            <c:numRef>
              <c:f>Reactor7!$D$109:$Z$109</c:f>
              <c:numCache>
                <c:formatCode>0.00</c:formatCode>
                <c:ptCount val="23"/>
                <c:pt idx="0">
                  <c:v>15.126448268894464</c:v>
                </c:pt>
                <c:pt idx="1">
                  <c:v>30.747998262954919</c:v>
                </c:pt>
                <c:pt idx="2">
                  <c:v>33.398787560250241</c:v>
                </c:pt>
                <c:pt idx="3">
                  <c:v>30.578821977360715</c:v>
                </c:pt>
                <c:pt idx="4">
                  <c:v>30.793220781301976</c:v>
                </c:pt>
                <c:pt idx="5">
                  <c:v>31.108787784892492</c:v>
                </c:pt>
                <c:pt idx="6">
                  <c:v>27.258748373076198</c:v>
                </c:pt>
                <c:pt idx="7">
                  <c:v>27.285556044975827</c:v>
                </c:pt>
                <c:pt idx="8">
                  <c:v>22.167912196875456</c:v>
                </c:pt>
                <c:pt idx="9">
                  <c:v>18.640553715149487</c:v>
                </c:pt>
                <c:pt idx="10">
                  <c:v>19.16161425106749</c:v>
                </c:pt>
                <c:pt idx="11">
                  <c:v>19.019734891470321</c:v>
                </c:pt>
                <c:pt idx="13">
                  <c:v>27.372905569140823</c:v>
                </c:pt>
                <c:pt idx="14">
                  <c:v>27.406123999431031</c:v>
                </c:pt>
                <c:pt idx="15">
                  <c:v>27.373509268435939</c:v>
                </c:pt>
                <c:pt idx="16">
                  <c:v>27.245244028827237</c:v>
                </c:pt>
                <c:pt idx="17">
                  <c:v>12.837438110573935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F36-4DAB-A1BC-E570CD96C45A}"/>
            </c:ext>
          </c:extLst>
        </c:ser>
        <c:ser>
          <c:idx val="4"/>
          <c:order val="5"/>
          <c:tx>
            <c:v>R3 (ATHOS-3)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Reactor3!$D$110:$K$110</c:f>
              <c:numCache>
                <c:formatCode>0.00</c:formatCode>
                <c:ptCount val="8"/>
                <c:pt idx="0">
                  <c:v>69.982379608038855</c:v>
                </c:pt>
                <c:pt idx="1">
                  <c:v>67.7908294888651</c:v>
                </c:pt>
                <c:pt idx="2">
                  <c:v>66.646383237470587</c:v>
                </c:pt>
                <c:pt idx="3">
                  <c:v>69.803511653968144</c:v>
                </c:pt>
                <c:pt idx="4">
                  <c:v>69.353342210613363</c:v>
                </c:pt>
                <c:pt idx="5">
                  <c:v>69.456723541661546</c:v>
                </c:pt>
                <c:pt idx="6">
                  <c:v>73.364487620791806</c:v>
                </c:pt>
                <c:pt idx="7">
                  <c:v>77.709511603127169</c:v>
                </c:pt>
              </c:numCache>
            </c:numRef>
          </c:xVal>
          <c:yVal>
            <c:numRef>
              <c:f>Reactor3!$D$109:$K$109</c:f>
              <c:numCache>
                <c:formatCode>0.00</c:formatCode>
                <c:ptCount val="8"/>
                <c:pt idx="0">
                  <c:v>30.712124655366409</c:v>
                </c:pt>
                <c:pt idx="1">
                  <c:v>32.949814646334374</c:v>
                </c:pt>
                <c:pt idx="2">
                  <c:v>34.117719616497766</c:v>
                </c:pt>
                <c:pt idx="3">
                  <c:v>30.891632958899827</c:v>
                </c:pt>
                <c:pt idx="4">
                  <c:v>31.351662664738015</c:v>
                </c:pt>
                <c:pt idx="5">
                  <c:v>31.245606415635578</c:v>
                </c:pt>
                <c:pt idx="6">
                  <c:v>27.253286828483006</c:v>
                </c:pt>
                <c:pt idx="7">
                  <c:v>22.815468930583286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2AA-4C88-97DF-8D23714F6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</c:scatterChart>
      <c:valAx>
        <c:axId val="2015652768"/>
        <c:scaling>
          <c:orientation val="minMax"/>
          <c:max val="100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Yield</a:t>
                </a:r>
                <a:r>
                  <a:rPr lang="en-IN" sz="1200" b="1" baseline="0">
                    <a:latin typeface="Aptos" panose="020B0004020202020204" pitchFamily="34" charset="0"/>
                  </a:rPr>
                  <a:t> (C5+), wof%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3761790302527975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5"/>
      </c:valAx>
      <c:valAx>
        <c:axId val="201565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Gas Yield (C1-C4), wof%</a:t>
                </a:r>
              </a:p>
            </c:rich>
          </c:tx>
          <c:layout>
            <c:manualLayout>
              <c:xMode val="edge"/>
              <c:yMode val="edge"/>
              <c:x val="3.5083410313936934E-2"/>
              <c:y val="0.29955445792111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4074929590815677"/>
          <c:y val="6.5724177943677575E-2"/>
          <c:w val="0.85458462025701309"/>
          <c:h val="0.126645040185357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45236450706819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1"/>
          <c:order val="1"/>
          <c:tx>
            <c:v>R5 (Z-700A)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Reactor5!$D$110:$Z$110</c:f>
              <c:numCache>
                <c:formatCode>0.00</c:formatCode>
                <c:ptCount val="23"/>
                <c:pt idx="0">
                  <c:v>97.268017363458597</c:v>
                </c:pt>
                <c:pt idx="1">
                  <c:v>95.822064622456182</c:v>
                </c:pt>
                <c:pt idx="2">
                  <c:v>95.839348974857913</c:v>
                </c:pt>
                <c:pt idx="3">
                  <c:v>95.849168740156983</c:v>
                </c:pt>
                <c:pt idx="4">
                  <c:v>96.592703378279367</c:v>
                </c:pt>
                <c:pt idx="5">
                  <c:v>96.552375170864337</c:v>
                </c:pt>
                <c:pt idx="6">
                  <c:v>97.089626527890147</c:v>
                </c:pt>
                <c:pt idx="7">
                  <c:v>97.098951460587116</c:v>
                </c:pt>
                <c:pt idx="8">
                  <c:v>97.503537946657417</c:v>
                </c:pt>
              </c:numCache>
            </c:numRef>
          </c:xVal>
          <c:yVal>
            <c:numRef>
              <c:f>Reactor5!$D$39:$Z$39</c:f>
              <c:numCache>
                <c:formatCode>0</c:formatCode>
                <c:ptCount val="23"/>
                <c:pt idx="0" formatCode="0.00">
                  <c:v>42.239913999999999</c:v>
                </c:pt>
                <c:pt idx="1">
                  <c:v>45.756011999999998</c:v>
                </c:pt>
                <c:pt idx="2">
                  <c:v>45.731181999999997</c:v>
                </c:pt>
                <c:pt idx="3">
                  <c:v>45.640208999999999</c:v>
                </c:pt>
                <c:pt idx="4">
                  <c:v>44.206524000000002</c:v>
                </c:pt>
                <c:pt idx="5">
                  <c:v>44.234703000000003</c:v>
                </c:pt>
                <c:pt idx="6">
                  <c:v>43.171337000000001</c:v>
                </c:pt>
                <c:pt idx="7">
                  <c:v>43.165585</c:v>
                </c:pt>
                <c:pt idx="8">
                  <c:v>42.338138999999998</c:v>
                </c:pt>
                <c:pt idx="9">
                  <c:v>86.230721000000003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8F-4783-8D44-80F98115F303}"/>
            </c:ext>
          </c:extLst>
        </c:ser>
        <c:ser>
          <c:idx val="3"/>
          <c:order val="3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Reactor6!$D$110:$Z$110</c:f>
              <c:numCache>
                <c:formatCode>0.00</c:formatCode>
                <c:ptCount val="23"/>
                <c:pt idx="0">
                  <c:v>93.572645992029351</c:v>
                </c:pt>
                <c:pt idx="1">
                  <c:v>85.725888653170244</c:v>
                </c:pt>
                <c:pt idx="2">
                  <c:v>84.998885340904465</c:v>
                </c:pt>
                <c:pt idx="3">
                  <c:v>88.540114775625511</c:v>
                </c:pt>
                <c:pt idx="4">
                  <c:v>88.035883509216902</c:v>
                </c:pt>
                <c:pt idx="5">
                  <c:v>87.880760727930465</c:v>
                </c:pt>
                <c:pt idx="6">
                  <c:v>90.81900288653739</c:v>
                </c:pt>
                <c:pt idx="7">
                  <c:v>90.737785087759988</c:v>
                </c:pt>
                <c:pt idx="8">
                  <c:v>93.31101470180387</c:v>
                </c:pt>
                <c:pt idx="9">
                  <c:v>94.801062988510139</c:v>
                </c:pt>
              </c:numCache>
            </c:numRef>
          </c:xVal>
          <c:yVal>
            <c:numRef>
              <c:f>Reactor6!$D$39:$Z$39</c:f>
              <c:numCache>
                <c:formatCode>0</c:formatCode>
                <c:ptCount val="23"/>
                <c:pt idx="0" formatCode="0.00">
                  <c:v>46.194629999999997</c:v>
                </c:pt>
                <c:pt idx="1">
                  <c:v>60.303908999999997</c:v>
                </c:pt>
                <c:pt idx="2">
                  <c:v>60.305832000000002</c:v>
                </c:pt>
                <c:pt idx="3">
                  <c:v>55.147860999999999</c:v>
                </c:pt>
                <c:pt idx="4">
                  <c:v>55.036212999999996</c:v>
                </c:pt>
                <c:pt idx="5">
                  <c:v>55.221187999999998</c:v>
                </c:pt>
                <c:pt idx="6">
                  <c:v>51.406573999999999</c:v>
                </c:pt>
                <c:pt idx="7">
                  <c:v>51.551124999999999</c:v>
                </c:pt>
                <c:pt idx="8">
                  <c:v>48.165343999999997</c:v>
                </c:pt>
                <c:pt idx="9">
                  <c:v>46.067920999999998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78F-4783-8D44-80F98115F303}"/>
            </c:ext>
          </c:extLst>
        </c:ser>
        <c:ser>
          <c:idx val="5"/>
          <c:order val="4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Reactor7!$D$110:$Z$110</c:f>
              <c:numCache>
                <c:formatCode>0.00</c:formatCode>
                <c:ptCount val="23"/>
                <c:pt idx="0">
                  <c:v>85.236597561107786</c:v>
                </c:pt>
                <c:pt idx="1">
                  <c:v>69.948330051261792</c:v>
                </c:pt>
                <c:pt idx="2">
                  <c:v>67.351474035393977</c:v>
                </c:pt>
                <c:pt idx="3">
                  <c:v>70.110470681361662</c:v>
                </c:pt>
                <c:pt idx="4">
                  <c:v>69.900343771786993</c:v>
                </c:pt>
                <c:pt idx="5">
                  <c:v>69.591370232765513</c:v>
                </c:pt>
                <c:pt idx="6">
                  <c:v>73.35983369276363</c:v>
                </c:pt>
                <c:pt idx="7">
                  <c:v>73.333467434979781</c:v>
                </c:pt>
                <c:pt idx="8">
                  <c:v>78.343293282600541</c:v>
                </c:pt>
                <c:pt idx="9">
                  <c:v>81.796365534975649</c:v>
                </c:pt>
                <c:pt idx="10">
                  <c:v>81.287032109003007</c:v>
                </c:pt>
                <c:pt idx="11">
                  <c:v>81.425659311126424</c:v>
                </c:pt>
                <c:pt idx="13">
                  <c:v>73.247917962850622</c:v>
                </c:pt>
                <c:pt idx="14">
                  <c:v>73.215402188749664</c:v>
                </c:pt>
                <c:pt idx="15">
                  <c:v>73.247093055150216</c:v>
                </c:pt>
                <c:pt idx="16">
                  <c:v>73.37366948975793</c:v>
                </c:pt>
                <c:pt idx="17">
                  <c:v>87.476906875800807</c:v>
                </c:pt>
                <c:pt idx="18">
                  <c:v>0</c:v>
                </c:pt>
              </c:numCache>
            </c:numRef>
          </c:xVal>
          <c:yVal>
            <c:numRef>
              <c:f>Reactor7!$D$39:$Z$39</c:f>
              <c:numCache>
                <c:formatCode>0</c:formatCode>
                <c:ptCount val="23"/>
                <c:pt idx="0" formatCode="0.00">
                  <c:v>59.068134000000001</c:v>
                </c:pt>
                <c:pt idx="1">
                  <c:v>76.659554</c:v>
                </c:pt>
                <c:pt idx="2">
                  <c:v>78.560066000000006</c:v>
                </c:pt>
                <c:pt idx="3">
                  <c:v>75.028892999999997</c:v>
                </c:pt>
                <c:pt idx="4">
                  <c:v>75.232285000000005</c:v>
                </c:pt>
                <c:pt idx="5">
                  <c:v>75.571297000000001</c:v>
                </c:pt>
                <c:pt idx="6">
                  <c:v>71.397735999999995</c:v>
                </c:pt>
                <c:pt idx="7">
                  <c:v>71.444748000000004</c:v>
                </c:pt>
                <c:pt idx="8">
                  <c:v>65.661247000000003</c:v>
                </c:pt>
                <c:pt idx="9">
                  <c:v>61.854472999999999</c:v>
                </c:pt>
                <c:pt idx="10">
                  <c:v>62.459952999999999</c:v>
                </c:pt>
                <c:pt idx="11">
                  <c:v>62.298180000000002</c:v>
                </c:pt>
                <c:pt idx="12">
                  <c:v>71.500388999999998</c:v>
                </c:pt>
                <c:pt idx="13">
                  <c:v>71.541573</c:v>
                </c:pt>
                <c:pt idx="14">
                  <c:v>71.581695999999994</c:v>
                </c:pt>
                <c:pt idx="15">
                  <c:v>71.538826</c:v>
                </c:pt>
                <c:pt idx="16">
                  <c:v>71.438972000000007</c:v>
                </c:pt>
                <c:pt idx="17">
                  <c:v>55.101421000000002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78F-4783-8D44-80F98115F303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Plots!$AN$65:$AP$65</c:f>
              <c:numCache>
                <c:formatCode>0.00</c:formatCode>
                <c:ptCount val="3"/>
                <c:pt idx="0">
                  <c:v>94.567132299999997</c:v>
                </c:pt>
                <c:pt idx="1">
                  <c:v>94.175153280000004</c:v>
                </c:pt>
                <c:pt idx="2">
                  <c:v>95.711597519999998</c:v>
                </c:pt>
              </c:numCache>
            </c:numRef>
          </c:xVal>
          <c:yVal>
            <c:numRef>
              <c:f>Plots!$AN$66:$AP$66</c:f>
              <c:numCache>
                <c:formatCode>0</c:formatCode>
                <c:ptCount val="3"/>
                <c:pt idx="0">
                  <c:v>57.485621479999999</c:v>
                </c:pt>
                <c:pt idx="1">
                  <c:v>59.105136559999998</c:v>
                </c:pt>
                <c:pt idx="2">
                  <c:v>56.668219860000001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33-4BCD-9D81-DDDFAE19DA6E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Plots!$AN$63:$AP$63</c:f>
              <c:numCache>
                <c:formatCode>0.00</c:formatCode>
                <c:ptCount val="3"/>
                <c:pt idx="0">
                  <c:v>96.162680829999999</c:v>
                </c:pt>
                <c:pt idx="1">
                  <c:v>95.971500230000004</c:v>
                </c:pt>
                <c:pt idx="2">
                  <c:v>95.711597519999998</c:v>
                </c:pt>
              </c:numCache>
            </c:numRef>
          </c:xVal>
          <c:yVal>
            <c:numRef>
              <c:f>Plots!$AN$64:$AP$64</c:f>
              <c:numCache>
                <c:formatCode>0</c:formatCode>
                <c:ptCount val="3"/>
                <c:pt idx="0">
                  <c:v>53.664857740000002</c:v>
                </c:pt>
                <c:pt idx="1">
                  <c:v>55.137259010000001</c:v>
                </c:pt>
                <c:pt idx="2">
                  <c:v>56.668219860000001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33-4BCD-9D81-DDDFAE19DA6E}"/>
            </c:ext>
          </c:extLst>
        </c:ser>
        <c:ser>
          <c:idx val="8"/>
          <c:order val="8"/>
          <c:spPr>
            <a:ln w="25400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Plots!$AN$61:$AP$61</c:f>
              <c:numCache>
                <c:formatCode>0.00</c:formatCode>
                <c:ptCount val="3"/>
                <c:pt idx="0">
                  <c:v>95.48120668</c:v>
                </c:pt>
                <c:pt idx="1">
                  <c:v>95.214925559999998</c:v>
                </c:pt>
                <c:pt idx="2">
                  <c:v>94.854898449999993</c:v>
                </c:pt>
              </c:numCache>
            </c:numRef>
          </c:xVal>
          <c:yVal>
            <c:numRef>
              <c:f>Plots!$AN$62:$AP$62</c:f>
              <c:numCache>
                <c:formatCode>0</c:formatCode>
                <c:ptCount val="3"/>
                <c:pt idx="0">
                  <c:v>54.5337721</c:v>
                </c:pt>
                <c:pt idx="1">
                  <c:v>56.059127529999998</c:v>
                </c:pt>
                <c:pt idx="2">
                  <c:v>57.609734690000003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E33-4BCD-9D81-DDDFAE19D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R1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1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Reactor1!$D$110:$Z$110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97.72848104177335</c:v>
                      </c:pt>
                      <c:pt idx="1">
                        <c:v>96.881258978468452</c:v>
                      </c:pt>
                      <c:pt idx="2">
                        <c:v>96.882478606216097</c:v>
                      </c:pt>
                      <c:pt idx="3">
                        <c:v>96.846169522640523</c:v>
                      </c:pt>
                      <c:pt idx="4">
                        <c:v>96.849353947658642</c:v>
                      </c:pt>
                      <c:pt idx="5">
                        <c:v>97.283906856055154</c:v>
                      </c:pt>
                      <c:pt idx="6">
                        <c:v>97.30677011299008</c:v>
                      </c:pt>
                      <c:pt idx="7">
                        <c:v>97.309692693388854</c:v>
                      </c:pt>
                      <c:pt idx="8">
                        <c:v>97.641423589641789</c:v>
                      </c:pt>
                      <c:pt idx="9">
                        <c:v>97.84253294779495</c:v>
                      </c:pt>
                      <c:pt idx="10">
                        <c:v>97.836222436835186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Reactor1!$D$39:$N$39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0">
                        <c:v>41.119297000000003</c:v>
                      </c:pt>
                      <c:pt idx="1">
                        <c:v>43.404808000000003</c:v>
                      </c:pt>
                      <c:pt idx="2">
                        <c:v>43.299540999999998</c:v>
                      </c:pt>
                      <c:pt idx="3">
                        <c:v>43.266727000000003</c:v>
                      </c:pt>
                      <c:pt idx="4">
                        <c:v>43.381675999999999</c:v>
                      </c:pt>
                      <c:pt idx="5">
                        <c:v>42.588988999999998</c:v>
                      </c:pt>
                      <c:pt idx="6">
                        <c:v>42.599303999999997</c:v>
                      </c:pt>
                      <c:pt idx="7">
                        <c:v>42.601185000000001</c:v>
                      </c:pt>
                      <c:pt idx="8">
                        <c:v>41.942050999999999</c:v>
                      </c:pt>
                      <c:pt idx="9" formatCode="0">
                        <c:v>41.463332999999999</c:v>
                      </c:pt>
                      <c:pt idx="10" formatCode="0">
                        <c:v>41.551032999999997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878F-4783-8D44-80F98115F30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R2 (ATHOS-1)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94.214051404765215</c:v>
                      </c:pt>
                      <c:pt idx="1">
                        <c:v>88.470507926680824</c:v>
                      </c:pt>
                      <c:pt idx="2">
                        <c:v>85.009422414884099</c:v>
                      </c:pt>
                      <c:pt idx="3">
                        <c:v>84.564524079799952</c:v>
                      </c:pt>
                      <c:pt idx="4">
                        <c:v>88.066401395370846</c:v>
                      </c:pt>
                      <c:pt idx="5">
                        <c:v>87.973764291405516</c:v>
                      </c:pt>
                      <c:pt idx="6">
                        <c:v>88.017330179592392</c:v>
                      </c:pt>
                      <c:pt idx="7">
                        <c:v>90.984965081382015</c:v>
                      </c:pt>
                      <c:pt idx="8">
                        <c:v>93.597152160670021</c:v>
                      </c:pt>
                      <c:pt idx="9">
                        <c:v>93.512183472967209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Reactor2!$D$39:$Z$39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 formatCode="0.00">
                        <c:v>47.755909000000003</c:v>
                      </c:pt>
                      <c:pt idx="1">
                        <c:v>54.669144000000003</c:v>
                      </c:pt>
                      <c:pt idx="2">
                        <c:v>58.715190999999997</c:v>
                      </c:pt>
                      <c:pt idx="3">
                        <c:v>58.837645999999999</c:v>
                      </c:pt>
                      <c:pt idx="4">
                        <c:v>54.550499000000002</c:v>
                      </c:pt>
                      <c:pt idx="5">
                        <c:v>54.661957000000001</c:v>
                      </c:pt>
                      <c:pt idx="6">
                        <c:v>54.634132000000001</c:v>
                      </c:pt>
                      <c:pt idx="7">
                        <c:v>50.890472000000003</c:v>
                      </c:pt>
                      <c:pt idx="8">
                        <c:v>47.520659999999999</c:v>
                      </c:pt>
                      <c:pt idx="9">
                        <c:v>47.628494000000003</c:v>
                      </c:pt>
                      <c:pt idx="10">
                        <c:v>84.516463999999999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78F-4783-8D44-80F98115F303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R3 (ATHOS-3)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rgbClr val="C0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69.982379608038855</c:v>
                      </c:pt>
                      <c:pt idx="1">
                        <c:v>67.7908294888651</c:v>
                      </c:pt>
                      <c:pt idx="2">
                        <c:v>66.646383237470587</c:v>
                      </c:pt>
                      <c:pt idx="3">
                        <c:v>69.803511653968144</c:v>
                      </c:pt>
                      <c:pt idx="4">
                        <c:v>69.353342210613363</c:v>
                      </c:pt>
                      <c:pt idx="5">
                        <c:v>69.456723541661546</c:v>
                      </c:pt>
                      <c:pt idx="6">
                        <c:v>73.364487620791806</c:v>
                      </c:pt>
                      <c:pt idx="7">
                        <c:v>77.709511603127169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Reactor3!$D$39:$Z$39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 formatCode="0.00">
                        <c:v>76.392837999999998</c:v>
                      </c:pt>
                      <c:pt idx="1">
                        <c:v>78.203963999999999</c:v>
                      </c:pt>
                      <c:pt idx="2">
                        <c:v>78.930344000000005</c:v>
                      </c:pt>
                      <c:pt idx="3">
                        <c:v>75.380820999999997</c:v>
                      </c:pt>
                      <c:pt idx="4">
                        <c:v>75.883330999999998</c:v>
                      </c:pt>
                      <c:pt idx="5">
                        <c:v>75.758658999999994</c:v>
                      </c:pt>
                      <c:pt idx="6">
                        <c:v>71.458838999999998</c:v>
                      </c:pt>
                      <c:pt idx="7">
                        <c:v>66.482963999999996</c:v>
                      </c:pt>
                      <c:pt idx="8">
                        <c:v>89.387978000000004</c:v>
                      </c:pt>
                      <c:pt idx="9">
                        <c:v>79.209663000000006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2C9-4AF1-996F-9D36D204148A}"/>
                  </c:ext>
                </c:extLst>
              </c15:ser>
            </c15:filteredScatterSeries>
          </c:ext>
        </c:extLst>
      </c:scatterChart>
      <c:valAx>
        <c:axId val="2015652768"/>
        <c:scaling>
          <c:orientation val="minMax"/>
          <c:max val="100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Yield</a:t>
                </a:r>
                <a:r>
                  <a:rPr lang="en-IN" sz="1200" b="1" baseline="0">
                    <a:latin typeface="Aptos" panose="020B0004020202020204" pitchFamily="34" charset="0"/>
                  </a:rPr>
                  <a:t> (C5+), wof%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3761790302527975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5"/>
      </c:valAx>
      <c:valAx>
        <c:axId val="201565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RON</a:t>
                </a:r>
              </a:p>
            </c:rich>
          </c:tx>
          <c:layout>
            <c:manualLayout>
              <c:xMode val="edge"/>
              <c:yMode val="edge"/>
              <c:x val="2.5761742778638221E-2"/>
              <c:y val="0.46344683740940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3841625399074167"/>
          <c:y val="6.5724177943677575E-2"/>
          <c:w val="0.75085855769692356"/>
          <c:h val="0.134483160972105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45236450706819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0"/>
          <c:order val="0"/>
          <c:tx>
            <c:v>R1 (Z-700A)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Reactor1!$D$22:$Z$22</c:f>
              <c:numCache>
                <c:formatCode>0</c:formatCode>
                <c:ptCount val="23"/>
                <c:pt idx="0">
                  <c:v>29.612500000046566</c:v>
                </c:pt>
                <c:pt idx="1">
                  <c:v>54.127500000060536</c:v>
                </c:pt>
                <c:pt idx="2">
                  <c:v>70.663888888899237</c:v>
                </c:pt>
                <c:pt idx="3">
                  <c:v>75.41861111111939</c:v>
                </c:pt>
                <c:pt idx="4">
                  <c:v>91.954722222290002</c:v>
                </c:pt>
                <c:pt idx="5">
                  <c:v>108.4911111111287</c:v>
                </c:pt>
                <c:pt idx="6">
                  <c:v>125.02750000014203</c:v>
                </c:pt>
                <c:pt idx="7">
                  <c:v>141.56416666664882</c:v>
                </c:pt>
                <c:pt idx="8">
                  <c:v>158.10111111117294</c:v>
                </c:pt>
                <c:pt idx="9">
                  <c:v>174.63750000001164</c:v>
                </c:pt>
                <c:pt idx="10">
                  <c:v>191.17388888902497</c:v>
                </c:pt>
                <c:pt idx="11">
                  <c:v>207.71027777786367</c:v>
                </c:pt>
              </c:numCache>
            </c:numRef>
          </c:xVal>
          <c:yVal>
            <c:numRef>
              <c:f>Reactor1!$D$109:$Z$109</c:f>
              <c:numCache>
                <c:formatCode>0.00</c:formatCode>
                <c:ptCount val="23"/>
                <c:pt idx="0">
                  <c:v>2.3580280378570979</c:v>
                </c:pt>
                <c:pt idx="1">
                  <c:v>3.2348746181222499</c:v>
                </c:pt>
                <c:pt idx="2">
                  <c:v>3.2318381821976838</c:v>
                </c:pt>
                <c:pt idx="3">
                  <c:v>3.266414611209238</c:v>
                </c:pt>
                <c:pt idx="4">
                  <c:v>3.2666425355871729</c:v>
                </c:pt>
                <c:pt idx="5">
                  <c:v>2.8223765035605695</c:v>
                </c:pt>
                <c:pt idx="6">
                  <c:v>2.7993928793732827</c:v>
                </c:pt>
                <c:pt idx="7">
                  <c:v>2.7963143753396915</c:v>
                </c:pt>
                <c:pt idx="8">
                  <c:v>2.4561949208965026</c:v>
                </c:pt>
                <c:pt idx="9">
                  <c:v>2.2503640891801604</c:v>
                </c:pt>
                <c:pt idx="10">
                  <c:v>2.2578698846671634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23-4042-9862-84755FF7C6B1}"/>
            </c:ext>
          </c:extLst>
        </c:ser>
        <c:ser>
          <c:idx val="1"/>
          <c:order val="1"/>
          <c:tx>
            <c:v>R5 (Z-700A)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Reactor5!$D$22:$Z$22</c:f>
              <c:numCache>
                <c:formatCode>0</c:formatCode>
                <c:ptCount val="23"/>
                <c:pt idx="0">
                  <c:v>37.560277777898591</c:v>
                </c:pt>
                <c:pt idx="1">
                  <c:v>62.395555555645842</c:v>
                </c:pt>
                <c:pt idx="2">
                  <c:v>83.686666666704696</c:v>
                </c:pt>
                <c:pt idx="3">
                  <c:v>100.2230555555434</c:v>
                </c:pt>
                <c:pt idx="4">
                  <c:v>116.75944444455672</c:v>
                </c:pt>
                <c:pt idx="5">
                  <c:v>133.29611111123813</c:v>
                </c:pt>
                <c:pt idx="6">
                  <c:v>149.83277777791955</c:v>
                </c:pt>
                <c:pt idx="7">
                  <c:v>166.36916666675825</c:v>
                </c:pt>
                <c:pt idx="8">
                  <c:v>182.90555555559695</c:v>
                </c:pt>
                <c:pt idx="9">
                  <c:v>199.44194444443565</c:v>
                </c:pt>
              </c:numCache>
            </c:numRef>
          </c:xVal>
          <c:yVal>
            <c:numRef>
              <c:f>Reactor5!$D$109:$Z$109</c:f>
              <c:numCache>
                <c:formatCode>0.00</c:formatCode>
                <c:ptCount val="23"/>
                <c:pt idx="0">
                  <c:v>2.8274297533637736</c:v>
                </c:pt>
                <c:pt idx="1">
                  <c:v>4.3098403408323431</c:v>
                </c:pt>
                <c:pt idx="2">
                  <c:v>4.293289496595639</c:v>
                </c:pt>
                <c:pt idx="3">
                  <c:v>4.2835437329548185</c:v>
                </c:pt>
                <c:pt idx="4">
                  <c:v>3.5246222336225861</c:v>
                </c:pt>
                <c:pt idx="5">
                  <c:v>3.5670728411972177</c:v>
                </c:pt>
                <c:pt idx="6">
                  <c:v>3.0189471361016991</c:v>
                </c:pt>
                <c:pt idx="7">
                  <c:v>3.0097225393258982</c:v>
                </c:pt>
                <c:pt idx="8">
                  <c:v>2.596075972272776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23-4042-9862-84755FF7C6B1}"/>
            </c:ext>
          </c:extLst>
        </c:ser>
        <c:ser>
          <c:idx val="2"/>
          <c:order val="2"/>
          <c:tx>
            <c:v>R2 (ATHOS-1)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Reactor2!$D$22:$Z$22</c:f>
              <c:numCache>
                <c:formatCode>0</c:formatCode>
                <c:ptCount val="23"/>
                <c:pt idx="0">
                  <c:v>31.679444444482215</c:v>
                </c:pt>
                <c:pt idx="1">
                  <c:v>56.194444444496185</c:v>
                </c:pt>
                <c:pt idx="2">
                  <c:v>77.485555555555038</c:v>
                </c:pt>
                <c:pt idx="3">
                  <c:v>94.022222222236451</c:v>
                </c:pt>
                <c:pt idx="4">
                  <c:v>110.55861111124977</c:v>
                </c:pt>
                <c:pt idx="5">
                  <c:v>127.09472222224576</c:v>
                </c:pt>
                <c:pt idx="6">
                  <c:v>143.63138888892718</c:v>
                </c:pt>
                <c:pt idx="7">
                  <c:v>160.16805555560859</c:v>
                </c:pt>
                <c:pt idx="8">
                  <c:v>176.7041666667792</c:v>
                </c:pt>
                <c:pt idx="9">
                  <c:v>193.24083333346061</c:v>
                </c:pt>
                <c:pt idx="10">
                  <c:v>209.77722222229932</c:v>
                </c:pt>
              </c:numCache>
            </c:numRef>
          </c:xVal>
          <c:yVal>
            <c:numRef>
              <c:f>Reactor2!$D$109:$Z$109</c:f>
              <c:numCache>
                <c:formatCode>0.00</c:formatCode>
                <c:ptCount val="23"/>
                <c:pt idx="0">
                  <c:v>5.9341508155458147</c:v>
                </c:pt>
                <c:pt idx="1">
                  <c:v>11.773673626684294</c:v>
                </c:pt>
                <c:pt idx="2">
                  <c:v>15.362916111355934</c:v>
                </c:pt>
                <c:pt idx="3">
                  <c:v>15.815996324752993</c:v>
                </c:pt>
                <c:pt idx="4">
                  <c:v>12.238371740356699</c:v>
                </c:pt>
                <c:pt idx="5">
                  <c:v>12.332800833906749</c:v>
                </c:pt>
                <c:pt idx="6">
                  <c:v>12.288955962415798</c:v>
                </c:pt>
                <c:pt idx="7">
                  <c:v>9.2561061111465275</c:v>
                </c:pt>
                <c:pt idx="8">
                  <c:v>6.5879145564327786</c:v>
                </c:pt>
                <c:pt idx="9">
                  <c:v>6.6746690622838605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B23-4042-9862-84755FF7C6B1}"/>
            </c:ext>
          </c:extLst>
        </c:ser>
        <c:ser>
          <c:idx val="3"/>
          <c:order val="3"/>
          <c:tx>
            <c:v>R6 (ATHOS-1)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Reactor6!$D$22:$Z$22</c:f>
              <c:numCache>
                <c:formatCode>0</c:formatCode>
                <c:ptCount val="23"/>
                <c:pt idx="0">
                  <c:v>39.62722222233424</c:v>
                </c:pt>
                <c:pt idx="1">
                  <c:v>64.462777777749579</c:v>
                </c:pt>
                <c:pt idx="2">
                  <c:v>85.753611111140344</c:v>
                </c:pt>
                <c:pt idx="3">
                  <c:v>102.29027777782176</c:v>
                </c:pt>
                <c:pt idx="4">
                  <c:v>118.82638888899237</c:v>
                </c:pt>
                <c:pt idx="5">
                  <c:v>135.36277777783107</c:v>
                </c:pt>
                <c:pt idx="6">
                  <c:v>151.89972222235519</c:v>
                </c:pt>
                <c:pt idx="7">
                  <c:v>168.43638888886198</c:v>
                </c:pt>
                <c:pt idx="8">
                  <c:v>184.9725000000326</c:v>
                </c:pt>
                <c:pt idx="9">
                  <c:v>201.50916666671401</c:v>
                </c:pt>
              </c:numCache>
            </c:numRef>
          </c:xVal>
          <c:yVal>
            <c:numRef>
              <c:f>Reactor6!$D$109:$Z$109</c:f>
              <c:numCache>
                <c:formatCode>0.00</c:formatCode>
                <c:ptCount val="23"/>
                <c:pt idx="0">
                  <c:v>6.4875854750907944</c:v>
                </c:pt>
                <c:pt idx="1">
                  <c:v>14.626673512661863</c:v>
                </c:pt>
                <c:pt idx="2">
                  <c:v>15.371643965636409</c:v>
                </c:pt>
                <c:pt idx="3">
                  <c:v>11.753805771773621</c:v>
                </c:pt>
                <c:pt idx="4">
                  <c:v>12.269504371655023</c:v>
                </c:pt>
                <c:pt idx="5">
                  <c:v>12.428255186110739</c:v>
                </c:pt>
                <c:pt idx="6">
                  <c:v>9.4249050556519975</c:v>
                </c:pt>
                <c:pt idx="7">
                  <c:v>9.5087010532942671</c:v>
                </c:pt>
                <c:pt idx="8">
                  <c:v>6.8798735761753171</c:v>
                </c:pt>
                <c:pt idx="9">
                  <c:v>5.3575042409279057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B23-4042-9862-84755FF7C6B1}"/>
            </c:ext>
          </c:extLst>
        </c:ser>
        <c:ser>
          <c:idx val="5"/>
          <c:order val="4"/>
          <c:tx>
            <c:v>R7 (ATHOS-3)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9"/>
              <c:spPr>
                <a:solidFill>
                  <a:srgbClr val="C0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EB23-4042-9862-84755FF7C6B1}"/>
              </c:ext>
            </c:extLst>
          </c:dPt>
          <c:xVal>
            <c:numRef>
              <c:f>Reactor7!$D$22:$Z$22</c:f>
              <c:numCache>
                <c:formatCode>0</c:formatCode>
                <c:ptCount val="23"/>
                <c:pt idx="0">
                  <c:v>41.694444444437977</c:v>
                </c:pt>
                <c:pt idx="1">
                  <c:v>66.53000000002794</c:v>
                </c:pt>
                <c:pt idx="2">
                  <c:v>87.820833333418705</c:v>
                </c:pt>
                <c:pt idx="3">
                  <c:v>104.35750000010012</c:v>
                </c:pt>
                <c:pt idx="4">
                  <c:v>120.89361111109611</c:v>
                </c:pt>
                <c:pt idx="5">
                  <c:v>137.43027777777752</c:v>
                </c:pt>
                <c:pt idx="6">
                  <c:v>153.96666666679084</c:v>
                </c:pt>
                <c:pt idx="7">
                  <c:v>170.50305555562954</c:v>
                </c:pt>
                <c:pt idx="8">
                  <c:v>187.03944444446824</c:v>
                </c:pt>
                <c:pt idx="9">
                  <c:v>203.57583333330695</c:v>
                </c:pt>
                <c:pt idx="10">
                  <c:v>223.00722222222248</c:v>
                </c:pt>
                <c:pt idx="11">
                  <c:v>225.95055555558065</c:v>
                </c:pt>
                <c:pt idx="12">
                  <c:v>230.08444444445195</c:v>
                </c:pt>
                <c:pt idx="13">
                  <c:v>232.15194444457302</c:v>
                </c:pt>
                <c:pt idx="14">
                  <c:v>234.21888888900867</c:v>
                </c:pt>
                <c:pt idx="15">
                  <c:v>236.28583333344432</c:v>
                </c:pt>
                <c:pt idx="16">
                  <c:v>238.35305555554805</c:v>
                </c:pt>
                <c:pt idx="17">
                  <c:v>242.48722222226206</c:v>
                </c:pt>
                <c:pt idx="18">
                  <c:v>-1109984</c:v>
                </c:pt>
              </c:numCache>
            </c:numRef>
          </c:xVal>
          <c:yVal>
            <c:numRef>
              <c:f>Reactor7!$D$109:$Z$109</c:f>
              <c:numCache>
                <c:formatCode>0.00</c:formatCode>
                <c:ptCount val="23"/>
                <c:pt idx="0">
                  <c:v>15.126448268894464</c:v>
                </c:pt>
                <c:pt idx="1">
                  <c:v>30.747998262954919</c:v>
                </c:pt>
                <c:pt idx="2">
                  <c:v>33.398787560250241</c:v>
                </c:pt>
                <c:pt idx="3">
                  <c:v>30.578821977360715</c:v>
                </c:pt>
                <c:pt idx="4">
                  <c:v>30.793220781301976</c:v>
                </c:pt>
                <c:pt idx="5">
                  <c:v>31.108787784892492</c:v>
                </c:pt>
                <c:pt idx="6">
                  <c:v>27.258748373076198</c:v>
                </c:pt>
                <c:pt idx="7">
                  <c:v>27.285556044975827</c:v>
                </c:pt>
                <c:pt idx="8">
                  <c:v>22.167912196875456</c:v>
                </c:pt>
                <c:pt idx="9">
                  <c:v>18.640553715149487</c:v>
                </c:pt>
                <c:pt idx="10">
                  <c:v>19.16161425106749</c:v>
                </c:pt>
                <c:pt idx="11">
                  <c:v>19.019734891470321</c:v>
                </c:pt>
                <c:pt idx="13">
                  <c:v>27.372905569140823</c:v>
                </c:pt>
                <c:pt idx="14">
                  <c:v>27.406123999431031</c:v>
                </c:pt>
                <c:pt idx="15">
                  <c:v>27.373509268435939</c:v>
                </c:pt>
                <c:pt idx="16">
                  <c:v>27.245244028827237</c:v>
                </c:pt>
                <c:pt idx="17">
                  <c:v>12.837438110573935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B23-4042-9862-84755FF7C6B1}"/>
            </c:ext>
          </c:extLst>
        </c:ser>
        <c:ser>
          <c:idx val="4"/>
          <c:order val="5"/>
          <c:tx>
            <c:v>R3 (ATHOS-3)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Reactor3!$D$22:$Z$22</c:f>
              <c:numCache>
                <c:formatCode>0</c:formatCode>
                <c:ptCount val="23"/>
                <c:pt idx="0">
                  <c:v>58.261666666774545</c:v>
                </c:pt>
                <c:pt idx="1">
                  <c:v>79.552777777833398</c:v>
                </c:pt>
                <c:pt idx="2">
                  <c:v>96.088888889004011</c:v>
                </c:pt>
                <c:pt idx="3">
                  <c:v>112.62555555568542</c:v>
                </c:pt>
                <c:pt idx="4">
                  <c:v>129.16166666668141</c:v>
                </c:pt>
                <c:pt idx="5">
                  <c:v>145.69833333336283</c:v>
                </c:pt>
                <c:pt idx="6">
                  <c:v>162.23472222220153</c:v>
                </c:pt>
                <c:pt idx="7">
                  <c:v>178.77166666672565</c:v>
                </c:pt>
                <c:pt idx="8">
                  <c:v>195.30805555556435</c:v>
                </c:pt>
                <c:pt idx="9">
                  <c:v>211.84416666673496</c:v>
                </c:pt>
              </c:numCache>
            </c:numRef>
          </c:xVal>
          <c:yVal>
            <c:numRef>
              <c:f>Reactor3!$D$109:$Z$109</c:f>
              <c:numCache>
                <c:formatCode>0.00</c:formatCode>
                <c:ptCount val="23"/>
                <c:pt idx="0">
                  <c:v>30.712124655366409</c:v>
                </c:pt>
                <c:pt idx="1">
                  <c:v>32.949814646334374</c:v>
                </c:pt>
                <c:pt idx="2">
                  <c:v>34.117719616497766</c:v>
                </c:pt>
                <c:pt idx="3">
                  <c:v>30.891632958899827</c:v>
                </c:pt>
                <c:pt idx="4">
                  <c:v>31.351662664738015</c:v>
                </c:pt>
                <c:pt idx="5">
                  <c:v>31.245606415635578</c:v>
                </c:pt>
                <c:pt idx="6">
                  <c:v>27.253286828483006</c:v>
                </c:pt>
                <c:pt idx="7">
                  <c:v>22.815468930583286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B23-4042-9862-84755FF7C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</c:scatterChart>
      <c:valAx>
        <c:axId val="2015652768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Run Length,</a:t>
                </a:r>
                <a:r>
                  <a:rPr lang="en-IN" sz="1200" b="1" baseline="0">
                    <a:latin typeface="Aptos" panose="020B0004020202020204" pitchFamily="34" charset="0"/>
                  </a:rPr>
                  <a:t> hrs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25"/>
      </c:valAx>
      <c:valAx>
        <c:axId val="2015650848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Gas Yield (C1-C4), wof%</a:t>
                </a:r>
              </a:p>
            </c:rich>
          </c:tx>
          <c:layout>
            <c:manualLayout>
              <c:xMode val="edge"/>
              <c:yMode val="edge"/>
              <c:x val="3.7426918319566536E-2"/>
              <c:y val="0.289311184203097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1508583481659075"/>
          <c:y val="6.5724177943677575E-2"/>
          <c:w val="0.85458462025701309"/>
          <c:h val="0.126645040185357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45236450706819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0"/>
          <c:order val="0"/>
          <c:tx>
            <c:v>R1 (Z-700A)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Reactor1!$D$22:$Z$22</c:f>
              <c:numCache>
                <c:formatCode>0</c:formatCode>
                <c:ptCount val="23"/>
                <c:pt idx="0">
                  <c:v>29.612500000046566</c:v>
                </c:pt>
                <c:pt idx="1">
                  <c:v>54.127500000060536</c:v>
                </c:pt>
                <c:pt idx="2">
                  <c:v>70.663888888899237</c:v>
                </c:pt>
                <c:pt idx="3">
                  <c:v>75.41861111111939</c:v>
                </c:pt>
                <c:pt idx="4">
                  <c:v>91.954722222290002</c:v>
                </c:pt>
                <c:pt idx="5">
                  <c:v>108.4911111111287</c:v>
                </c:pt>
                <c:pt idx="6">
                  <c:v>125.02750000014203</c:v>
                </c:pt>
                <c:pt idx="7">
                  <c:v>141.56416666664882</c:v>
                </c:pt>
                <c:pt idx="8">
                  <c:v>158.10111111117294</c:v>
                </c:pt>
                <c:pt idx="9">
                  <c:v>174.63750000001164</c:v>
                </c:pt>
                <c:pt idx="10">
                  <c:v>191.17388888902497</c:v>
                </c:pt>
                <c:pt idx="11">
                  <c:v>207.71027777786367</c:v>
                </c:pt>
              </c:numCache>
            </c:numRef>
          </c:xVal>
          <c:yVal>
            <c:numRef>
              <c:f>Reactor1!$D$110:$Z$110</c:f>
              <c:numCache>
                <c:formatCode>0.00</c:formatCode>
                <c:ptCount val="23"/>
                <c:pt idx="0">
                  <c:v>97.72848104177335</c:v>
                </c:pt>
                <c:pt idx="1">
                  <c:v>96.881258978468452</c:v>
                </c:pt>
                <c:pt idx="2">
                  <c:v>96.882478606216097</c:v>
                </c:pt>
                <c:pt idx="3">
                  <c:v>96.846169522640523</c:v>
                </c:pt>
                <c:pt idx="4">
                  <c:v>96.849353947658642</c:v>
                </c:pt>
                <c:pt idx="5">
                  <c:v>97.283906856055154</c:v>
                </c:pt>
                <c:pt idx="6">
                  <c:v>97.30677011299008</c:v>
                </c:pt>
                <c:pt idx="7">
                  <c:v>97.309692693388854</c:v>
                </c:pt>
                <c:pt idx="8">
                  <c:v>97.641423589641789</c:v>
                </c:pt>
                <c:pt idx="9">
                  <c:v>97.84253294779495</c:v>
                </c:pt>
                <c:pt idx="10">
                  <c:v>97.836222436835186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E6-443F-9769-8A437F7FAC31}"/>
            </c:ext>
          </c:extLst>
        </c:ser>
        <c:ser>
          <c:idx val="1"/>
          <c:order val="1"/>
          <c:tx>
            <c:v>R5 (Z-700A)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Reactor5!$D$22:$Z$22</c:f>
              <c:numCache>
                <c:formatCode>0</c:formatCode>
                <c:ptCount val="23"/>
                <c:pt idx="0">
                  <c:v>37.560277777898591</c:v>
                </c:pt>
                <c:pt idx="1">
                  <c:v>62.395555555645842</c:v>
                </c:pt>
                <c:pt idx="2">
                  <c:v>83.686666666704696</c:v>
                </c:pt>
                <c:pt idx="3">
                  <c:v>100.2230555555434</c:v>
                </c:pt>
                <c:pt idx="4">
                  <c:v>116.75944444455672</c:v>
                </c:pt>
                <c:pt idx="5">
                  <c:v>133.29611111123813</c:v>
                </c:pt>
                <c:pt idx="6">
                  <c:v>149.83277777791955</c:v>
                </c:pt>
                <c:pt idx="7">
                  <c:v>166.36916666675825</c:v>
                </c:pt>
                <c:pt idx="8">
                  <c:v>182.90555555559695</c:v>
                </c:pt>
                <c:pt idx="9">
                  <c:v>199.44194444443565</c:v>
                </c:pt>
              </c:numCache>
            </c:numRef>
          </c:xVal>
          <c:yVal>
            <c:numRef>
              <c:f>Reactor5!$D$110:$Z$110</c:f>
              <c:numCache>
                <c:formatCode>0.00</c:formatCode>
                <c:ptCount val="23"/>
                <c:pt idx="0">
                  <c:v>97.268017363458597</c:v>
                </c:pt>
                <c:pt idx="1">
                  <c:v>95.822064622456182</c:v>
                </c:pt>
                <c:pt idx="2">
                  <c:v>95.839348974857913</c:v>
                </c:pt>
                <c:pt idx="3">
                  <c:v>95.849168740156983</c:v>
                </c:pt>
                <c:pt idx="4">
                  <c:v>96.592703378279367</c:v>
                </c:pt>
                <c:pt idx="5">
                  <c:v>96.552375170864337</c:v>
                </c:pt>
                <c:pt idx="6">
                  <c:v>97.089626527890147</c:v>
                </c:pt>
                <c:pt idx="7">
                  <c:v>97.098951460587116</c:v>
                </c:pt>
                <c:pt idx="8">
                  <c:v>97.503537946657417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E6-443F-9769-8A437F7FAC31}"/>
            </c:ext>
          </c:extLst>
        </c:ser>
        <c:ser>
          <c:idx val="2"/>
          <c:order val="2"/>
          <c:tx>
            <c:v>R2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Reactor2!$D$22:$Z$22</c:f>
              <c:numCache>
                <c:formatCode>0</c:formatCode>
                <c:ptCount val="23"/>
                <c:pt idx="0">
                  <c:v>31.679444444482215</c:v>
                </c:pt>
                <c:pt idx="1">
                  <c:v>56.194444444496185</c:v>
                </c:pt>
                <c:pt idx="2">
                  <c:v>77.485555555555038</c:v>
                </c:pt>
                <c:pt idx="3">
                  <c:v>94.022222222236451</c:v>
                </c:pt>
                <c:pt idx="4">
                  <c:v>110.55861111124977</c:v>
                </c:pt>
                <c:pt idx="5">
                  <c:v>127.09472222224576</c:v>
                </c:pt>
                <c:pt idx="6">
                  <c:v>143.63138888892718</c:v>
                </c:pt>
                <c:pt idx="7">
                  <c:v>160.16805555560859</c:v>
                </c:pt>
                <c:pt idx="8">
                  <c:v>176.7041666667792</c:v>
                </c:pt>
                <c:pt idx="9">
                  <c:v>193.24083333346061</c:v>
                </c:pt>
                <c:pt idx="10">
                  <c:v>209.77722222229932</c:v>
                </c:pt>
              </c:numCache>
            </c:numRef>
          </c:xVal>
          <c:yVal>
            <c:numRef>
              <c:f>Reactor2!$D$110:$Z$110</c:f>
              <c:numCache>
                <c:formatCode>0.00</c:formatCode>
                <c:ptCount val="23"/>
                <c:pt idx="0">
                  <c:v>94.214051404765215</c:v>
                </c:pt>
                <c:pt idx="1">
                  <c:v>88.470507926680824</c:v>
                </c:pt>
                <c:pt idx="2">
                  <c:v>85.009422414884099</c:v>
                </c:pt>
                <c:pt idx="3">
                  <c:v>84.564524079799952</c:v>
                </c:pt>
                <c:pt idx="4">
                  <c:v>88.066401395370846</c:v>
                </c:pt>
                <c:pt idx="5">
                  <c:v>87.973764291405516</c:v>
                </c:pt>
                <c:pt idx="6">
                  <c:v>88.017330179592392</c:v>
                </c:pt>
                <c:pt idx="7">
                  <c:v>90.984965081382015</c:v>
                </c:pt>
                <c:pt idx="8">
                  <c:v>93.597152160670021</c:v>
                </c:pt>
                <c:pt idx="9">
                  <c:v>93.512183472967209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E6-443F-9769-8A437F7FAC31}"/>
            </c:ext>
          </c:extLst>
        </c:ser>
        <c:ser>
          <c:idx val="3"/>
          <c:order val="3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Reactor6!$D$22:$Z$22</c:f>
              <c:numCache>
                <c:formatCode>0</c:formatCode>
                <c:ptCount val="23"/>
                <c:pt idx="0">
                  <c:v>39.62722222233424</c:v>
                </c:pt>
                <c:pt idx="1">
                  <c:v>64.462777777749579</c:v>
                </c:pt>
                <c:pt idx="2">
                  <c:v>85.753611111140344</c:v>
                </c:pt>
                <c:pt idx="3">
                  <c:v>102.29027777782176</c:v>
                </c:pt>
                <c:pt idx="4">
                  <c:v>118.82638888899237</c:v>
                </c:pt>
                <c:pt idx="5">
                  <c:v>135.36277777783107</c:v>
                </c:pt>
                <c:pt idx="6">
                  <c:v>151.89972222235519</c:v>
                </c:pt>
                <c:pt idx="7">
                  <c:v>168.43638888886198</c:v>
                </c:pt>
                <c:pt idx="8">
                  <c:v>184.9725000000326</c:v>
                </c:pt>
                <c:pt idx="9">
                  <c:v>201.50916666671401</c:v>
                </c:pt>
              </c:numCache>
            </c:numRef>
          </c:xVal>
          <c:yVal>
            <c:numRef>
              <c:f>Reactor6!$D$110:$Z$110</c:f>
              <c:numCache>
                <c:formatCode>0.00</c:formatCode>
                <c:ptCount val="23"/>
                <c:pt idx="0">
                  <c:v>93.572645992029351</c:v>
                </c:pt>
                <c:pt idx="1">
                  <c:v>85.725888653170244</c:v>
                </c:pt>
                <c:pt idx="2">
                  <c:v>84.998885340904465</c:v>
                </c:pt>
                <c:pt idx="3">
                  <c:v>88.540114775625511</c:v>
                </c:pt>
                <c:pt idx="4">
                  <c:v>88.035883509216902</c:v>
                </c:pt>
                <c:pt idx="5">
                  <c:v>87.880760727930465</c:v>
                </c:pt>
                <c:pt idx="6">
                  <c:v>90.81900288653739</c:v>
                </c:pt>
                <c:pt idx="7">
                  <c:v>90.737785087759988</c:v>
                </c:pt>
                <c:pt idx="8">
                  <c:v>93.31101470180387</c:v>
                </c:pt>
                <c:pt idx="9">
                  <c:v>94.801062988510139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6E6-443F-9769-8A437F7FAC31}"/>
            </c:ext>
          </c:extLst>
        </c:ser>
        <c:ser>
          <c:idx val="5"/>
          <c:order val="4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Reactor7!$D$22:$Z$22</c:f>
              <c:numCache>
                <c:formatCode>0</c:formatCode>
                <c:ptCount val="23"/>
                <c:pt idx="0">
                  <c:v>41.694444444437977</c:v>
                </c:pt>
                <c:pt idx="1">
                  <c:v>66.53000000002794</c:v>
                </c:pt>
                <c:pt idx="2">
                  <c:v>87.820833333418705</c:v>
                </c:pt>
                <c:pt idx="3">
                  <c:v>104.35750000010012</c:v>
                </c:pt>
                <c:pt idx="4">
                  <c:v>120.89361111109611</c:v>
                </c:pt>
                <c:pt idx="5">
                  <c:v>137.43027777777752</c:v>
                </c:pt>
                <c:pt idx="6">
                  <c:v>153.96666666679084</c:v>
                </c:pt>
                <c:pt idx="7">
                  <c:v>170.50305555562954</c:v>
                </c:pt>
                <c:pt idx="8">
                  <c:v>187.03944444446824</c:v>
                </c:pt>
                <c:pt idx="9">
                  <c:v>203.57583333330695</c:v>
                </c:pt>
                <c:pt idx="10">
                  <c:v>223.00722222222248</c:v>
                </c:pt>
                <c:pt idx="11">
                  <c:v>225.95055555558065</c:v>
                </c:pt>
                <c:pt idx="12">
                  <c:v>230.08444444445195</c:v>
                </c:pt>
                <c:pt idx="13">
                  <c:v>232.15194444457302</c:v>
                </c:pt>
                <c:pt idx="14">
                  <c:v>234.21888888900867</c:v>
                </c:pt>
                <c:pt idx="15">
                  <c:v>236.28583333344432</c:v>
                </c:pt>
                <c:pt idx="16">
                  <c:v>238.35305555554805</c:v>
                </c:pt>
                <c:pt idx="17">
                  <c:v>242.48722222226206</c:v>
                </c:pt>
                <c:pt idx="18">
                  <c:v>-1109984</c:v>
                </c:pt>
              </c:numCache>
            </c:numRef>
          </c:xVal>
          <c:yVal>
            <c:numRef>
              <c:f>Reactor7!$D$110:$Z$110</c:f>
              <c:numCache>
                <c:formatCode>0.00</c:formatCode>
                <c:ptCount val="23"/>
                <c:pt idx="0">
                  <c:v>85.236597561107786</c:v>
                </c:pt>
                <c:pt idx="1">
                  <c:v>69.948330051261792</c:v>
                </c:pt>
                <c:pt idx="2">
                  <c:v>67.351474035393977</c:v>
                </c:pt>
                <c:pt idx="3">
                  <c:v>70.110470681361662</c:v>
                </c:pt>
                <c:pt idx="4">
                  <c:v>69.900343771786993</c:v>
                </c:pt>
                <c:pt idx="5">
                  <c:v>69.591370232765513</c:v>
                </c:pt>
                <c:pt idx="6">
                  <c:v>73.35983369276363</c:v>
                </c:pt>
                <c:pt idx="7">
                  <c:v>73.333467434979781</c:v>
                </c:pt>
                <c:pt idx="8">
                  <c:v>78.343293282600541</c:v>
                </c:pt>
                <c:pt idx="9">
                  <c:v>81.796365534975649</c:v>
                </c:pt>
                <c:pt idx="10">
                  <c:v>81.287032109003007</c:v>
                </c:pt>
                <c:pt idx="11">
                  <c:v>81.425659311126424</c:v>
                </c:pt>
                <c:pt idx="13">
                  <c:v>73.247917962850622</c:v>
                </c:pt>
                <c:pt idx="14">
                  <c:v>73.215402188749664</c:v>
                </c:pt>
                <c:pt idx="15">
                  <c:v>73.247093055150216</c:v>
                </c:pt>
                <c:pt idx="16">
                  <c:v>73.37366948975793</c:v>
                </c:pt>
                <c:pt idx="17">
                  <c:v>87.476906875800807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6E6-443F-9769-8A437F7FAC31}"/>
            </c:ext>
          </c:extLst>
        </c:ser>
        <c:ser>
          <c:idx val="4"/>
          <c:order val="5"/>
          <c:tx>
            <c:v>R3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Reactor3!$D$22:$Z$22</c:f>
              <c:numCache>
                <c:formatCode>0</c:formatCode>
                <c:ptCount val="23"/>
                <c:pt idx="0">
                  <c:v>58.261666666774545</c:v>
                </c:pt>
                <c:pt idx="1">
                  <c:v>79.552777777833398</c:v>
                </c:pt>
                <c:pt idx="2">
                  <c:v>96.088888889004011</c:v>
                </c:pt>
                <c:pt idx="3">
                  <c:v>112.62555555568542</c:v>
                </c:pt>
                <c:pt idx="4">
                  <c:v>129.16166666668141</c:v>
                </c:pt>
                <c:pt idx="5">
                  <c:v>145.69833333336283</c:v>
                </c:pt>
                <c:pt idx="6">
                  <c:v>162.23472222220153</c:v>
                </c:pt>
                <c:pt idx="7">
                  <c:v>178.77166666672565</c:v>
                </c:pt>
                <c:pt idx="8">
                  <c:v>195.30805555556435</c:v>
                </c:pt>
                <c:pt idx="9">
                  <c:v>211.84416666673496</c:v>
                </c:pt>
              </c:numCache>
            </c:numRef>
          </c:xVal>
          <c:yVal>
            <c:numRef>
              <c:f>Reactor3!$D$110:$Z$110</c:f>
              <c:numCache>
                <c:formatCode>0.00</c:formatCode>
                <c:ptCount val="23"/>
                <c:pt idx="0">
                  <c:v>69.982379608038855</c:v>
                </c:pt>
                <c:pt idx="1">
                  <c:v>67.7908294888651</c:v>
                </c:pt>
                <c:pt idx="2">
                  <c:v>66.646383237470587</c:v>
                </c:pt>
                <c:pt idx="3">
                  <c:v>69.803511653968144</c:v>
                </c:pt>
                <c:pt idx="4">
                  <c:v>69.353342210613363</c:v>
                </c:pt>
                <c:pt idx="5">
                  <c:v>69.456723541661546</c:v>
                </c:pt>
                <c:pt idx="6">
                  <c:v>73.364487620791806</c:v>
                </c:pt>
                <c:pt idx="7">
                  <c:v>77.709511603127169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6E6-443F-9769-8A437F7FA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</c:scatterChart>
      <c:valAx>
        <c:axId val="2015652768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Run Length,</a:t>
                </a:r>
                <a:r>
                  <a:rPr lang="en-IN" sz="1200" b="1" baseline="0">
                    <a:latin typeface="Aptos" panose="020B0004020202020204" pitchFamily="34" charset="0"/>
                  </a:rPr>
                  <a:t> hrs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25"/>
      </c:valAx>
      <c:valAx>
        <c:axId val="2015650848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C5+ Yield, wof%</a:t>
                </a:r>
              </a:p>
            </c:rich>
          </c:tx>
          <c:layout>
            <c:manualLayout>
              <c:xMode val="edge"/>
              <c:yMode val="edge"/>
              <c:x val="3.7426952365713681E-2"/>
              <c:y val="0.381500647665259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 w="12700">
          <a:solidFill>
            <a:schemeClr val="tx1">
              <a:lumMod val="85000"/>
              <a:lumOff val="1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11508583481659075"/>
          <c:y val="6.5724177943677575E-2"/>
          <c:w val="0.85458462025701309"/>
          <c:h val="0.126645040185357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45236450706819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5"/>
          <c:order val="0"/>
          <c:tx>
            <c:v>R4 (INERT)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Reactor4!$E$22:$N$22</c:f>
              <c:numCache>
                <c:formatCode>0</c:formatCode>
                <c:ptCount val="10"/>
                <c:pt idx="0">
                  <c:v>60.328611111210193</c:v>
                </c:pt>
                <c:pt idx="1">
                  <c:v>81.619722222269047</c:v>
                </c:pt>
                <c:pt idx="2">
                  <c:v>98.156111111107748</c:v>
                </c:pt>
                <c:pt idx="3">
                  <c:v>114.69250000012107</c:v>
                </c:pt>
                <c:pt idx="4">
                  <c:v>131.22916666680248</c:v>
                </c:pt>
                <c:pt idx="5">
                  <c:v>147.76555555564119</c:v>
                </c:pt>
                <c:pt idx="6">
                  <c:v>164.30194444447989</c:v>
                </c:pt>
                <c:pt idx="7">
                  <c:v>180.83888888900401</c:v>
                </c:pt>
                <c:pt idx="8">
                  <c:v>197.37527777784271</c:v>
                </c:pt>
                <c:pt idx="9">
                  <c:v>213.91138888901332</c:v>
                </c:pt>
              </c:numCache>
            </c:numRef>
          </c:xVal>
          <c:yVal>
            <c:numRef>
              <c:f>Reactor4!$E$110:$N$110</c:f>
              <c:numCache>
                <c:formatCode>0.00</c:formatCode>
                <c:ptCount val="10"/>
                <c:pt idx="0">
                  <c:v>98.111608138261914</c:v>
                </c:pt>
                <c:pt idx="1">
                  <c:v>98.114084779325125</c:v>
                </c:pt>
                <c:pt idx="2">
                  <c:v>98.087739791169881</c:v>
                </c:pt>
                <c:pt idx="3">
                  <c:v>98.132274188277464</c:v>
                </c:pt>
                <c:pt idx="4">
                  <c:v>98.14485450403474</c:v>
                </c:pt>
                <c:pt idx="5">
                  <c:v>98.15454665434585</c:v>
                </c:pt>
                <c:pt idx="6">
                  <c:v>98.195044770838635</c:v>
                </c:pt>
                <c:pt idx="7">
                  <c:v>98.191129223633581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6E0-4499-972E-677739A8CABE}"/>
            </c:ext>
          </c:extLst>
        </c:ser>
        <c:ser>
          <c:idx val="4"/>
          <c:order val="1"/>
          <c:tx>
            <c:v>R8 (INERT)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Reactor8!$D$22:$L$22</c:f>
              <c:numCache>
                <c:formatCode>0</c:formatCode>
                <c:ptCount val="9"/>
                <c:pt idx="0">
                  <c:v>43.761388888873626</c:v>
                </c:pt>
                <c:pt idx="1">
                  <c:v>68.596944444463588</c:v>
                </c:pt>
                <c:pt idx="2">
                  <c:v>89.887777777854353</c:v>
                </c:pt>
                <c:pt idx="3">
                  <c:v>106.42416666669305</c:v>
                </c:pt>
                <c:pt idx="4">
                  <c:v>122.96055555553176</c:v>
                </c:pt>
                <c:pt idx="5">
                  <c:v>139.49750000005588</c:v>
                </c:pt>
                <c:pt idx="6">
                  <c:v>156.03361111122649</c:v>
                </c:pt>
                <c:pt idx="7">
                  <c:v>172.57000000006519</c:v>
                </c:pt>
                <c:pt idx="8">
                  <c:v>189.10666666674661</c:v>
                </c:pt>
              </c:numCache>
            </c:numRef>
          </c:xVal>
          <c:yVal>
            <c:numRef>
              <c:f>Reactor8!$D$110:$L$110</c:f>
              <c:numCache>
                <c:formatCode>0.00</c:formatCode>
                <c:ptCount val="9"/>
                <c:pt idx="0">
                  <c:v>98.14859145910539</c:v>
                </c:pt>
                <c:pt idx="1">
                  <c:v>98.112490453420932</c:v>
                </c:pt>
                <c:pt idx="2">
                  <c:v>98.110400082440407</c:v>
                </c:pt>
                <c:pt idx="3">
                  <c:v>98.115804721025583</c:v>
                </c:pt>
                <c:pt idx="4">
                  <c:v>98.140405012934679</c:v>
                </c:pt>
                <c:pt idx="5">
                  <c:v>98.140628768283804</c:v>
                </c:pt>
                <c:pt idx="6">
                  <c:v>98.191860284196096</c:v>
                </c:pt>
                <c:pt idx="7">
                  <c:v>98.185013140485864</c:v>
                </c:pt>
                <c:pt idx="8">
                  <c:v>98.19255205812496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6E0-4499-972E-677739A8C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</c:scatterChart>
      <c:valAx>
        <c:axId val="2015652768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Run Length,</a:t>
                </a:r>
                <a:r>
                  <a:rPr lang="en-IN" sz="1200" b="1" baseline="0">
                    <a:latin typeface="Aptos" panose="020B0004020202020204" pitchFamily="34" charset="0"/>
                  </a:rPr>
                  <a:t> hrs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25"/>
      </c:valAx>
      <c:valAx>
        <c:axId val="2015650848"/>
        <c:scaling>
          <c:orientation val="minMax"/>
          <c:max val="100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Yield</a:t>
                </a:r>
                <a:r>
                  <a:rPr lang="en-IN" sz="1200" b="1" baseline="0">
                    <a:latin typeface="Aptos" panose="020B0004020202020204" pitchFamily="34" charset="0"/>
                  </a:rPr>
                  <a:t> (C5+), wof%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5093910448298592E-2"/>
              <c:y val="0.347356401938532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1508583481659075"/>
          <c:y val="0.12376939567911292"/>
          <c:w val="0.85458462025701309"/>
          <c:h val="6.85998224499222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0"/>
          <c:order val="0"/>
          <c:tx>
            <c:v>R1 (Z-700A)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Reactor1!$D$22:$K$22</c:f>
              <c:numCache>
                <c:formatCode>0</c:formatCode>
                <c:ptCount val="8"/>
                <c:pt idx="0">
                  <c:v>29.612500000046566</c:v>
                </c:pt>
                <c:pt idx="1">
                  <c:v>54.127500000060536</c:v>
                </c:pt>
                <c:pt idx="2">
                  <c:v>70.663888888899237</c:v>
                </c:pt>
                <c:pt idx="3">
                  <c:v>75.41861111111939</c:v>
                </c:pt>
                <c:pt idx="4">
                  <c:v>91.954722222290002</c:v>
                </c:pt>
                <c:pt idx="5">
                  <c:v>108.4911111111287</c:v>
                </c:pt>
                <c:pt idx="6">
                  <c:v>125.02750000014203</c:v>
                </c:pt>
                <c:pt idx="7">
                  <c:v>141.56416666664882</c:v>
                </c:pt>
              </c:numCache>
            </c:numRef>
          </c:xVal>
          <c:yVal>
            <c:numRef>
              <c:f>Reactor1!#REF!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0F-44D3-9E78-8FAAA1F64B3B}"/>
            </c:ext>
          </c:extLst>
        </c:ser>
        <c:ser>
          <c:idx val="1"/>
          <c:order val="1"/>
          <c:tx>
            <c:v>R5 (Z-700A)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Reactor5!$D$22:$L$22</c:f>
              <c:numCache>
                <c:formatCode>0</c:formatCode>
                <c:ptCount val="9"/>
                <c:pt idx="0">
                  <c:v>37.560277777898591</c:v>
                </c:pt>
                <c:pt idx="1">
                  <c:v>62.395555555645842</c:v>
                </c:pt>
                <c:pt idx="2">
                  <c:v>83.686666666704696</c:v>
                </c:pt>
                <c:pt idx="3">
                  <c:v>100.2230555555434</c:v>
                </c:pt>
                <c:pt idx="4">
                  <c:v>116.75944444455672</c:v>
                </c:pt>
                <c:pt idx="5">
                  <c:v>133.29611111123813</c:v>
                </c:pt>
                <c:pt idx="6">
                  <c:v>149.83277777791955</c:v>
                </c:pt>
                <c:pt idx="7">
                  <c:v>166.36916666675825</c:v>
                </c:pt>
                <c:pt idx="8">
                  <c:v>182.90555555559695</c:v>
                </c:pt>
              </c:numCache>
            </c:numRef>
          </c:xVal>
          <c:yVal>
            <c:numRef>
              <c:f>Reactor5!$D$39:$L$39</c:f>
              <c:numCache>
                <c:formatCode>0</c:formatCode>
                <c:ptCount val="9"/>
                <c:pt idx="0" formatCode="0.00">
                  <c:v>42.239913999999999</c:v>
                </c:pt>
                <c:pt idx="1">
                  <c:v>45.756011999999998</c:v>
                </c:pt>
                <c:pt idx="2">
                  <c:v>45.731181999999997</c:v>
                </c:pt>
                <c:pt idx="3">
                  <c:v>45.640208999999999</c:v>
                </c:pt>
                <c:pt idx="4">
                  <c:v>44.206524000000002</c:v>
                </c:pt>
                <c:pt idx="5">
                  <c:v>44.234703000000003</c:v>
                </c:pt>
                <c:pt idx="6">
                  <c:v>43.171337000000001</c:v>
                </c:pt>
                <c:pt idx="7">
                  <c:v>43.165585</c:v>
                </c:pt>
                <c:pt idx="8">
                  <c:v>42.338138999999998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0F-44D3-9E78-8FAAA1F64B3B}"/>
            </c:ext>
          </c:extLst>
        </c:ser>
        <c:ser>
          <c:idx val="2"/>
          <c:order val="2"/>
          <c:tx>
            <c:v>R2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Reactor2!$D$22:$N$22</c:f>
              <c:numCache>
                <c:formatCode>0</c:formatCode>
                <c:ptCount val="11"/>
                <c:pt idx="0">
                  <c:v>31.679444444482215</c:v>
                </c:pt>
                <c:pt idx="1">
                  <c:v>56.194444444496185</c:v>
                </c:pt>
                <c:pt idx="2">
                  <c:v>77.485555555555038</c:v>
                </c:pt>
                <c:pt idx="3">
                  <c:v>94.022222222236451</c:v>
                </c:pt>
                <c:pt idx="4">
                  <c:v>110.55861111124977</c:v>
                </c:pt>
                <c:pt idx="5">
                  <c:v>127.09472222224576</c:v>
                </c:pt>
                <c:pt idx="6">
                  <c:v>143.63138888892718</c:v>
                </c:pt>
                <c:pt idx="7">
                  <c:v>160.16805555560859</c:v>
                </c:pt>
                <c:pt idx="8">
                  <c:v>176.7041666667792</c:v>
                </c:pt>
                <c:pt idx="9">
                  <c:v>193.24083333346061</c:v>
                </c:pt>
                <c:pt idx="10">
                  <c:v>209.77722222229932</c:v>
                </c:pt>
              </c:numCache>
            </c:numRef>
          </c:xVal>
          <c:yVal>
            <c:numRef>
              <c:f>Reactor2!$D$39:$N$39</c:f>
              <c:numCache>
                <c:formatCode>0</c:formatCode>
                <c:ptCount val="11"/>
                <c:pt idx="0" formatCode="0.00">
                  <c:v>47.755909000000003</c:v>
                </c:pt>
                <c:pt idx="1">
                  <c:v>54.669144000000003</c:v>
                </c:pt>
                <c:pt idx="2">
                  <c:v>58.715190999999997</c:v>
                </c:pt>
                <c:pt idx="3">
                  <c:v>58.837645999999999</c:v>
                </c:pt>
                <c:pt idx="4">
                  <c:v>54.550499000000002</c:v>
                </c:pt>
                <c:pt idx="5">
                  <c:v>54.661957000000001</c:v>
                </c:pt>
                <c:pt idx="6">
                  <c:v>54.634132000000001</c:v>
                </c:pt>
                <c:pt idx="7">
                  <c:v>50.890472000000003</c:v>
                </c:pt>
                <c:pt idx="8">
                  <c:v>47.520659999999999</c:v>
                </c:pt>
                <c:pt idx="9">
                  <c:v>47.628494000000003</c:v>
                </c:pt>
                <c:pt idx="10">
                  <c:v>84.516463999999999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0F-44D3-9E78-8FAAA1F64B3B}"/>
            </c:ext>
          </c:extLst>
        </c:ser>
        <c:ser>
          <c:idx val="3"/>
          <c:order val="3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Reactor6!$D$22:$Z$22</c:f>
              <c:numCache>
                <c:formatCode>0</c:formatCode>
                <c:ptCount val="23"/>
                <c:pt idx="0">
                  <c:v>39.62722222233424</c:v>
                </c:pt>
                <c:pt idx="1">
                  <c:v>64.462777777749579</c:v>
                </c:pt>
                <c:pt idx="2">
                  <c:v>85.753611111140344</c:v>
                </c:pt>
                <c:pt idx="3">
                  <c:v>102.29027777782176</c:v>
                </c:pt>
                <c:pt idx="4">
                  <c:v>118.82638888899237</c:v>
                </c:pt>
                <c:pt idx="5">
                  <c:v>135.36277777783107</c:v>
                </c:pt>
                <c:pt idx="6">
                  <c:v>151.89972222235519</c:v>
                </c:pt>
                <c:pt idx="7">
                  <c:v>168.43638888886198</c:v>
                </c:pt>
                <c:pt idx="8">
                  <c:v>184.9725000000326</c:v>
                </c:pt>
                <c:pt idx="9">
                  <c:v>201.50916666671401</c:v>
                </c:pt>
              </c:numCache>
            </c:numRef>
          </c:xVal>
          <c:yVal>
            <c:numRef>
              <c:f>Reactor6!$D$39:$Z$39</c:f>
              <c:numCache>
                <c:formatCode>0</c:formatCode>
                <c:ptCount val="23"/>
                <c:pt idx="0" formatCode="0.00">
                  <c:v>46.194629999999997</c:v>
                </c:pt>
                <c:pt idx="1">
                  <c:v>60.303908999999997</c:v>
                </c:pt>
                <c:pt idx="2">
                  <c:v>60.305832000000002</c:v>
                </c:pt>
                <c:pt idx="3">
                  <c:v>55.147860999999999</c:v>
                </c:pt>
                <c:pt idx="4">
                  <c:v>55.036212999999996</c:v>
                </c:pt>
                <c:pt idx="5">
                  <c:v>55.221187999999998</c:v>
                </c:pt>
                <c:pt idx="6">
                  <c:v>51.406573999999999</c:v>
                </c:pt>
                <c:pt idx="7">
                  <c:v>51.551124999999999</c:v>
                </c:pt>
                <c:pt idx="8">
                  <c:v>48.165343999999997</c:v>
                </c:pt>
                <c:pt idx="9">
                  <c:v>46.067920999999998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E0F-44D3-9E78-8FAAA1F64B3B}"/>
            </c:ext>
          </c:extLst>
        </c:ser>
        <c:ser>
          <c:idx val="5"/>
          <c:order val="4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Reactor7!$D$22:$Z$22</c:f>
              <c:numCache>
                <c:formatCode>0</c:formatCode>
                <c:ptCount val="23"/>
                <c:pt idx="0">
                  <c:v>41.694444444437977</c:v>
                </c:pt>
                <c:pt idx="1">
                  <c:v>66.53000000002794</c:v>
                </c:pt>
                <c:pt idx="2">
                  <c:v>87.820833333418705</c:v>
                </c:pt>
                <c:pt idx="3">
                  <c:v>104.35750000010012</c:v>
                </c:pt>
                <c:pt idx="4">
                  <c:v>120.89361111109611</c:v>
                </c:pt>
                <c:pt idx="5">
                  <c:v>137.43027777777752</c:v>
                </c:pt>
                <c:pt idx="6">
                  <c:v>153.96666666679084</c:v>
                </c:pt>
                <c:pt idx="7">
                  <c:v>170.50305555562954</c:v>
                </c:pt>
                <c:pt idx="8">
                  <c:v>187.03944444446824</c:v>
                </c:pt>
                <c:pt idx="9">
                  <c:v>203.57583333330695</c:v>
                </c:pt>
                <c:pt idx="10">
                  <c:v>223.00722222222248</c:v>
                </c:pt>
                <c:pt idx="11">
                  <c:v>225.95055555558065</c:v>
                </c:pt>
                <c:pt idx="12">
                  <c:v>230.08444444445195</c:v>
                </c:pt>
                <c:pt idx="13">
                  <c:v>232.15194444457302</c:v>
                </c:pt>
                <c:pt idx="14">
                  <c:v>234.21888888900867</c:v>
                </c:pt>
                <c:pt idx="15">
                  <c:v>236.28583333344432</c:v>
                </c:pt>
                <c:pt idx="16">
                  <c:v>238.35305555554805</c:v>
                </c:pt>
                <c:pt idx="17">
                  <c:v>242.48722222226206</c:v>
                </c:pt>
                <c:pt idx="18">
                  <c:v>-1109984</c:v>
                </c:pt>
              </c:numCache>
            </c:numRef>
          </c:xVal>
          <c:yVal>
            <c:numRef>
              <c:f>Reactor7!$D$39:$Z$39</c:f>
              <c:numCache>
                <c:formatCode>0</c:formatCode>
                <c:ptCount val="23"/>
                <c:pt idx="0" formatCode="0.00">
                  <c:v>59.068134000000001</c:v>
                </c:pt>
                <c:pt idx="1">
                  <c:v>76.659554</c:v>
                </c:pt>
                <c:pt idx="2">
                  <c:v>78.560066000000006</c:v>
                </c:pt>
                <c:pt idx="3">
                  <c:v>75.028892999999997</c:v>
                </c:pt>
                <c:pt idx="4">
                  <c:v>75.232285000000005</c:v>
                </c:pt>
                <c:pt idx="5">
                  <c:v>75.571297000000001</c:v>
                </c:pt>
                <c:pt idx="6">
                  <c:v>71.397735999999995</c:v>
                </c:pt>
                <c:pt idx="7">
                  <c:v>71.444748000000004</c:v>
                </c:pt>
                <c:pt idx="8">
                  <c:v>65.661247000000003</c:v>
                </c:pt>
                <c:pt idx="9">
                  <c:v>61.854472999999999</c:v>
                </c:pt>
                <c:pt idx="10">
                  <c:v>62.459952999999999</c:v>
                </c:pt>
                <c:pt idx="11">
                  <c:v>62.298180000000002</c:v>
                </c:pt>
                <c:pt idx="12">
                  <c:v>71.500388999999998</c:v>
                </c:pt>
                <c:pt idx="13">
                  <c:v>71.541573</c:v>
                </c:pt>
                <c:pt idx="14">
                  <c:v>71.581695999999994</c:v>
                </c:pt>
                <c:pt idx="15">
                  <c:v>71.538826</c:v>
                </c:pt>
                <c:pt idx="16">
                  <c:v>71.438972000000007</c:v>
                </c:pt>
                <c:pt idx="17">
                  <c:v>55.101421000000002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E0F-44D3-9E78-8FAAA1F64B3B}"/>
            </c:ext>
          </c:extLst>
        </c:ser>
        <c:ser>
          <c:idx val="4"/>
          <c:order val="5"/>
          <c:tx>
            <c:v>R3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Reactor3!$D$22:$K$22</c:f>
              <c:numCache>
                <c:formatCode>0</c:formatCode>
                <c:ptCount val="8"/>
                <c:pt idx="0">
                  <c:v>58.261666666774545</c:v>
                </c:pt>
                <c:pt idx="1">
                  <c:v>79.552777777833398</c:v>
                </c:pt>
                <c:pt idx="2">
                  <c:v>96.088888889004011</c:v>
                </c:pt>
                <c:pt idx="3">
                  <c:v>112.62555555568542</c:v>
                </c:pt>
                <c:pt idx="4">
                  <c:v>129.16166666668141</c:v>
                </c:pt>
                <c:pt idx="5">
                  <c:v>145.69833333336283</c:v>
                </c:pt>
                <c:pt idx="6">
                  <c:v>162.23472222220153</c:v>
                </c:pt>
                <c:pt idx="7">
                  <c:v>178.77166666672565</c:v>
                </c:pt>
              </c:numCache>
            </c:numRef>
          </c:xVal>
          <c:yVal>
            <c:numRef>
              <c:f>Reactor3!$D$39:$K$39</c:f>
              <c:numCache>
                <c:formatCode>0</c:formatCode>
                <c:ptCount val="8"/>
                <c:pt idx="0" formatCode="0.00">
                  <c:v>76.392837999999998</c:v>
                </c:pt>
                <c:pt idx="1">
                  <c:v>78.203963999999999</c:v>
                </c:pt>
                <c:pt idx="2">
                  <c:v>78.930344000000005</c:v>
                </c:pt>
                <c:pt idx="3">
                  <c:v>75.380820999999997</c:v>
                </c:pt>
                <c:pt idx="4">
                  <c:v>75.883330999999998</c:v>
                </c:pt>
                <c:pt idx="5">
                  <c:v>75.758658999999994</c:v>
                </c:pt>
                <c:pt idx="6">
                  <c:v>71.458838999999998</c:v>
                </c:pt>
                <c:pt idx="7">
                  <c:v>66.482963999999996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9E-4269-8AB0-932A5D791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</c:scatterChart>
      <c:valAx>
        <c:axId val="2015652768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Run Length,</a:t>
                </a:r>
                <a:r>
                  <a:rPr lang="en-IN" sz="1200" b="1" baseline="0">
                    <a:latin typeface="Aptos" panose="020B0004020202020204" pitchFamily="34" charset="0"/>
                  </a:rPr>
                  <a:t> hrs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25"/>
      </c:valAx>
      <c:valAx>
        <c:axId val="2015650848"/>
        <c:scaling>
          <c:orientation val="minMax"/>
          <c:max val="10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RON (Estimated)</a:t>
                </a:r>
              </a:p>
            </c:rich>
          </c:tx>
          <c:layout>
            <c:manualLayout>
              <c:xMode val="edge"/>
              <c:yMode val="edge"/>
              <c:x val="3.2760868530883502E-2"/>
              <c:y val="0.326869854502496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1508583481659075"/>
          <c:y val="6.5724177943677575E-2"/>
          <c:w val="0.82639192128206351"/>
          <c:h val="0.126645040185357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0"/>
          <c:order val="0"/>
          <c:tx>
            <c:v>R1 (Z-700A)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Reactor1!$D$22:$Z$22</c:f>
              <c:numCache>
                <c:formatCode>0</c:formatCode>
                <c:ptCount val="23"/>
                <c:pt idx="0">
                  <c:v>29.612500000046566</c:v>
                </c:pt>
                <c:pt idx="1">
                  <c:v>54.127500000060536</c:v>
                </c:pt>
                <c:pt idx="2">
                  <c:v>70.663888888899237</c:v>
                </c:pt>
                <c:pt idx="3">
                  <c:v>75.41861111111939</c:v>
                </c:pt>
                <c:pt idx="4">
                  <c:v>91.954722222290002</c:v>
                </c:pt>
                <c:pt idx="5">
                  <c:v>108.4911111111287</c:v>
                </c:pt>
                <c:pt idx="6">
                  <c:v>125.02750000014203</c:v>
                </c:pt>
                <c:pt idx="7">
                  <c:v>141.56416666664882</c:v>
                </c:pt>
                <c:pt idx="8">
                  <c:v>158.10111111117294</c:v>
                </c:pt>
                <c:pt idx="9">
                  <c:v>174.63750000001164</c:v>
                </c:pt>
                <c:pt idx="10">
                  <c:v>191.17388888902497</c:v>
                </c:pt>
                <c:pt idx="11">
                  <c:v>207.71027777786367</c:v>
                </c:pt>
              </c:numCache>
            </c:numRef>
          </c:xVal>
          <c:yVal>
            <c:numRef>
              <c:f>Reactor1!$D$25:$Z$25</c:f>
              <c:numCache>
                <c:formatCode>0.0</c:formatCode>
                <c:ptCount val="23"/>
                <c:pt idx="0">
                  <c:v>1.3673641956880238</c:v>
                </c:pt>
                <c:pt idx="1">
                  <c:v>1.3417774445869086</c:v>
                </c:pt>
                <c:pt idx="2">
                  <c:v>1.3665799086644801</c:v>
                </c:pt>
                <c:pt idx="3">
                  <c:v>1.3274409652212091</c:v>
                </c:pt>
                <c:pt idx="4">
                  <c:v>1.3603188291376691</c:v>
                </c:pt>
                <c:pt idx="5">
                  <c:v>1.3227874042495738</c:v>
                </c:pt>
                <c:pt idx="6">
                  <c:v>1.3412446053813427</c:v>
                </c:pt>
                <c:pt idx="7">
                  <c:v>1.3433799237981674</c:v>
                </c:pt>
                <c:pt idx="8">
                  <c:v>1.3116588436572436</c:v>
                </c:pt>
                <c:pt idx="9">
                  <c:v>1.3484314849449106</c:v>
                </c:pt>
                <c:pt idx="10">
                  <c:v>1.2905716330891712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C8-473F-9A6D-87194469E3EA}"/>
            </c:ext>
          </c:extLst>
        </c:ser>
        <c:ser>
          <c:idx val="1"/>
          <c:order val="1"/>
          <c:tx>
            <c:v>R5 (Z-700A)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Reactor5!$D$22:$L$22</c:f>
              <c:numCache>
                <c:formatCode>0</c:formatCode>
                <c:ptCount val="9"/>
                <c:pt idx="0">
                  <c:v>37.560277777898591</c:v>
                </c:pt>
                <c:pt idx="1">
                  <c:v>62.395555555645842</c:v>
                </c:pt>
                <c:pt idx="2">
                  <c:v>83.686666666704696</c:v>
                </c:pt>
                <c:pt idx="3">
                  <c:v>100.2230555555434</c:v>
                </c:pt>
                <c:pt idx="4">
                  <c:v>116.75944444455672</c:v>
                </c:pt>
                <c:pt idx="5">
                  <c:v>133.29611111123813</c:v>
                </c:pt>
                <c:pt idx="6">
                  <c:v>149.83277777791955</c:v>
                </c:pt>
                <c:pt idx="7">
                  <c:v>166.36916666675825</c:v>
                </c:pt>
                <c:pt idx="8">
                  <c:v>182.90555555559695</c:v>
                </c:pt>
              </c:numCache>
            </c:numRef>
          </c:xVal>
          <c:yVal>
            <c:numRef>
              <c:f>Reactor5!$D$25:$L$25</c:f>
              <c:numCache>
                <c:formatCode>0.0</c:formatCode>
                <c:ptCount val="9"/>
                <c:pt idx="0">
                  <c:v>1.5572506755528706</c:v>
                </c:pt>
                <c:pt idx="1">
                  <c:v>1.5193670053349575</c:v>
                </c:pt>
                <c:pt idx="2">
                  <c:v>1.5370014685866644</c:v>
                </c:pt>
                <c:pt idx="3">
                  <c:v>1.5364680864036067</c:v>
                </c:pt>
                <c:pt idx="4">
                  <c:v>1.530449509609378</c:v>
                </c:pt>
                <c:pt idx="5">
                  <c:v>1.5083111141345675</c:v>
                </c:pt>
                <c:pt idx="6">
                  <c:v>1.5389523636589726</c:v>
                </c:pt>
                <c:pt idx="7">
                  <c:v>1.5021512512873803</c:v>
                </c:pt>
                <c:pt idx="8">
                  <c:v>1.4671369354023278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C8-473F-9A6D-87194469E3EA}"/>
            </c:ext>
          </c:extLst>
        </c:ser>
        <c:ser>
          <c:idx val="2"/>
          <c:order val="2"/>
          <c:tx>
            <c:v>R2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Reactor2!$D$22:$N$22</c:f>
              <c:numCache>
                <c:formatCode>0</c:formatCode>
                <c:ptCount val="11"/>
                <c:pt idx="0">
                  <c:v>31.679444444482215</c:v>
                </c:pt>
                <c:pt idx="1">
                  <c:v>56.194444444496185</c:v>
                </c:pt>
                <c:pt idx="2">
                  <c:v>77.485555555555038</c:v>
                </c:pt>
                <c:pt idx="3">
                  <c:v>94.022222222236451</c:v>
                </c:pt>
                <c:pt idx="4">
                  <c:v>110.55861111124977</c:v>
                </c:pt>
                <c:pt idx="5">
                  <c:v>127.09472222224576</c:v>
                </c:pt>
                <c:pt idx="6">
                  <c:v>143.63138888892718</c:v>
                </c:pt>
                <c:pt idx="7">
                  <c:v>160.16805555560859</c:v>
                </c:pt>
                <c:pt idx="8">
                  <c:v>176.7041666667792</c:v>
                </c:pt>
                <c:pt idx="9">
                  <c:v>193.24083333346061</c:v>
                </c:pt>
                <c:pt idx="10">
                  <c:v>209.77722222229932</c:v>
                </c:pt>
              </c:numCache>
            </c:numRef>
          </c:xVal>
          <c:yVal>
            <c:numRef>
              <c:f>Reactor2!$D$25:$N$25</c:f>
              <c:numCache>
                <c:formatCode>0.0</c:formatCode>
                <c:ptCount val="11"/>
                <c:pt idx="0">
                  <c:v>1.5352790885472436</c:v>
                </c:pt>
                <c:pt idx="1">
                  <c:v>1.5846388644035891</c:v>
                </c:pt>
                <c:pt idx="2">
                  <c:v>1.5083085598731765</c:v>
                </c:pt>
                <c:pt idx="3">
                  <c:v>1.500784589736186</c:v>
                </c:pt>
                <c:pt idx="4">
                  <c:v>1.4787858967833285</c:v>
                </c:pt>
                <c:pt idx="5">
                  <c:v>1.5252896183751872</c:v>
                </c:pt>
                <c:pt idx="6">
                  <c:v>1.4920341501730781</c:v>
                </c:pt>
                <c:pt idx="7">
                  <c:v>1.4794854776158295</c:v>
                </c:pt>
                <c:pt idx="8">
                  <c:v>1.494086405334927</c:v>
                </c:pt>
                <c:pt idx="9">
                  <c:v>1.4376492352139401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C8-473F-9A6D-87194469E3EA}"/>
            </c:ext>
          </c:extLst>
        </c:ser>
        <c:ser>
          <c:idx val="3"/>
          <c:order val="3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Reactor6!$D$22:$Z$22</c:f>
              <c:numCache>
                <c:formatCode>0</c:formatCode>
                <c:ptCount val="23"/>
                <c:pt idx="0">
                  <c:v>39.62722222233424</c:v>
                </c:pt>
                <c:pt idx="1">
                  <c:v>64.462777777749579</c:v>
                </c:pt>
                <c:pt idx="2">
                  <c:v>85.753611111140344</c:v>
                </c:pt>
                <c:pt idx="3">
                  <c:v>102.29027777782176</c:v>
                </c:pt>
                <c:pt idx="4">
                  <c:v>118.82638888899237</c:v>
                </c:pt>
                <c:pt idx="5">
                  <c:v>135.36277777783107</c:v>
                </c:pt>
                <c:pt idx="6">
                  <c:v>151.89972222235519</c:v>
                </c:pt>
                <c:pt idx="7">
                  <c:v>168.43638888886198</c:v>
                </c:pt>
                <c:pt idx="8">
                  <c:v>184.9725000000326</c:v>
                </c:pt>
                <c:pt idx="9">
                  <c:v>201.50916666671401</c:v>
                </c:pt>
              </c:numCache>
            </c:numRef>
          </c:xVal>
          <c:yVal>
            <c:numRef>
              <c:f>Reactor6!$D$25:$Z$25</c:f>
              <c:numCache>
                <c:formatCode>0.0</c:formatCode>
                <c:ptCount val="23"/>
                <c:pt idx="0">
                  <c:v>1.5760222761587706</c:v>
                </c:pt>
                <c:pt idx="1">
                  <c:v>1.5105173044937152</c:v>
                </c:pt>
                <c:pt idx="2" formatCode="0.00">
                  <c:v>1.5014881936406654</c:v>
                </c:pt>
                <c:pt idx="3" formatCode="0.00">
                  <c:v>1.5184273369600012</c:v>
                </c:pt>
                <c:pt idx="4" formatCode="0.00">
                  <c:v>1.4888438235768022</c:v>
                </c:pt>
                <c:pt idx="5" formatCode="0.00">
                  <c:v>1.4704341783120178</c:v>
                </c:pt>
                <c:pt idx="6" formatCode="0.00">
                  <c:v>1.5252533536529989</c:v>
                </c:pt>
                <c:pt idx="7" formatCode="0.00">
                  <c:v>1.4635778513227673</c:v>
                </c:pt>
                <c:pt idx="8" formatCode="0.00">
                  <c:v>1.4462321362219202</c:v>
                </c:pt>
                <c:pt idx="9">
                  <c:v>1.4916035318548673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5C8-473F-9A6D-87194469E3EA}"/>
            </c:ext>
          </c:extLst>
        </c:ser>
        <c:ser>
          <c:idx val="5"/>
          <c:order val="4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Reactor7!$D$22:$Z$22</c:f>
              <c:numCache>
                <c:formatCode>0</c:formatCode>
                <c:ptCount val="23"/>
                <c:pt idx="0">
                  <c:v>41.694444444437977</c:v>
                </c:pt>
                <c:pt idx="1">
                  <c:v>66.53000000002794</c:v>
                </c:pt>
                <c:pt idx="2">
                  <c:v>87.820833333418705</c:v>
                </c:pt>
                <c:pt idx="3">
                  <c:v>104.35750000010012</c:v>
                </c:pt>
                <c:pt idx="4">
                  <c:v>120.89361111109611</c:v>
                </c:pt>
                <c:pt idx="5">
                  <c:v>137.43027777777752</c:v>
                </c:pt>
                <c:pt idx="6">
                  <c:v>153.96666666679084</c:v>
                </c:pt>
                <c:pt idx="7">
                  <c:v>170.50305555562954</c:v>
                </c:pt>
                <c:pt idx="8">
                  <c:v>187.03944444446824</c:v>
                </c:pt>
                <c:pt idx="9">
                  <c:v>203.57583333330695</c:v>
                </c:pt>
                <c:pt idx="10">
                  <c:v>223.00722222222248</c:v>
                </c:pt>
                <c:pt idx="11">
                  <c:v>225.95055555558065</c:v>
                </c:pt>
                <c:pt idx="12">
                  <c:v>230.08444444445195</c:v>
                </c:pt>
                <c:pt idx="13">
                  <c:v>232.15194444457302</c:v>
                </c:pt>
                <c:pt idx="14">
                  <c:v>234.21888888900867</c:v>
                </c:pt>
                <c:pt idx="15">
                  <c:v>236.28583333344432</c:v>
                </c:pt>
                <c:pt idx="16">
                  <c:v>238.35305555554805</c:v>
                </c:pt>
                <c:pt idx="17">
                  <c:v>242.48722222226206</c:v>
                </c:pt>
                <c:pt idx="18">
                  <c:v>-1109984</c:v>
                </c:pt>
              </c:numCache>
            </c:numRef>
          </c:xVal>
          <c:yVal>
            <c:numRef>
              <c:f>Reactor7!$D$25:$Z$25</c:f>
              <c:numCache>
                <c:formatCode>0.0</c:formatCode>
                <c:ptCount val="23"/>
                <c:pt idx="0" formatCode="0.00">
                  <c:v>1.5308556164240228</c:v>
                </c:pt>
                <c:pt idx="1">
                  <c:v>1.5695276974418519</c:v>
                </c:pt>
                <c:pt idx="2" formatCode="0.00">
                  <c:v>1.5327819068245452</c:v>
                </c:pt>
                <c:pt idx="3" formatCode="0.00">
                  <c:v>1.5858500124934349</c:v>
                </c:pt>
                <c:pt idx="4" formatCode="0.00">
                  <c:v>1.5188738779921707</c:v>
                </c:pt>
                <c:pt idx="5" formatCode="0.00">
                  <c:v>1.527075200747851</c:v>
                </c:pt>
                <c:pt idx="6" formatCode="0.00">
                  <c:v>1.611456999483696</c:v>
                </c:pt>
                <c:pt idx="7" formatCode="0.00">
                  <c:v>1.5975401919778283</c:v>
                </c:pt>
                <c:pt idx="8" formatCode="0.00">
                  <c:v>1.6669223580901904</c:v>
                </c:pt>
                <c:pt idx="9" formatCode="0.00">
                  <c:v>1.7338398451512493</c:v>
                </c:pt>
                <c:pt idx="10" formatCode="0.00">
                  <c:v>1.5002894840116436</c:v>
                </c:pt>
                <c:pt idx="11" formatCode="0.00">
                  <c:v>1.5917945107282865</c:v>
                </c:pt>
                <c:pt idx="12" formatCode="0.00">
                  <c:v>1.5060763110050788</c:v>
                </c:pt>
                <c:pt idx="13" formatCode="0.00">
                  <c:v>1.5230108802899025</c:v>
                </c:pt>
                <c:pt idx="14" formatCode="0.00">
                  <c:v>1.5245285838599283</c:v>
                </c:pt>
                <c:pt idx="15" formatCode="0.00">
                  <c:v>1.5418897136258005</c:v>
                </c:pt>
                <c:pt idx="16" formatCode="0.00">
                  <c:v>1.5811126926018571</c:v>
                </c:pt>
                <c:pt idx="17">
                  <c:v>1.5123705709983202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5C8-473F-9A6D-87194469E3EA}"/>
            </c:ext>
          </c:extLst>
        </c:ser>
        <c:ser>
          <c:idx val="4"/>
          <c:order val="5"/>
          <c:tx>
            <c:v>R3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Reactor3!$D$22:$K$22</c:f>
              <c:numCache>
                <c:formatCode>0</c:formatCode>
                <c:ptCount val="8"/>
                <c:pt idx="0">
                  <c:v>58.261666666774545</c:v>
                </c:pt>
                <c:pt idx="1">
                  <c:v>79.552777777833398</c:v>
                </c:pt>
                <c:pt idx="2">
                  <c:v>96.088888889004011</c:v>
                </c:pt>
                <c:pt idx="3">
                  <c:v>112.62555555568542</c:v>
                </c:pt>
                <c:pt idx="4">
                  <c:v>129.16166666668141</c:v>
                </c:pt>
                <c:pt idx="5">
                  <c:v>145.69833333336283</c:v>
                </c:pt>
                <c:pt idx="6">
                  <c:v>162.23472222220153</c:v>
                </c:pt>
                <c:pt idx="7">
                  <c:v>178.77166666672565</c:v>
                </c:pt>
              </c:numCache>
            </c:numRef>
          </c:xVal>
          <c:yVal>
            <c:numRef>
              <c:f>Reactor3!$D$25:$K$25</c:f>
              <c:numCache>
                <c:formatCode>0.0</c:formatCode>
                <c:ptCount val="8"/>
                <c:pt idx="0">
                  <c:v>1.5410915569587214</c:v>
                </c:pt>
                <c:pt idx="1">
                  <c:v>1.5397491456243371</c:v>
                </c:pt>
                <c:pt idx="2">
                  <c:v>1.4956942665628468</c:v>
                </c:pt>
                <c:pt idx="3">
                  <c:v>1.4848331868502502</c:v>
                </c:pt>
                <c:pt idx="4">
                  <c:v>1.5320845909503766</c:v>
                </c:pt>
                <c:pt idx="5">
                  <c:v>1.5033551594748158</c:v>
                </c:pt>
                <c:pt idx="6">
                  <c:v>1.4913688519969881</c:v>
                </c:pt>
                <c:pt idx="7">
                  <c:v>1.4692848061728494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5C8-473F-9A6D-87194469E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</c:scatterChart>
      <c:valAx>
        <c:axId val="2015652768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Run Length,</a:t>
                </a:r>
                <a:r>
                  <a:rPr lang="en-IN" sz="1200" b="1" baseline="0">
                    <a:latin typeface="Aptos" panose="020B0004020202020204" pitchFamily="34" charset="0"/>
                  </a:rPr>
                  <a:t> hrs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25"/>
      </c:valAx>
      <c:valAx>
        <c:axId val="2015650848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LHSV,</a:t>
                </a:r>
                <a:r>
                  <a:rPr lang="en-IN" sz="1200" b="1" baseline="0">
                    <a:latin typeface="Aptos" panose="020B0004020202020204" pitchFamily="34" charset="0"/>
                  </a:rPr>
                  <a:t> h</a:t>
                </a:r>
                <a:r>
                  <a:rPr lang="en-IN" sz="1200" b="1" baseline="30000">
                    <a:latin typeface="Aptos" panose="020B0004020202020204" pitchFamily="34" charset="0"/>
                  </a:rPr>
                  <a:t>-1</a:t>
                </a:r>
              </a:p>
            </c:rich>
          </c:tx>
          <c:layout>
            <c:manualLayout>
              <c:xMode val="edge"/>
              <c:yMode val="edge"/>
              <c:x val="2.5761742778638227E-2"/>
              <c:y val="0.39857277052862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1508583481659075"/>
          <c:y val="6.5724177943677575E-2"/>
          <c:w val="0.81705975361240313"/>
          <c:h val="0.126645040185357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0"/>
          <c:order val="0"/>
          <c:tx>
            <c:v>R1 (Z-700A)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Reactor1!$D$22:$Z$22</c:f>
              <c:numCache>
                <c:formatCode>0</c:formatCode>
                <c:ptCount val="23"/>
                <c:pt idx="0">
                  <c:v>29.612500000046566</c:v>
                </c:pt>
                <c:pt idx="1">
                  <c:v>54.127500000060536</c:v>
                </c:pt>
                <c:pt idx="2">
                  <c:v>70.663888888899237</c:v>
                </c:pt>
                <c:pt idx="3">
                  <c:v>75.41861111111939</c:v>
                </c:pt>
                <c:pt idx="4">
                  <c:v>91.954722222290002</c:v>
                </c:pt>
                <c:pt idx="5">
                  <c:v>108.4911111111287</c:v>
                </c:pt>
                <c:pt idx="6">
                  <c:v>125.02750000014203</c:v>
                </c:pt>
                <c:pt idx="7">
                  <c:v>141.56416666664882</c:v>
                </c:pt>
                <c:pt idx="8">
                  <c:v>158.10111111117294</c:v>
                </c:pt>
                <c:pt idx="9">
                  <c:v>174.63750000001164</c:v>
                </c:pt>
                <c:pt idx="10">
                  <c:v>191.17388888902497</c:v>
                </c:pt>
                <c:pt idx="11">
                  <c:v>207.71027777786367</c:v>
                </c:pt>
              </c:numCache>
            </c:numRef>
          </c:xVal>
          <c:yVal>
            <c:numRef>
              <c:f>Reactor1!$D$26:$Z$26</c:f>
              <c:numCache>
                <c:formatCode>0.00</c:formatCode>
                <c:ptCount val="23"/>
                <c:pt idx="0">
                  <c:v>4.5590792350270588</c:v>
                </c:pt>
                <c:pt idx="1">
                  <c:v>3.8929040085824038</c:v>
                </c:pt>
                <c:pt idx="2">
                  <c:v>3.838544486756839</c:v>
                </c:pt>
                <c:pt idx="3">
                  <c:v>3.9679025764684486</c:v>
                </c:pt>
                <c:pt idx="4">
                  <c:v>3.8461909183369904</c:v>
                </c:pt>
                <c:pt idx="5">
                  <c:v>4.0009755708718986</c:v>
                </c:pt>
                <c:pt idx="6">
                  <c:v>3.9609124062087262</c:v>
                </c:pt>
                <c:pt idx="7">
                  <c:v>3.938942078488969</c:v>
                </c:pt>
                <c:pt idx="8">
                  <c:v>4.0430318031108587</c:v>
                </c:pt>
                <c:pt idx="9">
                  <c:v>4.7018899625333272</c:v>
                </c:pt>
                <c:pt idx="10">
                  <c:v>4.9280753244009858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75-4DA9-B02E-80FA174CFF12}"/>
            </c:ext>
          </c:extLst>
        </c:ser>
        <c:ser>
          <c:idx val="1"/>
          <c:order val="1"/>
          <c:tx>
            <c:v>R5 (Z-700A)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Reactor5!$D$22:$L$22</c:f>
              <c:numCache>
                <c:formatCode>0</c:formatCode>
                <c:ptCount val="9"/>
                <c:pt idx="0">
                  <c:v>37.560277777898591</c:v>
                </c:pt>
                <c:pt idx="1">
                  <c:v>62.395555555645842</c:v>
                </c:pt>
                <c:pt idx="2">
                  <c:v>83.686666666704696</c:v>
                </c:pt>
                <c:pt idx="3">
                  <c:v>100.2230555555434</c:v>
                </c:pt>
                <c:pt idx="4">
                  <c:v>116.75944444455672</c:v>
                </c:pt>
                <c:pt idx="5">
                  <c:v>133.29611111123813</c:v>
                </c:pt>
                <c:pt idx="6">
                  <c:v>149.83277777791955</c:v>
                </c:pt>
                <c:pt idx="7">
                  <c:v>166.36916666675825</c:v>
                </c:pt>
                <c:pt idx="8">
                  <c:v>182.90555555559695</c:v>
                </c:pt>
              </c:numCache>
            </c:numRef>
          </c:xVal>
          <c:yVal>
            <c:numRef>
              <c:f>Reactor5!$D$26:$L$26</c:f>
              <c:numCache>
                <c:formatCode>0.00</c:formatCode>
                <c:ptCount val="9"/>
                <c:pt idx="0">
                  <c:v>3.9401359735105697</c:v>
                </c:pt>
                <c:pt idx="1">
                  <c:v>3.3469118064344645</c:v>
                </c:pt>
                <c:pt idx="2">
                  <c:v>3.3252456996867887</c:v>
                </c:pt>
                <c:pt idx="3">
                  <c:v>3.3695440167878119</c:v>
                </c:pt>
                <c:pt idx="4">
                  <c:v>3.375207789318083</c:v>
                </c:pt>
                <c:pt idx="5">
                  <c:v>3.4241398020873466</c:v>
                </c:pt>
                <c:pt idx="6">
                  <c:v>3.3794184197837214</c:v>
                </c:pt>
                <c:pt idx="7">
                  <c:v>3.4496402319899571</c:v>
                </c:pt>
                <c:pt idx="8">
                  <c:v>4.2388804746053834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75-4DA9-B02E-80FA174CFF12}"/>
            </c:ext>
          </c:extLst>
        </c:ser>
        <c:ser>
          <c:idx val="2"/>
          <c:order val="2"/>
          <c:tx>
            <c:v>R2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Reactor2!$D$22:$N$22</c:f>
              <c:numCache>
                <c:formatCode>0</c:formatCode>
                <c:ptCount val="11"/>
                <c:pt idx="0">
                  <c:v>31.679444444482215</c:v>
                </c:pt>
                <c:pt idx="1">
                  <c:v>56.194444444496185</c:v>
                </c:pt>
                <c:pt idx="2">
                  <c:v>77.485555555555038</c:v>
                </c:pt>
                <c:pt idx="3">
                  <c:v>94.022222222236451</c:v>
                </c:pt>
                <c:pt idx="4">
                  <c:v>110.55861111124977</c:v>
                </c:pt>
                <c:pt idx="5">
                  <c:v>127.09472222224576</c:v>
                </c:pt>
                <c:pt idx="6">
                  <c:v>143.63138888892718</c:v>
                </c:pt>
                <c:pt idx="7">
                  <c:v>160.16805555560859</c:v>
                </c:pt>
                <c:pt idx="8">
                  <c:v>176.7041666667792</c:v>
                </c:pt>
                <c:pt idx="9">
                  <c:v>193.24083333346061</c:v>
                </c:pt>
                <c:pt idx="10">
                  <c:v>209.77722222229932</c:v>
                </c:pt>
              </c:numCache>
            </c:numRef>
          </c:xVal>
          <c:yVal>
            <c:numRef>
              <c:f>Reactor2!$D$26:$N$26</c:f>
              <c:numCache>
                <c:formatCode>0.00</c:formatCode>
                <c:ptCount val="11"/>
                <c:pt idx="0">
                  <c:v>3.7708690951706538</c:v>
                </c:pt>
                <c:pt idx="1">
                  <c:v>2.9556653835130828</c:v>
                </c:pt>
                <c:pt idx="2">
                  <c:v>3.0613281802885304</c:v>
                </c:pt>
                <c:pt idx="3">
                  <c:v>3.0626940281258919</c:v>
                </c:pt>
                <c:pt idx="4">
                  <c:v>3.1941497930236724</c:v>
                </c:pt>
                <c:pt idx="5">
                  <c:v>3.1196857000994536</c:v>
                </c:pt>
                <c:pt idx="6">
                  <c:v>3.1364181362567858</c:v>
                </c:pt>
                <c:pt idx="7">
                  <c:v>3.2313780343635705</c:v>
                </c:pt>
                <c:pt idx="8">
                  <c:v>3.8803047911283932</c:v>
                </c:pt>
                <c:pt idx="9">
                  <c:v>4.065525468026955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75-4DA9-B02E-80FA174CFF12}"/>
            </c:ext>
          </c:extLst>
        </c:ser>
        <c:ser>
          <c:idx val="3"/>
          <c:order val="3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Reactor6!$D$22:$Z$22</c:f>
              <c:numCache>
                <c:formatCode>0</c:formatCode>
                <c:ptCount val="23"/>
                <c:pt idx="0">
                  <c:v>39.62722222233424</c:v>
                </c:pt>
                <c:pt idx="1">
                  <c:v>64.462777777749579</c:v>
                </c:pt>
                <c:pt idx="2">
                  <c:v>85.753611111140344</c:v>
                </c:pt>
                <c:pt idx="3">
                  <c:v>102.29027777782176</c:v>
                </c:pt>
                <c:pt idx="4">
                  <c:v>118.82638888899237</c:v>
                </c:pt>
                <c:pt idx="5">
                  <c:v>135.36277777783107</c:v>
                </c:pt>
                <c:pt idx="6">
                  <c:v>151.89972222235519</c:v>
                </c:pt>
                <c:pt idx="7">
                  <c:v>168.43638888886198</c:v>
                </c:pt>
                <c:pt idx="8">
                  <c:v>184.9725000000326</c:v>
                </c:pt>
                <c:pt idx="9">
                  <c:v>201.50916666671401</c:v>
                </c:pt>
              </c:numCache>
            </c:numRef>
          </c:xVal>
          <c:yVal>
            <c:numRef>
              <c:f>Reactor6!$D$26:$Z$26</c:f>
              <c:numCache>
                <c:formatCode>0.00</c:formatCode>
                <c:ptCount val="23"/>
                <c:pt idx="0">
                  <c:v>3.7074169504274819</c:v>
                </c:pt>
                <c:pt idx="1">
                  <c:v>3.0933350616381623</c:v>
                </c:pt>
                <c:pt idx="2">
                  <c:v>3.1225222547147693</c:v>
                </c:pt>
                <c:pt idx="3">
                  <c:v>3.1790698149755778</c:v>
                </c:pt>
                <c:pt idx="4">
                  <c:v>3.2529627404761681</c:v>
                </c:pt>
                <c:pt idx="5">
                  <c:v>3.2759579468197915</c:v>
                </c:pt>
                <c:pt idx="6">
                  <c:v>3.1881165910237064</c:v>
                </c:pt>
                <c:pt idx="7">
                  <c:v>3.3336531314286542</c:v>
                </c:pt>
                <c:pt idx="8">
                  <c:v>4.1021117546952279</c:v>
                </c:pt>
                <c:pt idx="9">
                  <c:v>3.3240642643451146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675-4DA9-B02E-80FA174CFF12}"/>
            </c:ext>
          </c:extLst>
        </c:ser>
        <c:ser>
          <c:idx val="5"/>
          <c:order val="4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Reactor7!$D$22:$Z$22</c:f>
              <c:numCache>
                <c:formatCode>0</c:formatCode>
                <c:ptCount val="23"/>
                <c:pt idx="0">
                  <c:v>41.694444444437977</c:v>
                </c:pt>
                <c:pt idx="1">
                  <c:v>66.53000000002794</c:v>
                </c:pt>
                <c:pt idx="2">
                  <c:v>87.820833333418705</c:v>
                </c:pt>
                <c:pt idx="3">
                  <c:v>104.35750000010012</c:v>
                </c:pt>
                <c:pt idx="4">
                  <c:v>120.89361111109611</c:v>
                </c:pt>
                <c:pt idx="5">
                  <c:v>137.43027777777752</c:v>
                </c:pt>
                <c:pt idx="6">
                  <c:v>153.96666666679084</c:v>
                </c:pt>
                <c:pt idx="7">
                  <c:v>170.50305555562954</c:v>
                </c:pt>
                <c:pt idx="8">
                  <c:v>187.03944444446824</c:v>
                </c:pt>
                <c:pt idx="9">
                  <c:v>203.57583333330695</c:v>
                </c:pt>
                <c:pt idx="10">
                  <c:v>223.00722222222248</c:v>
                </c:pt>
                <c:pt idx="11">
                  <c:v>225.95055555558065</c:v>
                </c:pt>
                <c:pt idx="12">
                  <c:v>230.08444444445195</c:v>
                </c:pt>
                <c:pt idx="13">
                  <c:v>232.15194444457302</c:v>
                </c:pt>
                <c:pt idx="14">
                  <c:v>234.21888888900867</c:v>
                </c:pt>
                <c:pt idx="15">
                  <c:v>236.28583333344432</c:v>
                </c:pt>
                <c:pt idx="16">
                  <c:v>238.35305555554805</c:v>
                </c:pt>
                <c:pt idx="17">
                  <c:v>242.48722222226206</c:v>
                </c:pt>
                <c:pt idx="18">
                  <c:v>-1109984</c:v>
                </c:pt>
              </c:numCache>
            </c:numRef>
          </c:xVal>
          <c:yVal>
            <c:numRef>
              <c:f>Reactor7!$D$26:$Z$26</c:f>
              <c:numCache>
                <c:formatCode>0.00</c:formatCode>
                <c:ptCount val="23"/>
                <c:pt idx="0">
                  <c:v>3.8248051122782347</c:v>
                </c:pt>
                <c:pt idx="1">
                  <c:v>2.9278698831491319</c:v>
                </c:pt>
                <c:pt idx="2">
                  <c:v>2.9814634386950924</c:v>
                </c:pt>
                <c:pt idx="3">
                  <c:v>2.9619838691316303</c:v>
                </c:pt>
                <c:pt idx="4">
                  <c:v>3.0631510670623614</c:v>
                </c:pt>
                <c:pt idx="5">
                  <c:v>3.0601840469964947</c:v>
                </c:pt>
                <c:pt idx="6">
                  <c:v>2.9099104642054732</c:v>
                </c:pt>
                <c:pt idx="7">
                  <c:v>2.9503860625979148</c:v>
                </c:pt>
                <c:pt idx="8">
                  <c:v>3.4959064575252938</c:v>
                </c:pt>
                <c:pt idx="9">
                  <c:v>2.8033692389668223</c:v>
                </c:pt>
                <c:pt idx="10">
                  <c:v>3.2223318326029933</c:v>
                </c:pt>
                <c:pt idx="11">
                  <c:v>3.0477427485394184</c:v>
                </c:pt>
                <c:pt idx="12">
                  <c:v>3.1472332888862429</c:v>
                </c:pt>
                <c:pt idx="13">
                  <c:v>3.1173145812632033</c:v>
                </c:pt>
                <c:pt idx="14">
                  <c:v>3.1089990446571925</c:v>
                </c:pt>
                <c:pt idx="15">
                  <c:v>3.0771570457229576</c:v>
                </c:pt>
                <c:pt idx="16">
                  <c:v>3.0075416876353058</c:v>
                </c:pt>
                <c:pt idx="17">
                  <c:v>3.2698872971103743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675-4DA9-B02E-80FA174CFF12}"/>
            </c:ext>
          </c:extLst>
        </c:ser>
        <c:ser>
          <c:idx val="4"/>
          <c:order val="5"/>
          <c:tx>
            <c:v>R3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Reactor3!$D$22:$K$22</c:f>
              <c:numCache>
                <c:formatCode>0</c:formatCode>
                <c:ptCount val="8"/>
                <c:pt idx="0">
                  <c:v>58.261666666774545</c:v>
                </c:pt>
                <c:pt idx="1">
                  <c:v>79.552777777833398</c:v>
                </c:pt>
                <c:pt idx="2">
                  <c:v>96.088888889004011</c:v>
                </c:pt>
                <c:pt idx="3">
                  <c:v>112.62555555568542</c:v>
                </c:pt>
                <c:pt idx="4">
                  <c:v>129.16166666668141</c:v>
                </c:pt>
                <c:pt idx="5">
                  <c:v>145.69833333336283</c:v>
                </c:pt>
                <c:pt idx="6">
                  <c:v>162.23472222220153</c:v>
                </c:pt>
                <c:pt idx="7">
                  <c:v>178.77166666672565</c:v>
                </c:pt>
              </c:numCache>
            </c:numRef>
          </c:xVal>
          <c:yVal>
            <c:numRef>
              <c:f>Reactor3!$D$26:$K$26</c:f>
              <c:numCache>
                <c:formatCode>0.00</c:formatCode>
                <c:ptCount val="8"/>
                <c:pt idx="0">
                  <c:v>2.8666217388042998</c:v>
                </c:pt>
                <c:pt idx="1">
                  <c:v>2.8232034984025538</c:v>
                </c:pt>
                <c:pt idx="2">
                  <c:v>2.921934148386069</c:v>
                </c:pt>
                <c:pt idx="3">
                  <c:v>3.0090037773814156</c:v>
                </c:pt>
                <c:pt idx="4">
                  <c:v>2.9040806667058625</c:v>
                </c:pt>
                <c:pt idx="5">
                  <c:v>2.9711708479502978</c:v>
                </c:pt>
                <c:pt idx="6">
                  <c:v>3.021928966071564</c:v>
                </c:pt>
                <c:pt idx="7">
                  <c:v>3.7911714148021081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675-4DA9-B02E-80FA174CF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</c:scatterChart>
      <c:valAx>
        <c:axId val="2015652768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Run Length,</a:t>
                </a:r>
                <a:r>
                  <a:rPr lang="en-IN" sz="1200" b="1" baseline="0">
                    <a:latin typeface="Aptos" panose="020B0004020202020204" pitchFamily="34" charset="0"/>
                  </a:rPr>
                  <a:t> hrs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25"/>
      </c:valAx>
      <c:valAx>
        <c:axId val="2015650848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H2/Naptha, mol.</a:t>
                </a:r>
                <a:r>
                  <a:rPr lang="en-IN" sz="1200" b="1" baseline="0">
                    <a:latin typeface="Aptos" panose="020B0004020202020204" pitchFamily="34" charset="0"/>
                  </a:rPr>
                  <a:t> ratio</a:t>
                </a:r>
                <a:endParaRPr lang="en-IN" sz="1200" b="1" baseline="30000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4.6759120035374052E-2"/>
              <c:y val="0.313212156211806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1508583481659075"/>
          <c:y val="6.5724177943677575E-2"/>
          <c:w val="0.81705975361240313"/>
          <c:h val="0.126645040185357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0"/>
          <c:order val="0"/>
          <c:tx>
            <c:v>R1 (Z-700A)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Reactor1!$D$22:$M$22</c:f>
              <c:numCache>
                <c:formatCode>0</c:formatCode>
                <c:ptCount val="10"/>
                <c:pt idx="0">
                  <c:v>29.612500000046566</c:v>
                </c:pt>
                <c:pt idx="1">
                  <c:v>54.127500000060536</c:v>
                </c:pt>
                <c:pt idx="2">
                  <c:v>70.663888888899237</c:v>
                </c:pt>
                <c:pt idx="3">
                  <c:v>75.41861111111939</c:v>
                </c:pt>
                <c:pt idx="4">
                  <c:v>91.954722222290002</c:v>
                </c:pt>
                <c:pt idx="5">
                  <c:v>108.4911111111287</c:v>
                </c:pt>
                <c:pt idx="6">
                  <c:v>125.02750000014203</c:v>
                </c:pt>
                <c:pt idx="7">
                  <c:v>141.56416666664882</c:v>
                </c:pt>
                <c:pt idx="8">
                  <c:v>158.10111111117294</c:v>
                </c:pt>
                <c:pt idx="9">
                  <c:v>174.63750000001164</c:v>
                </c:pt>
              </c:numCache>
            </c:numRef>
          </c:xVal>
          <c:yVal>
            <c:numRef>
              <c:f>Reactor1!$D$111:$M$111</c:f>
              <c:numCache>
                <c:formatCode>0.00</c:formatCode>
                <c:ptCount val="10"/>
                <c:pt idx="0">
                  <c:v>8.650907963044574E-2</c:v>
                </c:pt>
                <c:pt idx="1">
                  <c:v>0.11613359659069999</c:v>
                </c:pt>
                <c:pt idx="2">
                  <c:v>0.11431678841377391</c:v>
                </c:pt>
                <c:pt idx="3">
                  <c:v>0.11258413384976507</c:v>
                </c:pt>
                <c:pt idx="4">
                  <c:v>0.11599648324580869</c:v>
                </c:pt>
                <c:pt idx="5">
                  <c:v>0.10628335961573043</c:v>
                </c:pt>
                <c:pt idx="6">
                  <c:v>0.10616299236336602</c:v>
                </c:pt>
                <c:pt idx="7">
                  <c:v>0.1060070687285446</c:v>
                </c:pt>
                <c:pt idx="8">
                  <c:v>9.7618510538296732E-2</c:v>
                </c:pt>
                <c:pt idx="9">
                  <c:v>9.2897036975116976E-2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29-4B7C-A623-21487FDCE2AF}"/>
            </c:ext>
          </c:extLst>
        </c:ser>
        <c:ser>
          <c:idx val="1"/>
          <c:order val="1"/>
          <c:tx>
            <c:v>R5 (Z-700A)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Reactor5!$D$22:$L$22</c:f>
              <c:numCache>
                <c:formatCode>0</c:formatCode>
                <c:ptCount val="9"/>
                <c:pt idx="0">
                  <c:v>37.560277777898591</c:v>
                </c:pt>
                <c:pt idx="1">
                  <c:v>62.395555555645842</c:v>
                </c:pt>
                <c:pt idx="2">
                  <c:v>83.686666666704696</c:v>
                </c:pt>
                <c:pt idx="3">
                  <c:v>100.2230555555434</c:v>
                </c:pt>
                <c:pt idx="4">
                  <c:v>116.75944444455672</c:v>
                </c:pt>
                <c:pt idx="5">
                  <c:v>133.29611111123813</c:v>
                </c:pt>
                <c:pt idx="6">
                  <c:v>149.83277777791955</c:v>
                </c:pt>
                <c:pt idx="7">
                  <c:v>166.36916666675825</c:v>
                </c:pt>
                <c:pt idx="8">
                  <c:v>182.90555555559695</c:v>
                </c:pt>
              </c:numCache>
            </c:numRef>
          </c:xVal>
          <c:yVal>
            <c:numRef>
              <c:f>Reactor5!$D$111:$L$111</c:f>
              <c:numCache>
                <c:formatCode>0.00</c:formatCode>
                <c:ptCount val="9"/>
                <c:pt idx="0">
                  <c:v>9.5447116822370504E-2</c:v>
                </c:pt>
                <c:pt idx="1">
                  <c:v>0.13190496328851964</c:v>
                </c:pt>
                <c:pt idx="2">
                  <c:v>0.13263847145354646</c:v>
                </c:pt>
                <c:pt idx="3">
                  <c:v>0.13271247311179479</c:v>
                </c:pt>
                <c:pt idx="4">
                  <c:v>0.11732561190194701</c:v>
                </c:pt>
                <c:pt idx="5">
                  <c:v>0.11944801206155375</c:v>
                </c:pt>
                <c:pt idx="6">
                  <c:v>0.10857366399184798</c:v>
                </c:pt>
                <c:pt idx="7">
                  <c:v>0.10867399991300886</c:v>
                </c:pt>
                <c:pt idx="8">
                  <c:v>9.9613918930188561E-2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29-4B7C-A623-21487FDCE2AF}"/>
            </c:ext>
          </c:extLst>
        </c:ser>
        <c:ser>
          <c:idx val="2"/>
          <c:order val="2"/>
          <c:tx>
            <c:v>R2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Reactor2!$D$22:$N$22</c:f>
              <c:numCache>
                <c:formatCode>0</c:formatCode>
                <c:ptCount val="11"/>
                <c:pt idx="0">
                  <c:v>31.679444444482215</c:v>
                </c:pt>
                <c:pt idx="1">
                  <c:v>56.194444444496185</c:v>
                </c:pt>
                <c:pt idx="2">
                  <c:v>77.485555555555038</c:v>
                </c:pt>
                <c:pt idx="3">
                  <c:v>94.022222222236451</c:v>
                </c:pt>
                <c:pt idx="4">
                  <c:v>110.55861111124977</c:v>
                </c:pt>
                <c:pt idx="5">
                  <c:v>127.09472222224576</c:v>
                </c:pt>
                <c:pt idx="6">
                  <c:v>143.63138888892718</c:v>
                </c:pt>
                <c:pt idx="7">
                  <c:v>160.16805555560859</c:v>
                </c:pt>
                <c:pt idx="8">
                  <c:v>176.7041666667792</c:v>
                </c:pt>
                <c:pt idx="9">
                  <c:v>193.24083333346061</c:v>
                </c:pt>
                <c:pt idx="10">
                  <c:v>209.77722222229932</c:v>
                </c:pt>
              </c:numCache>
            </c:numRef>
          </c:xVal>
          <c:yVal>
            <c:numRef>
              <c:f>Reactor2!$D$111:$N$111</c:f>
              <c:numCache>
                <c:formatCode>0.00</c:formatCode>
                <c:ptCount val="11"/>
                <c:pt idx="0">
                  <c:v>0.14820222031103469</c:v>
                </c:pt>
                <c:pt idx="1">
                  <c:v>0.2441815533651237</c:v>
                </c:pt>
                <c:pt idx="2">
                  <c:v>0.3723385262400285</c:v>
                </c:pt>
                <c:pt idx="3">
                  <c:v>0.38052040455293934</c:v>
                </c:pt>
                <c:pt idx="4">
                  <c:v>0.30477313572754383</c:v>
                </c:pt>
                <c:pt idx="5">
                  <c:v>0.30656512531226099</c:v>
                </c:pt>
                <c:pt idx="6">
                  <c:v>0.30628614200819015</c:v>
                </c:pt>
                <c:pt idx="7">
                  <c:v>0.24107119252853693</c:v>
                </c:pt>
                <c:pt idx="8">
                  <c:v>0.18506671710279932</c:v>
                </c:pt>
                <c:pt idx="9">
                  <c:v>0.18685253525106305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29-4B7C-A623-21487FDCE2AF}"/>
            </c:ext>
          </c:extLst>
        </c:ser>
        <c:ser>
          <c:idx val="3"/>
          <c:order val="3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Reactor6!$D$22:$Z$22</c:f>
              <c:numCache>
                <c:formatCode>0</c:formatCode>
                <c:ptCount val="23"/>
                <c:pt idx="0">
                  <c:v>39.62722222233424</c:v>
                </c:pt>
                <c:pt idx="1">
                  <c:v>64.462777777749579</c:v>
                </c:pt>
                <c:pt idx="2">
                  <c:v>85.753611111140344</c:v>
                </c:pt>
                <c:pt idx="3">
                  <c:v>102.29027777782176</c:v>
                </c:pt>
                <c:pt idx="4">
                  <c:v>118.82638888899237</c:v>
                </c:pt>
                <c:pt idx="5">
                  <c:v>135.36277777783107</c:v>
                </c:pt>
                <c:pt idx="6">
                  <c:v>151.89972222235519</c:v>
                </c:pt>
                <c:pt idx="7">
                  <c:v>168.43638888886198</c:v>
                </c:pt>
                <c:pt idx="8">
                  <c:v>184.9725000000326</c:v>
                </c:pt>
                <c:pt idx="9">
                  <c:v>201.50916666671401</c:v>
                </c:pt>
              </c:numCache>
            </c:numRef>
          </c:xVal>
          <c:yVal>
            <c:numRef>
              <c:f>Reactor6!$D$111:$Z$111</c:f>
              <c:numCache>
                <c:formatCode>0.00</c:formatCode>
                <c:ptCount val="23"/>
                <c:pt idx="0">
                  <c:v>6.0231467120146931E-2</c:v>
                </c:pt>
                <c:pt idx="1">
                  <c:v>0.35256216583211142</c:v>
                </c:pt>
                <c:pt idx="2">
                  <c:v>0.3705293065408739</c:v>
                </c:pt>
                <c:pt idx="3">
                  <c:v>0.29392054739913931</c:v>
                </c:pt>
                <c:pt idx="4">
                  <c:v>0.30538788087191904</c:v>
                </c:pt>
                <c:pt idx="5">
                  <c:v>0.30901591404119699</c:v>
                </c:pt>
                <c:pt idx="6">
                  <c:v>0.24390794218939504</c:v>
                </c:pt>
                <c:pt idx="7">
                  <c:v>0.24648614105424826</c:v>
                </c:pt>
                <c:pt idx="8">
                  <c:v>0.19088827797918384</c:v>
                </c:pt>
                <c:pt idx="9">
                  <c:v>0.15856722943804868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229-4B7C-A623-21487FDCE2AF}"/>
            </c:ext>
          </c:extLst>
        </c:ser>
        <c:ser>
          <c:idx val="5"/>
          <c:order val="4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Reactor7!$D$22:$Z$22</c:f>
              <c:numCache>
                <c:formatCode>0</c:formatCode>
                <c:ptCount val="23"/>
                <c:pt idx="0">
                  <c:v>41.694444444437977</c:v>
                </c:pt>
                <c:pt idx="1">
                  <c:v>66.53000000002794</c:v>
                </c:pt>
                <c:pt idx="2">
                  <c:v>87.820833333418705</c:v>
                </c:pt>
                <c:pt idx="3">
                  <c:v>104.35750000010012</c:v>
                </c:pt>
                <c:pt idx="4">
                  <c:v>120.89361111109611</c:v>
                </c:pt>
                <c:pt idx="5">
                  <c:v>137.43027777777752</c:v>
                </c:pt>
                <c:pt idx="6">
                  <c:v>153.96666666679084</c:v>
                </c:pt>
                <c:pt idx="7">
                  <c:v>170.50305555562954</c:v>
                </c:pt>
                <c:pt idx="8">
                  <c:v>187.03944444446824</c:v>
                </c:pt>
                <c:pt idx="9">
                  <c:v>203.57583333330695</c:v>
                </c:pt>
                <c:pt idx="10">
                  <c:v>223.00722222222248</c:v>
                </c:pt>
                <c:pt idx="11">
                  <c:v>225.95055555558065</c:v>
                </c:pt>
                <c:pt idx="12">
                  <c:v>230.08444444445195</c:v>
                </c:pt>
                <c:pt idx="13">
                  <c:v>232.15194444457302</c:v>
                </c:pt>
                <c:pt idx="14">
                  <c:v>234.21888888900867</c:v>
                </c:pt>
                <c:pt idx="15">
                  <c:v>236.28583333344432</c:v>
                </c:pt>
                <c:pt idx="16">
                  <c:v>238.35305555554805</c:v>
                </c:pt>
                <c:pt idx="17">
                  <c:v>242.48722222226206</c:v>
                </c:pt>
                <c:pt idx="18">
                  <c:v>-1109984</c:v>
                </c:pt>
              </c:numCache>
            </c:numRef>
          </c:xVal>
          <c:yVal>
            <c:numRef>
              <c:f>Reactor7!$D$111:$Z$111</c:f>
              <c:numCache>
                <c:formatCode>0.00</c:formatCode>
                <c:ptCount val="23"/>
                <c:pt idx="0">
                  <c:v>0.36304583000224966</c:v>
                </c:pt>
                <c:pt idx="1">
                  <c:v>0.69632831421671426</c:v>
                </c:pt>
                <c:pt idx="2">
                  <c:v>0.75026159564421846</c:v>
                </c:pt>
                <c:pt idx="3">
                  <c:v>0.68929265872237977</c:v>
                </c:pt>
                <c:pt idx="4">
                  <c:v>0.69356455308896159</c:v>
                </c:pt>
                <c:pt idx="5">
                  <c:v>0.70015801765799779</c:v>
                </c:pt>
                <c:pt idx="6">
                  <c:v>0.61858206583983133</c:v>
                </c:pt>
                <c:pt idx="7">
                  <c:v>0.61902347995560092</c:v>
                </c:pt>
                <c:pt idx="8">
                  <c:v>0.51120547947598993</c:v>
                </c:pt>
                <c:pt idx="9">
                  <c:v>0.43691925012512911</c:v>
                </c:pt>
                <c:pt idx="10">
                  <c:v>0.44864636007049796</c:v>
                </c:pt>
                <c:pt idx="11">
                  <c:v>0.445394202596745</c:v>
                </c:pt>
                <c:pt idx="13">
                  <c:v>0.62082353199144791</c:v>
                </c:pt>
                <c:pt idx="14">
                  <c:v>0.62152618818069527</c:v>
                </c:pt>
                <c:pt idx="15">
                  <c:v>0.62060232358615508</c:v>
                </c:pt>
                <c:pt idx="16">
                  <c:v>0.61891351858515975</c:v>
                </c:pt>
                <c:pt idx="17">
                  <c:v>0.31434498637473496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229-4B7C-A623-21487FDCE2AF}"/>
            </c:ext>
          </c:extLst>
        </c:ser>
        <c:ser>
          <c:idx val="4"/>
          <c:order val="5"/>
          <c:tx>
            <c:v>R3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Reactor3!$D$22:$K$22</c:f>
              <c:numCache>
                <c:formatCode>0</c:formatCode>
                <c:ptCount val="8"/>
                <c:pt idx="0">
                  <c:v>58.261666666774545</c:v>
                </c:pt>
                <c:pt idx="1">
                  <c:v>79.552777777833398</c:v>
                </c:pt>
                <c:pt idx="2">
                  <c:v>96.088888889004011</c:v>
                </c:pt>
                <c:pt idx="3">
                  <c:v>112.62555555568542</c:v>
                </c:pt>
                <c:pt idx="4">
                  <c:v>129.16166666668141</c:v>
                </c:pt>
                <c:pt idx="5">
                  <c:v>145.69833333336283</c:v>
                </c:pt>
                <c:pt idx="6">
                  <c:v>162.23472222220153</c:v>
                </c:pt>
                <c:pt idx="7">
                  <c:v>178.77166666672565</c:v>
                </c:pt>
              </c:numCache>
            </c:numRef>
          </c:xVal>
          <c:yVal>
            <c:numRef>
              <c:f>Reactor3!$D$111:$K$111</c:f>
              <c:numCache>
                <c:formatCode>0.00</c:formatCode>
                <c:ptCount val="8"/>
                <c:pt idx="0">
                  <c:v>0.69450426340526406</c:v>
                </c:pt>
                <c:pt idx="1">
                  <c:v>0.74064413519947436</c:v>
                </c:pt>
                <c:pt idx="2">
                  <c:v>0.7641028539683532</c:v>
                </c:pt>
                <c:pt idx="3">
                  <c:v>0.69514461286796347</c:v>
                </c:pt>
                <c:pt idx="4">
                  <c:v>0.70500487535137779</c:v>
                </c:pt>
                <c:pt idx="5">
                  <c:v>0.702329957297124</c:v>
                </c:pt>
                <c:pt idx="6">
                  <c:v>0.61777444927480474</c:v>
                </c:pt>
                <c:pt idx="7">
                  <c:v>0.52498053371046183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229-4B7C-A623-21487FDCE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</c:scatterChart>
      <c:valAx>
        <c:axId val="2015652768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Run Length,</a:t>
                </a:r>
                <a:r>
                  <a:rPr lang="en-IN" sz="1200" b="1" baseline="0">
                    <a:latin typeface="Aptos" panose="020B0004020202020204" pitchFamily="34" charset="0"/>
                  </a:rPr>
                  <a:t> hrs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25"/>
      </c:valAx>
      <c:valAx>
        <c:axId val="201565084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H2 Consumption,</a:t>
                </a:r>
                <a:r>
                  <a:rPr lang="en-IN" sz="1200" b="1" baseline="0">
                    <a:latin typeface="Aptos" panose="020B0004020202020204" pitchFamily="34" charset="0"/>
                  </a:rPr>
                  <a:t> wof%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2760868530883502E-2"/>
              <c:y val="0.29955445792111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1508583481659075"/>
          <c:y val="6.5724177943677575E-2"/>
          <c:w val="0.83105800511689365"/>
          <c:h val="0.126645040185357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096081493924319E-2"/>
          <c:y val="0.10312219175091202"/>
          <c:w val="0.87943035739428643"/>
          <c:h val="0.60409159049119898"/>
        </c:manualLayout>
      </c:layout>
      <c:barChart>
        <c:barDir val="col"/>
        <c:grouping val="clustered"/>
        <c:varyColors val="0"/>
        <c:ser>
          <c:idx val="0"/>
          <c:order val="0"/>
          <c:tx>
            <c:v>Feed_Light Naphtha (&lt;120 oC)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Reactor1!$A$42:$A$71</c:f>
              <c:strCache>
                <c:ptCount val="30"/>
                <c:pt idx="0">
                  <c:v>Methane</c:v>
                </c:pt>
                <c:pt idx="1">
                  <c:v>Ethane</c:v>
                </c:pt>
                <c:pt idx="2">
                  <c:v>Propane</c:v>
                </c:pt>
                <c:pt idx="3">
                  <c:v>n-Butane</c:v>
                </c:pt>
                <c:pt idx="4">
                  <c:v>iso-Butane</c:v>
                </c:pt>
                <c:pt idx="5">
                  <c:v>n-Pentane</c:v>
                </c:pt>
                <c:pt idx="6">
                  <c:v>iso-Pentane</c:v>
                </c:pt>
                <c:pt idx="7">
                  <c:v>Cyclopentane</c:v>
                </c:pt>
                <c:pt idx="8">
                  <c:v>n-Hexane</c:v>
                </c:pt>
                <c:pt idx="9">
                  <c:v>2-Methyl Pentane</c:v>
                </c:pt>
                <c:pt idx="10">
                  <c:v>3-Methyl Pentane</c:v>
                </c:pt>
                <c:pt idx="11">
                  <c:v>2,3-Dimethyl Butane</c:v>
                </c:pt>
                <c:pt idx="12">
                  <c:v>2,2-Dimethyl Butane</c:v>
                </c:pt>
                <c:pt idx="13">
                  <c:v>Cyclohexane</c:v>
                </c:pt>
                <c:pt idx="14">
                  <c:v>Methyl Cyclopentane</c:v>
                </c:pt>
                <c:pt idx="15">
                  <c:v>Benzene</c:v>
                </c:pt>
                <c:pt idx="16">
                  <c:v>n-Heptane</c:v>
                </c:pt>
                <c:pt idx="17">
                  <c:v>iC7 Single Branched</c:v>
                </c:pt>
                <c:pt idx="18">
                  <c:v>iC7 Multi Branched</c:v>
                </c:pt>
                <c:pt idx="19">
                  <c:v>C7N</c:v>
                </c:pt>
                <c:pt idx="20">
                  <c:v>Toluene</c:v>
                </c:pt>
                <c:pt idx="21">
                  <c:v>C8P</c:v>
                </c:pt>
                <c:pt idx="22">
                  <c:v>C8N</c:v>
                </c:pt>
                <c:pt idx="23">
                  <c:v>C8A</c:v>
                </c:pt>
                <c:pt idx="24">
                  <c:v>C9P</c:v>
                </c:pt>
                <c:pt idx="25">
                  <c:v>C9N</c:v>
                </c:pt>
                <c:pt idx="26">
                  <c:v>C9A</c:v>
                </c:pt>
                <c:pt idx="27">
                  <c:v>C10P</c:v>
                </c:pt>
                <c:pt idx="28">
                  <c:v>C10N</c:v>
                </c:pt>
                <c:pt idx="29">
                  <c:v>C10A</c:v>
                </c:pt>
              </c:strCache>
            </c:strRef>
          </c:cat>
          <c:val>
            <c:numRef>
              <c:f>Reactor8!$D$80:$D$101</c:f>
              <c:numCache>
                <c:formatCode>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4.217973460548069E-2</c:v>
                </c:pt>
                <c:pt idx="3">
                  <c:v>1.6073493509551542</c:v>
                </c:pt>
                <c:pt idx="4">
                  <c:v>0.28746794337131371</c:v>
                </c:pt>
                <c:pt idx="5">
                  <c:v>12.610215825169552</c:v>
                </c:pt>
                <c:pt idx="6">
                  <c:v>7.4255022979475518</c:v>
                </c:pt>
                <c:pt idx="7">
                  <c:v>0</c:v>
                </c:pt>
                <c:pt idx="8">
                  <c:v>17.577721278637764</c:v>
                </c:pt>
                <c:pt idx="9">
                  <c:v>7.8911242651911202</c:v>
                </c:pt>
                <c:pt idx="10">
                  <c:v>3.6340657380437094</c:v>
                </c:pt>
                <c:pt idx="11">
                  <c:v>0.70917824250839223</c:v>
                </c:pt>
                <c:pt idx="12">
                  <c:v>1.6103679779756904E-2</c:v>
                </c:pt>
                <c:pt idx="13">
                  <c:v>0.30785293074831072</c:v>
                </c:pt>
                <c:pt idx="14">
                  <c:v>0.66372474336489573</c:v>
                </c:pt>
                <c:pt idx="15">
                  <c:v>0</c:v>
                </c:pt>
                <c:pt idx="16">
                  <c:v>16.235768974982992</c:v>
                </c:pt>
                <c:pt idx="17">
                  <c:v>13.786360759719527</c:v>
                </c:pt>
                <c:pt idx="18">
                  <c:v>0.94854826140797721</c:v>
                </c:pt>
                <c:pt idx="19">
                  <c:v>0.9850299247897415</c:v>
                </c:pt>
                <c:pt idx="20">
                  <c:v>0</c:v>
                </c:pt>
                <c:pt idx="21">
                  <c:v>14.894939276405131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CA-4635-A518-38309C94792A}"/>
            </c:ext>
          </c:extLst>
        </c:ser>
        <c:ser>
          <c:idx val="1"/>
          <c:order val="1"/>
          <c:tx>
            <c:v>Isomerate Product @ 210 oC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Reactor7!$J$80:$J$101</c:f>
              <c:numCache>
                <c:formatCode>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7.816124984600596</c:v>
                </c:pt>
                <c:pt idx="3">
                  <c:v>3.5459065293420706</c:v>
                </c:pt>
                <c:pt idx="4">
                  <c:v>15.885940608886518</c:v>
                </c:pt>
                <c:pt idx="5">
                  <c:v>12.322759881202643</c:v>
                </c:pt>
                <c:pt idx="6">
                  <c:v>11.008730489387693</c:v>
                </c:pt>
                <c:pt idx="7">
                  <c:v>0</c:v>
                </c:pt>
                <c:pt idx="8">
                  <c:v>13.336996204754492</c:v>
                </c:pt>
                <c:pt idx="9">
                  <c:v>8.6013825924696032</c:v>
                </c:pt>
                <c:pt idx="10">
                  <c:v>5.247818546528018</c:v>
                </c:pt>
                <c:pt idx="11">
                  <c:v>2.6914837074693505</c:v>
                </c:pt>
                <c:pt idx="12">
                  <c:v>0.48400255159387279</c:v>
                </c:pt>
                <c:pt idx="13">
                  <c:v>0.30374637239200031</c:v>
                </c:pt>
                <c:pt idx="14">
                  <c:v>0.58171426380094771</c:v>
                </c:pt>
                <c:pt idx="15">
                  <c:v>0</c:v>
                </c:pt>
                <c:pt idx="16">
                  <c:v>5.5778605794200615</c:v>
                </c:pt>
                <c:pt idx="17">
                  <c:v>7.5698116994261069</c:v>
                </c:pt>
                <c:pt idx="18">
                  <c:v>3.0688355919360299</c:v>
                </c:pt>
                <c:pt idx="19">
                  <c:v>0.96823451355714973</c:v>
                </c:pt>
                <c:pt idx="20">
                  <c:v>0</c:v>
                </c:pt>
                <c:pt idx="21">
                  <c:v>1.572433005931372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CA-4635-A518-38309C947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5652768"/>
        <c:axId val="2015650848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v>Isomerate @ 200 oC</c:v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Reactor7!$O$80:$O$101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0</c:v>
                      </c:pt>
                      <c:pt idx="1">
                        <c:v>0</c:v>
                      </c:pt>
                      <c:pt idx="2">
                        <c:v>4.6525196112283052</c:v>
                      </c:pt>
                      <c:pt idx="3">
                        <c:v>3.1393691919268152</c:v>
                      </c:pt>
                      <c:pt idx="4">
                        <c:v>11.222016238335263</c:v>
                      </c:pt>
                      <c:pt idx="5">
                        <c:v>12.561534761146087</c:v>
                      </c:pt>
                      <c:pt idx="6">
                        <c:v>10.200267730945312</c:v>
                      </c:pt>
                      <c:pt idx="7">
                        <c:v>0</c:v>
                      </c:pt>
                      <c:pt idx="8">
                        <c:v>15.275824118086803</c:v>
                      </c:pt>
                      <c:pt idx="9">
                        <c:v>7.7969663172227603</c:v>
                      </c:pt>
                      <c:pt idx="10">
                        <c:v>4.7115302687871097</c:v>
                      </c:pt>
                      <c:pt idx="11">
                        <c:v>2.3724184765269736</c:v>
                      </c:pt>
                      <c:pt idx="12">
                        <c:v>0.27638953133688959</c:v>
                      </c:pt>
                      <c:pt idx="13">
                        <c:v>0.35509953724278565</c:v>
                      </c:pt>
                      <c:pt idx="14">
                        <c:v>0.57033390211198631</c:v>
                      </c:pt>
                      <c:pt idx="15">
                        <c:v>0</c:v>
                      </c:pt>
                      <c:pt idx="16">
                        <c:v>9.151752538120256</c:v>
                      </c:pt>
                      <c:pt idx="17">
                        <c:v>10.06852055435702</c:v>
                      </c:pt>
                      <c:pt idx="18">
                        <c:v>3.8019611730889751</c:v>
                      </c:pt>
                      <c:pt idx="19">
                        <c:v>1.0115985015237781</c:v>
                      </c:pt>
                      <c:pt idx="20">
                        <c:v>0</c:v>
                      </c:pt>
                      <c:pt idx="21">
                        <c:v>3.2294014013085635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D56-4C97-B4AF-D79B5877B500}"/>
                  </c:ext>
                </c:extLst>
              </c15:ser>
            </c15:filteredBarSeries>
          </c:ext>
        </c:extLst>
      </c:barChart>
      <c:catAx>
        <c:axId val="201565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auto val="1"/>
        <c:lblAlgn val="ctr"/>
        <c:lblOffset val="100"/>
        <c:noMultiLvlLbl val="0"/>
      </c:catAx>
      <c:valAx>
        <c:axId val="2015650848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>
                    <a:latin typeface="Aptos" panose="020B0004020202020204" pitchFamily="34" charset="0"/>
                  </a:rPr>
                  <a:t>Concentration,</a:t>
                </a:r>
                <a:r>
                  <a:rPr lang="en-IN" sz="1100" baseline="0">
                    <a:latin typeface="Aptos" panose="020B0004020202020204" pitchFamily="34" charset="0"/>
                  </a:rPr>
                  <a:t> wt%</a:t>
                </a:r>
                <a:endParaRPr lang="en-IN" sz="1100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1144393316615049E-2"/>
              <c:y val="0.299469408343298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8.635083420690351E-2"/>
          <c:y val="0.11622347926204393"/>
          <c:w val="0.84413180737030891"/>
          <c:h val="4.9475873208156676E-2"/>
        </c:manualLayout>
      </c:layout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5"/>
          <c:order val="4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Reactor7!$D$24:$Z$24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  <c:pt idx="9">
                  <c:v>200</c:v>
                </c:pt>
                <c:pt idx="10" formatCode="General">
                  <c:v>200</c:v>
                </c:pt>
                <c:pt idx="11" formatCode="General">
                  <c:v>200</c:v>
                </c:pt>
                <c:pt idx="12" formatCode="General">
                  <c:v>210</c:v>
                </c:pt>
                <c:pt idx="13" formatCode="General">
                  <c:v>210</c:v>
                </c:pt>
                <c:pt idx="14" formatCode="General">
                  <c:v>210.1</c:v>
                </c:pt>
                <c:pt idx="15" formatCode="General">
                  <c:v>210</c:v>
                </c:pt>
                <c:pt idx="16" formatCode="General">
                  <c:v>210</c:v>
                </c:pt>
                <c:pt idx="17" formatCode="General">
                  <c:v>190.2</c:v>
                </c:pt>
              </c:numCache>
            </c:numRef>
          </c:xVal>
          <c:yVal>
            <c:numRef>
              <c:f>Reactor7!$D$110:$Z$110</c:f>
              <c:numCache>
                <c:formatCode>0.00</c:formatCode>
                <c:ptCount val="23"/>
                <c:pt idx="0">
                  <c:v>85.236597561107786</c:v>
                </c:pt>
                <c:pt idx="1">
                  <c:v>69.948330051261792</c:v>
                </c:pt>
                <c:pt idx="2">
                  <c:v>67.351474035393977</c:v>
                </c:pt>
                <c:pt idx="3">
                  <c:v>70.110470681361662</c:v>
                </c:pt>
                <c:pt idx="4">
                  <c:v>69.900343771786993</c:v>
                </c:pt>
                <c:pt idx="5">
                  <c:v>69.591370232765513</c:v>
                </c:pt>
                <c:pt idx="6">
                  <c:v>73.35983369276363</c:v>
                </c:pt>
                <c:pt idx="7">
                  <c:v>73.333467434979781</c:v>
                </c:pt>
                <c:pt idx="8">
                  <c:v>78.343293282600541</c:v>
                </c:pt>
                <c:pt idx="9">
                  <c:v>81.796365534975649</c:v>
                </c:pt>
                <c:pt idx="10">
                  <c:v>81.287032109003007</c:v>
                </c:pt>
                <c:pt idx="11">
                  <c:v>81.425659311126424</c:v>
                </c:pt>
                <c:pt idx="13">
                  <c:v>73.247917962850622</c:v>
                </c:pt>
                <c:pt idx="14">
                  <c:v>73.215402188749664</c:v>
                </c:pt>
                <c:pt idx="15">
                  <c:v>73.247093055150216</c:v>
                </c:pt>
                <c:pt idx="16">
                  <c:v>73.37366948975793</c:v>
                </c:pt>
                <c:pt idx="17">
                  <c:v>87.476906875800807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38E-4B3A-B03C-DC51F802B647}"/>
            </c:ext>
          </c:extLst>
        </c:ser>
        <c:ser>
          <c:idx val="6"/>
          <c:order val="6"/>
          <c:tx>
            <c:v>SHIM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Plots!$AN$60:$AP$60</c:f>
              <c:numCache>
                <c:formatCode>General</c:formatCode>
                <c:ptCount val="3"/>
                <c:pt idx="0">
                  <c:v>210</c:v>
                </c:pt>
                <c:pt idx="1">
                  <c:v>215</c:v>
                </c:pt>
                <c:pt idx="2">
                  <c:v>220</c:v>
                </c:pt>
              </c:numCache>
            </c:numRef>
          </c:xVal>
          <c:yVal>
            <c:numRef>
              <c:f>Plots!$AN$65:$AP$65</c:f>
              <c:numCache>
                <c:formatCode>0.00</c:formatCode>
                <c:ptCount val="3"/>
                <c:pt idx="0">
                  <c:v>94.567132299999997</c:v>
                </c:pt>
                <c:pt idx="1">
                  <c:v>94.175153280000004</c:v>
                </c:pt>
                <c:pt idx="2">
                  <c:v>95.711597519999998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38E-4B3A-B03C-DC51F802B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R1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Reactor1!$D$24:$Z$24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210.1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220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215</c:v>
                      </c:pt>
                      <c:pt idx="8">
                        <c:v>210</c:v>
                      </c:pt>
                      <c:pt idx="9" formatCode="General">
                        <c:v>205</c:v>
                      </c:pt>
                      <c:pt idx="10" formatCode="General">
                        <c:v>205</c:v>
                      </c:pt>
                      <c:pt idx="11" formatCode="General">
                        <c:v>200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Reactor1!$D$110:$Z$110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97.72848104177335</c:v>
                      </c:pt>
                      <c:pt idx="1">
                        <c:v>96.881258978468452</c:v>
                      </c:pt>
                      <c:pt idx="2">
                        <c:v>96.882478606216097</c:v>
                      </c:pt>
                      <c:pt idx="3">
                        <c:v>96.846169522640523</c:v>
                      </c:pt>
                      <c:pt idx="4">
                        <c:v>96.849353947658642</c:v>
                      </c:pt>
                      <c:pt idx="5">
                        <c:v>97.283906856055154</c:v>
                      </c:pt>
                      <c:pt idx="6">
                        <c:v>97.30677011299008</c:v>
                      </c:pt>
                      <c:pt idx="7">
                        <c:v>97.309692693388854</c:v>
                      </c:pt>
                      <c:pt idx="8">
                        <c:v>97.641423589641789</c:v>
                      </c:pt>
                      <c:pt idx="9">
                        <c:v>97.84253294779495</c:v>
                      </c:pt>
                      <c:pt idx="10">
                        <c:v>97.836222436835186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B38E-4B3A-B03C-DC51F802B64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R5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Reactor5!$D$24:$Z$24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Reactor5!$D$110:$Z$110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97.268017363458597</c:v>
                      </c:pt>
                      <c:pt idx="1">
                        <c:v>95.822064622456182</c:v>
                      </c:pt>
                      <c:pt idx="2">
                        <c:v>95.839348974857913</c:v>
                      </c:pt>
                      <c:pt idx="3">
                        <c:v>95.849168740156983</c:v>
                      </c:pt>
                      <c:pt idx="4">
                        <c:v>96.592703378279367</c:v>
                      </c:pt>
                      <c:pt idx="5">
                        <c:v>96.552375170864337</c:v>
                      </c:pt>
                      <c:pt idx="6">
                        <c:v>97.089626527890147</c:v>
                      </c:pt>
                      <c:pt idx="7">
                        <c:v>97.098951460587116</c:v>
                      </c:pt>
                      <c:pt idx="8">
                        <c:v>97.503537946657417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38E-4B3A-B03C-DC51F802B64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R2 (ATHOS-1)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>
                        <c:v>205</c:v>
                      </c:pt>
                      <c:pt idx="10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94.214051404765215</c:v>
                      </c:pt>
                      <c:pt idx="1">
                        <c:v>88.470507926680824</c:v>
                      </c:pt>
                      <c:pt idx="2">
                        <c:v>85.009422414884099</c:v>
                      </c:pt>
                      <c:pt idx="3">
                        <c:v>84.564524079799952</c:v>
                      </c:pt>
                      <c:pt idx="4">
                        <c:v>88.066401395370846</c:v>
                      </c:pt>
                      <c:pt idx="5">
                        <c:v>87.973764291405516</c:v>
                      </c:pt>
                      <c:pt idx="6">
                        <c:v>88.017330179592392</c:v>
                      </c:pt>
                      <c:pt idx="7">
                        <c:v>90.984965081382015</c:v>
                      </c:pt>
                      <c:pt idx="8">
                        <c:v>93.597152160670021</c:v>
                      </c:pt>
                      <c:pt idx="9">
                        <c:v>93.512183472967209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38E-4B3A-B03C-DC51F802B64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R6 (ATHOS-1)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10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Reactor6!$D$24:$Z$24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215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209.9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Reactor6!$D$110:$Z$110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93.572645992029351</c:v>
                      </c:pt>
                      <c:pt idx="1">
                        <c:v>85.725888653170244</c:v>
                      </c:pt>
                      <c:pt idx="2">
                        <c:v>84.998885340904465</c:v>
                      </c:pt>
                      <c:pt idx="3">
                        <c:v>88.540114775625511</c:v>
                      </c:pt>
                      <c:pt idx="4">
                        <c:v>88.035883509216902</c:v>
                      </c:pt>
                      <c:pt idx="5">
                        <c:v>87.880760727930465</c:v>
                      </c:pt>
                      <c:pt idx="6">
                        <c:v>90.81900288653739</c:v>
                      </c:pt>
                      <c:pt idx="7">
                        <c:v>90.737785087759988</c:v>
                      </c:pt>
                      <c:pt idx="8">
                        <c:v>93.31101470180387</c:v>
                      </c:pt>
                      <c:pt idx="9">
                        <c:v>94.801062988510139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38E-4B3A-B03C-DC51F802B647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R3 (ATHOS-3)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220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214.9</c:v>
                      </c:pt>
                      <c:pt idx="4">
                        <c:v>215.1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205</c:v>
                      </c:pt>
                      <c:pt idx="8" formatCode="General">
                        <c:v>200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69.982379608038855</c:v>
                      </c:pt>
                      <c:pt idx="1">
                        <c:v>67.7908294888651</c:v>
                      </c:pt>
                      <c:pt idx="2">
                        <c:v>66.646383237470587</c:v>
                      </c:pt>
                      <c:pt idx="3">
                        <c:v>69.803511653968144</c:v>
                      </c:pt>
                      <c:pt idx="4">
                        <c:v>69.353342210613363</c:v>
                      </c:pt>
                      <c:pt idx="5">
                        <c:v>69.456723541661546</c:v>
                      </c:pt>
                      <c:pt idx="6">
                        <c:v>73.364487620791806</c:v>
                      </c:pt>
                      <c:pt idx="7">
                        <c:v>77.709511603127169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38E-4B3A-B03C-DC51F802B647}"/>
                  </c:ext>
                </c:extLst>
              </c15:ser>
            </c15:filteredScatterSeries>
          </c:ext>
        </c:extLst>
      </c:scatterChart>
      <c:valAx>
        <c:axId val="2015652768"/>
        <c:scaling>
          <c:orientation val="minMax"/>
          <c:max val="230"/>
          <c:min val="1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Rx Temperature,</a:t>
                </a:r>
                <a:r>
                  <a:rPr lang="en-IN" sz="1200" b="1" baseline="0">
                    <a:latin typeface="Aptos" panose="020B0004020202020204" pitchFamily="34" charset="0"/>
                  </a:rPr>
                  <a:t> oC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5"/>
      </c:valAx>
      <c:valAx>
        <c:axId val="2015650848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Isomerate</a:t>
                </a:r>
                <a:r>
                  <a:rPr lang="en-IN" sz="1200" b="1" baseline="0">
                    <a:latin typeface="Aptos" panose="020B0004020202020204" pitchFamily="34" charset="0"/>
                  </a:rPr>
                  <a:t> Yield (C5+), wof%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7426945490230797E-2"/>
              <c:y val="0.255166938476370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6174664345137302"/>
          <c:y val="0.12376939567911292"/>
          <c:w val="0.77456389576044105"/>
          <c:h val="6.5883338522183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1"/>
          <c:order val="1"/>
          <c:tx>
            <c:v>R5 (Z-700A)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Reactor5!$D$24:$Z$24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  <c:pt idx="9" formatCode="General">
                  <c:v>200</c:v>
                </c:pt>
              </c:numCache>
              <c:extLst xmlns:c15="http://schemas.microsoft.com/office/drawing/2012/chart"/>
            </c:numRef>
          </c:xVal>
          <c:yVal>
            <c:numRef>
              <c:f>Reactor5!$D$110:$Z$110</c:f>
              <c:numCache>
                <c:formatCode>0.00</c:formatCode>
                <c:ptCount val="23"/>
                <c:pt idx="0">
                  <c:v>97.268017363458597</c:v>
                </c:pt>
                <c:pt idx="1">
                  <c:v>95.822064622456182</c:v>
                </c:pt>
                <c:pt idx="2">
                  <c:v>95.839348974857913</c:v>
                </c:pt>
                <c:pt idx="3">
                  <c:v>95.849168740156983</c:v>
                </c:pt>
                <c:pt idx="4">
                  <c:v>96.592703378279367</c:v>
                </c:pt>
                <c:pt idx="5">
                  <c:v>96.552375170864337</c:v>
                </c:pt>
                <c:pt idx="6">
                  <c:v>97.089626527890147</c:v>
                </c:pt>
                <c:pt idx="7">
                  <c:v>97.098951460587116</c:v>
                </c:pt>
                <c:pt idx="8">
                  <c:v>97.503537946657417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B38E-4B3A-B03C-DC51F802B647}"/>
            </c:ext>
          </c:extLst>
        </c:ser>
        <c:ser>
          <c:idx val="6"/>
          <c:order val="6"/>
          <c:tx>
            <c:v>SHIM (Z-700A)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Plots!$AN$60:$AP$60</c:f>
              <c:numCache>
                <c:formatCode>General</c:formatCode>
                <c:ptCount val="3"/>
                <c:pt idx="0">
                  <c:v>210</c:v>
                </c:pt>
                <c:pt idx="1">
                  <c:v>215</c:v>
                </c:pt>
                <c:pt idx="2">
                  <c:v>220</c:v>
                </c:pt>
              </c:numCache>
            </c:numRef>
          </c:xVal>
          <c:yVal>
            <c:numRef>
              <c:f>Plots!$AN$61:$AP$61</c:f>
              <c:numCache>
                <c:formatCode>0.00</c:formatCode>
                <c:ptCount val="3"/>
                <c:pt idx="0">
                  <c:v>95.48120668</c:v>
                </c:pt>
                <c:pt idx="1">
                  <c:v>95.214925559999998</c:v>
                </c:pt>
                <c:pt idx="2">
                  <c:v>94.854898449999993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38E-4B3A-B03C-DC51F802B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R1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Reactor1!$D$24:$Z$24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210.1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220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215</c:v>
                      </c:pt>
                      <c:pt idx="8">
                        <c:v>210</c:v>
                      </c:pt>
                      <c:pt idx="9" formatCode="General">
                        <c:v>205</c:v>
                      </c:pt>
                      <c:pt idx="10" formatCode="General">
                        <c:v>205</c:v>
                      </c:pt>
                      <c:pt idx="11" formatCode="General">
                        <c:v>200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Reactor1!$D$110:$Z$110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97.72848104177335</c:v>
                      </c:pt>
                      <c:pt idx="1">
                        <c:v>96.881258978468452</c:v>
                      </c:pt>
                      <c:pt idx="2">
                        <c:v>96.882478606216097</c:v>
                      </c:pt>
                      <c:pt idx="3">
                        <c:v>96.846169522640523</c:v>
                      </c:pt>
                      <c:pt idx="4">
                        <c:v>96.849353947658642</c:v>
                      </c:pt>
                      <c:pt idx="5">
                        <c:v>97.283906856055154</c:v>
                      </c:pt>
                      <c:pt idx="6">
                        <c:v>97.30677011299008</c:v>
                      </c:pt>
                      <c:pt idx="7">
                        <c:v>97.309692693388854</c:v>
                      </c:pt>
                      <c:pt idx="8">
                        <c:v>97.641423589641789</c:v>
                      </c:pt>
                      <c:pt idx="9">
                        <c:v>97.84253294779495</c:v>
                      </c:pt>
                      <c:pt idx="10">
                        <c:v>97.836222436835186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B38E-4B3A-B03C-DC51F802B64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R2 (ATHOS-1)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>
                        <c:v>205</c:v>
                      </c:pt>
                      <c:pt idx="10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94.214051404765215</c:v>
                      </c:pt>
                      <c:pt idx="1">
                        <c:v>88.470507926680824</c:v>
                      </c:pt>
                      <c:pt idx="2">
                        <c:v>85.009422414884099</c:v>
                      </c:pt>
                      <c:pt idx="3">
                        <c:v>84.564524079799952</c:v>
                      </c:pt>
                      <c:pt idx="4">
                        <c:v>88.066401395370846</c:v>
                      </c:pt>
                      <c:pt idx="5">
                        <c:v>87.973764291405516</c:v>
                      </c:pt>
                      <c:pt idx="6">
                        <c:v>88.017330179592392</c:v>
                      </c:pt>
                      <c:pt idx="7">
                        <c:v>90.984965081382015</c:v>
                      </c:pt>
                      <c:pt idx="8">
                        <c:v>93.597152160670021</c:v>
                      </c:pt>
                      <c:pt idx="9">
                        <c:v>93.512183472967209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38E-4B3A-B03C-DC51F802B64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R6 (ATHOS-1)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10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Reactor6!$D$24:$Z$24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215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209.9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Reactor6!$D$110:$Z$110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93.572645992029351</c:v>
                      </c:pt>
                      <c:pt idx="1">
                        <c:v>85.725888653170244</c:v>
                      </c:pt>
                      <c:pt idx="2">
                        <c:v>84.998885340904465</c:v>
                      </c:pt>
                      <c:pt idx="3">
                        <c:v>88.540114775625511</c:v>
                      </c:pt>
                      <c:pt idx="4">
                        <c:v>88.035883509216902</c:v>
                      </c:pt>
                      <c:pt idx="5">
                        <c:v>87.880760727930465</c:v>
                      </c:pt>
                      <c:pt idx="6">
                        <c:v>90.81900288653739</c:v>
                      </c:pt>
                      <c:pt idx="7">
                        <c:v>90.737785087759988</c:v>
                      </c:pt>
                      <c:pt idx="8">
                        <c:v>93.31101470180387</c:v>
                      </c:pt>
                      <c:pt idx="9">
                        <c:v>94.801062988510139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38E-4B3A-B03C-DC51F802B647}"/>
                  </c:ext>
                </c:extLst>
              </c15:ser>
            </c15:filteredScatterSeries>
            <c15:filteredScatterSeries>
              <c15:ser>
                <c:idx val="5"/>
                <c:order val="4"/>
                <c:tx>
                  <c:v>R7 (ATHOS-3)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rgbClr val="C0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Reactor7!$D$24:$Z$24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215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>
                        <c:v>200</c:v>
                      </c:pt>
                      <c:pt idx="10" formatCode="General">
                        <c:v>200</c:v>
                      </c:pt>
                      <c:pt idx="11" formatCode="General">
                        <c:v>200</c:v>
                      </c:pt>
                      <c:pt idx="12" formatCode="General">
                        <c:v>210</c:v>
                      </c:pt>
                      <c:pt idx="13" formatCode="General">
                        <c:v>210</c:v>
                      </c:pt>
                      <c:pt idx="14" formatCode="General">
                        <c:v>210.1</c:v>
                      </c:pt>
                      <c:pt idx="15" formatCode="General">
                        <c:v>210</c:v>
                      </c:pt>
                      <c:pt idx="16" formatCode="General">
                        <c:v>210</c:v>
                      </c:pt>
                      <c:pt idx="17" formatCode="General">
                        <c:v>190.2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Reactor7!$D$110:$Z$110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85.236597561107786</c:v>
                      </c:pt>
                      <c:pt idx="1">
                        <c:v>69.948330051261792</c:v>
                      </c:pt>
                      <c:pt idx="2">
                        <c:v>67.351474035393977</c:v>
                      </c:pt>
                      <c:pt idx="3">
                        <c:v>70.110470681361662</c:v>
                      </c:pt>
                      <c:pt idx="4">
                        <c:v>69.900343771786993</c:v>
                      </c:pt>
                      <c:pt idx="5">
                        <c:v>69.591370232765513</c:v>
                      </c:pt>
                      <c:pt idx="6">
                        <c:v>73.35983369276363</c:v>
                      </c:pt>
                      <c:pt idx="7">
                        <c:v>73.333467434979781</c:v>
                      </c:pt>
                      <c:pt idx="8">
                        <c:v>78.343293282600541</c:v>
                      </c:pt>
                      <c:pt idx="9">
                        <c:v>81.796365534975649</c:v>
                      </c:pt>
                      <c:pt idx="10">
                        <c:v>81.287032109003007</c:v>
                      </c:pt>
                      <c:pt idx="11">
                        <c:v>81.425659311126424</c:v>
                      </c:pt>
                      <c:pt idx="13">
                        <c:v>73.247917962850622</c:v>
                      </c:pt>
                      <c:pt idx="14">
                        <c:v>73.215402188749664</c:v>
                      </c:pt>
                      <c:pt idx="15">
                        <c:v>73.247093055150216</c:v>
                      </c:pt>
                      <c:pt idx="16">
                        <c:v>73.37366948975793</c:v>
                      </c:pt>
                      <c:pt idx="17">
                        <c:v>87.476906875800807</c:v>
                      </c:pt>
                      <c:pt idx="18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38E-4B3A-B03C-DC51F802B647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R3 (ATHOS-3)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220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214.9</c:v>
                      </c:pt>
                      <c:pt idx="4">
                        <c:v>215.1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205</c:v>
                      </c:pt>
                      <c:pt idx="8" formatCode="General">
                        <c:v>200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69.982379608038855</c:v>
                      </c:pt>
                      <c:pt idx="1">
                        <c:v>67.7908294888651</c:v>
                      </c:pt>
                      <c:pt idx="2">
                        <c:v>66.646383237470587</c:v>
                      </c:pt>
                      <c:pt idx="3">
                        <c:v>69.803511653968144</c:v>
                      </c:pt>
                      <c:pt idx="4">
                        <c:v>69.353342210613363</c:v>
                      </c:pt>
                      <c:pt idx="5">
                        <c:v>69.456723541661546</c:v>
                      </c:pt>
                      <c:pt idx="6">
                        <c:v>73.364487620791806</c:v>
                      </c:pt>
                      <c:pt idx="7">
                        <c:v>77.709511603127169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38E-4B3A-B03C-DC51F802B647}"/>
                  </c:ext>
                </c:extLst>
              </c15:ser>
            </c15:filteredScatterSeries>
          </c:ext>
        </c:extLst>
      </c:scatterChart>
      <c:valAx>
        <c:axId val="2015652768"/>
        <c:scaling>
          <c:orientation val="minMax"/>
          <c:max val="230"/>
          <c:min val="1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Rx Temperature,</a:t>
                </a:r>
                <a:r>
                  <a:rPr lang="en-IN" sz="1200" b="1" baseline="0">
                    <a:latin typeface="Aptos" panose="020B0004020202020204" pitchFamily="34" charset="0"/>
                  </a:rPr>
                  <a:t> oC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5"/>
      </c:valAx>
      <c:valAx>
        <c:axId val="2015650848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Isomerate</a:t>
                </a:r>
                <a:r>
                  <a:rPr lang="en-IN" sz="1200" b="1" baseline="0">
                    <a:latin typeface="Aptos" panose="020B0004020202020204" pitchFamily="34" charset="0"/>
                  </a:rPr>
                  <a:t> Yield (C5+), wof%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7426945490230797E-2"/>
              <c:y val="0.255166938476370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6174664345137302"/>
          <c:y val="0.12376939567911292"/>
          <c:w val="0.77456389576044105"/>
          <c:h val="6.5883338522183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3"/>
          <c:order val="3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209.9</c:v>
                </c:pt>
                <c:pt idx="7">
                  <c:v>210</c:v>
                </c:pt>
                <c:pt idx="8">
                  <c:v>205</c:v>
                </c:pt>
                <c:pt idx="9" formatCode="General">
                  <c:v>200</c:v>
                </c:pt>
              </c:numCache>
              <c:extLst xmlns:c15="http://schemas.microsoft.com/office/drawing/2012/chart"/>
            </c:numRef>
          </c:xVal>
          <c:yVal>
            <c:numRef>
              <c:f>Reactor6!$D$110:$Z$110</c:f>
              <c:numCache>
                <c:formatCode>0.00</c:formatCode>
                <c:ptCount val="23"/>
                <c:pt idx="0">
                  <c:v>93.572645992029351</c:v>
                </c:pt>
                <c:pt idx="1">
                  <c:v>85.725888653170244</c:v>
                </c:pt>
                <c:pt idx="2">
                  <c:v>84.998885340904465</c:v>
                </c:pt>
                <c:pt idx="3">
                  <c:v>88.540114775625511</c:v>
                </c:pt>
                <c:pt idx="4">
                  <c:v>88.035883509216902</c:v>
                </c:pt>
                <c:pt idx="5">
                  <c:v>87.880760727930465</c:v>
                </c:pt>
                <c:pt idx="6">
                  <c:v>90.81900288653739</c:v>
                </c:pt>
                <c:pt idx="7">
                  <c:v>90.737785087759988</c:v>
                </c:pt>
                <c:pt idx="8">
                  <c:v>93.31101470180387</c:v>
                </c:pt>
                <c:pt idx="9">
                  <c:v>94.801062988510139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C1F7-4539-9D03-F35E03B1DD69}"/>
            </c:ext>
          </c:extLst>
        </c:ser>
        <c:ser>
          <c:idx val="6"/>
          <c:order val="6"/>
          <c:tx>
            <c:v>SHIM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Plots!$AN$60:$AP$60</c:f>
              <c:numCache>
                <c:formatCode>General</c:formatCode>
                <c:ptCount val="3"/>
                <c:pt idx="0">
                  <c:v>210</c:v>
                </c:pt>
                <c:pt idx="1">
                  <c:v>215</c:v>
                </c:pt>
                <c:pt idx="2">
                  <c:v>220</c:v>
                </c:pt>
              </c:numCache>
            </c:numRef>
          </c:xVal>
          <c:yVal>
            <c:numRef>
              <c:f>Plots!$AN$63:$AP$63</c:f>
              <c:numCache>
                <c:formatCode>0.00</c:formatCode>
                <c:ptCount val="3"/>
                <c:pt idx="0">
                  <c:v>96.162680829999999</c:v>
                </c:pt>
                <c:pt idx="1">
                  <c:v>95.971500230000004</c:v>
                </c:pt>
                <c:pt idx="2">
                  <c:v>95.711597519999998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F7-4539-9D03-F35E03B1D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R1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Reactor1!$D$24:$Z$24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210.1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220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215</c:v>
                      </c:pt>
                      <c:pt idx="8">
                        <c:v>210</c:v>
                      </c:pt>
                      <c:pt idx="9" formatCode="General">
                        <c:v>205</c:v>
                      </c:pt>
                      <c:pt idx="10" formatCode="General">
                        <c:v>205</c:v>
                      </c:pt>
                      <c:pt idx="11" formatCode="General">
                        <c:v>200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Reactor1!$D$110:$Z$110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97.72848104177335</c:v>
                      </c:pt>
                      <c:pt idx="1">
                        <c:v>96.881258978468452</c:v>
                      </c:pt>
                      <c:pt idx="2">
                        <c:v>96.882478606216097</c:v>
                      </c:pt>
                      <c:pt idx="3">
                        <c:v>96.846169522640523</c:v>
                      </c:pt>
                      <c:pt idx="4">
                        <c:v>96.849353947658642</c:v>
                      </c:pt>
                      <c:pt idx="5">
                        <c:v>97.283906856055154</c:v>
                      </c:pt>
                      <c:pt idx="6">
                        <c:v>97.30677011299008</c:v>
                      </c:pt>
                      <c:pt idx="7">
                        <c:v>97.309692693388854</c:v>
                      </c:pt>
                      <c:pt idx="8">
                        <c:v>97.641423589641789</c:v>
                      </c:pt>
                      <c:pt idx="9">
                        <c:v>97.84253294779495</c:v>
                      </c:pt>
                      <c:pt idx="10">
                        <c:v>97.836222436835186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C1F7-4539-9D03-F35E03B1DD6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R5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Reactor5!$D$24:$Z$24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Reactor5!$D$110:$Z$110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97.268017363458597</c:v>
                      </c:pt>
                      <c:pt idx="1">
                        <c:v>95.822064622456182</c:v>
                      </c:pt>
                      <c:pt idx="2">
                        <c:v>95.839348974857913</c:v>
                      </c:pt>
                      <c:pt idx="3">
                        <c:v>95.849168740156983</c:v>
                      </c:pt>
                      <c:pt idx="4">
                        <c:v>96.592703378279367</c:v>
                      </c:pt>
                      <c:pt idx="5">
                        <c:v>96.552375170864337</c:v>
                      </c:pt>
                      <c:pt idx="6">
                        <c:v>97.089626527890147</c:v>
                      </c:pt>
                      <c:pt idx="7">
                        <c:v>97.098951460587116</c:v>
                      </c:pt>
                      <c:pt idx="8">
                        <c:v>97.503537946657417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1F7-4539-9D03-F35E03B1DD6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R2 (ATHOS-1)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>
                        <c:v>205</c:v>
                      </c:pt>
                      <c:pt idx="10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94.214051404765215</c:v>
                      </c:pt>
                      <c:pt idx="1">
                        <c:v>88.470507926680824</c:v>
                      </c:pt>
                      <c:pt idx="2">
                        <c:v>85.009422414884099</c:v>
                      </c:pt>
                      <c:pt idx="3">
                        <c:v>84.564524079799952</c:v>
                      </c:pt>
                      <c:pt idx="4">
                        <c:v>88.066401395370846</c:v>
                      </c:pt>
                      <c:pt idx="5">
                        <c:v>87.973764291405516</c:v>
                      </c:pt>
                      <c:pt idx="6">
                        <c:v>88.017330179592392</c:v>
                      </c:pt>
                      <c:pt idx="7">
                        <c:v>90.984965081382015</c:v>
                      </c:pt>
                      <c:pt idx="8">
                        <c:v>93.597152160670021</c:v>
                      </c:pt>
                      <c:pt idx="9">
                        <c:v>93.512183472967209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1F7-4539-9D03-F35E03B1DD69}"/>
                  </c:ext>
                </c:extLst>
              </c15:ser>
            </c15:filteredScatterSeries>
            <c15:filteredScatterSeries>
              <c15:ser>
                <c:idx val="5"/>
                <c:order val="4"/>
                <c:tx>
                  <c:v>R7 (ATHOS-3)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rgbClr val="C0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Reactor7!$D$24:$Z$24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215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>
                        <c:v>200</c:v>
                      </c:pt>
                      <c:pt idx="10" formatCode="General">
                        <c:v>200</c:v>
                      </c:pt>
                      <c:pt idx="11" formatCode="General">
                        <c:v>200</c:v>
                      </c:pt>
                      <c:pt idx="12" formatCode="General">
                        <c:v>210</c:v>
                      </c:pt>
                      <c:pt idx="13" formatCode="General">
                        <c:v>210</c:v>
                      </c:pt>
                      <c:pt idx="14" formatCode="General">
                        <c:v>210.1</c:v>
                      </c:pt>
                      <c:pt idx="15" formatCode="General">
                        <c:v>210</c:v>
                      </c:pt>
                      <c:pt idx="16" formatCode="General">
                        <c:v>210</c:v>
                      </c:pt>
                      <c:pt idx="17" formatCode="General">
                        <c:v>190.2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Reactor7!$D$110:$Z$110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85.236597561107786</c:v>
                      </c:pt>
                      <c:pt idx="1">
                        <c:v>69.948330051261792</c:v>
                      </c:pt>
                      <c:pt idx="2">
                        <c:v>67.351474035393977</c:v>
                      </c:pt>
                      <c:pt idx="3">
                        <c:v>70.110470681361662</c:v>
                      </c:pt>
                      <c:pt idx="4">
                        <c:v>69.900343771786993</c:v>
                      </c:pt>
                      <c:pt idx="5">
                        <c:v>69.591370232765513</c:v>
                      </c:pt>
                      <c:pt idx="6">
                        <c:v>73.35983369276363</c:v>
                      </c:pt>
                      <c:pt idx="7">
                        <c:v>73.333467434979781</c:v>
                      </c:pt>
                      <c:pt idx="8">
                        <c:v>78.343293282600541</c:v>
                      </c:pt>
                      <c:pt idx="9">
                        <c:v>81.796365534975649</c:v>
                      </c:pt>
                      <c:pt idx="10">
                        <c:v>81.287032109003007</c:v>
                      </c:pt>
                      <c:pt idx="11">
                        <c:v>81.425659311126424</c:v>
                      </c:pt>
                      <c:pt idx="13">
                        <c:v>73.247917962850622</c:v>
                      </c:pt>
                      <c:pt idx="14">
                        <c:v>73.215402188749664</c:v>
                      </c:pt>
                      <c:pt idx="15">
                        <c:v>73.247093055150216</c:v>
                      </c:pt>
                      <c:pt idx="16">
                        <c:v>73.37366948975793</c:v>
                      </c:pt>
                      <c:pt idx="17">
                        <c:v>87.476906875800807</c:v>
                      </c:pt>
                      <c:pt idx="18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1F7-4539-9D03-F35E03B1DD69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R3 (ATHOS-3)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220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214.9</c:v>
                      </c:pt>
                      <c:pt idx="4">
                        <c:v>215.1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205</c:v>
                      </c:pt>
                      <c:pt idx="8" formatCode="General">
                        <c:v>200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69.982379608038855</c:v>
                      </c:pt>
                      <c:pt idx="1">
                        <c:v>67.7908294888651</c:v>
                      </c:pt>
                      <c:pt idx="2">
                        <c:v>66.646383237470587</c:v>
                      </c:pt>
                      <c:pt idx="3">
                        <c:v>69.803511653968144</c:v>
                      </c:pt>
                      <c:pt idx="4">
                        <c:v>69.353342210613363</c:v>
                      </c:pt>
                      <c:pt idx="5">
                        <c:v>69.456723541661546</c:v>
                      </c:pt>
                      <c:pt idx="6">
                        <c:v>73.364487620791806</c:v>
                      </c:pt>
                      <c:pt idx="7">
                        <c:v>77.709511603127169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1F7-4539-9D03-F35E03B1DD69}"/>
                  </c:ext>
                </c:extLst>
              </c15:ser>
            </c15:filteredScatterSeries>
          </c:ext>
        </c:extLst>
      </c:scatterChart>
      <c:valAx>
        <c:axId val="2015652768"/>
        <c:scaling>
          <c:orientation val="minMax"/>
          <c:max val="230"/>
          <c:min val="1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Rx Temperature,</a:t>
                </a:r>
                <a:r>
                  <a:rPr lang="en-IN" sz="1200" b="1" baseline="0">
                    <a:latin typeface="Aptos" panose="020B0004020202020204" pitchFamily="34" charset="0"/>
                  </a:rPr>
                  <a:t> oC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5"/>
      </c:valAx>
      <c:valAx>
        <c:axId val="2015650848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Isomerate</a:t>
                </a:r>
                <a:r>
                  <a:rPr lang="en-IN" sz="1200" b="1" baseline="0">
                    <a:latin typeface="Aptos" panose="020B0004020202020204" pitchFamily="34" charset="0"/>
                  </a:rPr>
                  <a:t> Yield (C5+), wof%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7426945490230797E-2"/>
              <c:y val="0.255166938476370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6174664345137302"/>
          <c:y val="0.12376939567911292"/>
          <c:w val="0.77456389576044105"/>
          <c:h val="6.5883338522183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45236450706819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0"/>
          <c:order val="0"/>
          <c:tx>
            <c:v>R1 (Z-700A)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Reactor1!$D$110:$Z$110</c:f>
              <c:numCache>
                <c:formatCode>0.00</c:formatCode>
                <c:ptCount val="23"/>
                <c:pt idx="0">
                  <c:v>97.72848104177335</c:v>
                </c:pt>
                <c:pt idx="1">
                  <c:v>96.881258978468452</c:v>
                </c:pt>
                <c:pt idx="2">
                  <c:v>96.882478606216097</c:v>
                </c:pt>
                <c:pt idx="3">
                  <c:v>96.846169522640523</c:v>
                </c:pt>
                <c:pt idx="4">
                  <c:v>96.849353947658642</c:v>
                </c:pt>
                <c:pt idx="5">
                  <c:v>97.283906856055154</c:v>
                </c:pt>
                <c:pt idx="6">
                  <c:v>97.30677011299008</c:v>
                </c:pt>
                <c:pt idx="7">
                  <c:v>97.309692693388854</c:v>
                </c:pt>
                <c:pt idx="8">
                  <c:v>97.641423589641789</c:v>
                </c:pt>
                <c:pt idx="9">
                  <c:v>97.84253294779495</c:v>
                </c:pt>
                <c:pt idx="10">
                  <c:v>97.836222436835186</c:v>
                </c:pt>
              </c:numCache>
            </c:numRef>
          </c:xVal>
          <c:yVal>
            <c:numRef>
              <c:f>Reactor1!$D$39:$N$39</c:f>
              <c:numCache>
                <c:formatCode>0.00</c:formatCode>
                <c:ptCount val="11"/>
                <c:pt idx="0">
                  <c:v>41.119297000000003</c:v>
                </c:pt>
                <c:pt idx="1">
                  <c:v>43.404808000000003</c:v>
                </c:pt>
                <c:pt idx="2">
                  <c:v>43.299540999999998</c:v>
                </c:pt>
                <c:pt idx="3">
                  <c:v>43.266727000000003</c:v>
                </c:pt>
                <c:pt idx="4">
                  <c:v>43.381675999999999</c:v>
                </c:pt>
                <c:pt idx="5">
                  <c:v>42.588988999999998</c:v>
                </c:pt>
                <c:pt idx="6">
                  <c:v>42.599303999999997</c:v>
                </c:pt>
                <c:pt idx="7">
                  <c:v>42.601185000000001</c:v>
                </c:pt>
                <c:pt idx="8">
                  <c:v>41.942050999999999</c:v>
                </c:pt>
                <c:pt idx="9" formatCode="0">
                  <c:v>41.463332999999999</c:v>
                </c:pt>
                <c:pt idx="10" formatCode="0">
                  <c:v>41.551032999999997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F1-46A7-A56D-AC08388F5C9E}"/>
            </c:ext>
          </c:extLst>
        </c:ser>
        <c:ser>
          <c:idx val="1"/>
          <c:order val="1"/>
          <c:tx>
            <c:v>R5 (Z-700A)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Reactor5!$D$110:$Z$110</c:f>
              <c:numCache>
                <c:formatCode>0.00</c:formatCode>
                <c:ptCount val="23"/>
                <c:pt idx="0">
                  <c:v>97.268017363458597</c:v>
                </c:pt>
                <c:pt idx="1">
                  <c:v>95.822064622456182</c:v>
                </c:pt>
                <c:pt idx="2">
                  <c:v>95.839348974857913</c:v>
                </c:pt>
                <c:pt idx="3">
                  <c:v>95.849168740156983</c:v>
                </c:pt>
                <c:pt idx="4">
                  <c:v>96.592703378279367</c:v>
                </c:pt>
                <c:pt idx="5">
                  <c:v>96.552375170864337</c:v>
                </c:pt>
                <c:pt idx="6">
                  <c:v>97.089626527890147</c:v>
                </c:pt>
                <c:pt idx="7">
                  <c:v>97.098951460587116</c:v>
                </c:pt>
                <c:pt idx="8">
                  <c:v>97.503537946657417</c:v>
                </c:pt>
              </c:numCache>
            </c:numRef>
          </c:xVal>
          <c:yVal>
            <c:numRef>
              <c:f>Reactor5!$D$39:$Z$39</c:f>
              <c:numCache>
                <c:formatCode>0</c:formatCode>
                <c:ptCount val="23"/>
                <c:pt idx="0" formatCode="0.00">
                  <c:v>42.239913999999999</c:v>
                </c:pt>
                <c:pt idx="1">
                  <c:v>45.756011999999998</c:v>
                </c:pt>
                <c:pt idx="2">
                  <c:v>45.731181999999997</c:v>
                </c:pt>
                <c:pt idx="3">
                  <c:v>45.640208999999999</c:v>
                </c:pt>
                <c:pt idx="4">
                  <c:v>44.206524000000002</c:v>
                </c:pt>
                <c:pt idx="5">
                  <c:v>44.234703000000003</c:v>
                </c:pt>
                <c:pt idx="6">
                  <c:v>43.171337000000001</c:v>
                </c:pt>
                <c:pt idx="7">
                  <c:v>43.165585</c:v>
                </c:pt>
                <c:pt idx="8">
                  <c:v>42.338138999999998</c:v>
                </c:pt>
                <c:pt idx="9">
                  <c:v>86.230721000000003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F1-46A7-A56D-AC08388F5C9E}"/>
            </c:ext>
          </c:extLst>
        </c:ser>
        <c:ser>
          <c:idx val="2"/>
          <c:order val="2"/>
          <c:tx>
            <c:v>R2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Reactor2!$D$110:$Z$110</c:f>
              <c:numCache>
                <c:formatCode>0.00</c:formatCode>
                <c:ptCount val="23"/>
                <c:pt idx="0">
                  <c:v>94.214051404765215</c:v>
                </c:pt>
                <c:pt idx="1">
                  <c:v>88.470507926680824</c:v>
                </c:pt>
                <c:pt idx="2">
                  <c:v>85.009422414884099</c:v>
                </c:pt>
                <c:pt idx="3">
                  <c:v>84.564524079799952</c:v>
                </c:pt>
                <c:pt idx="4">
                  <c:v>88.066401395370846</c:v>
                </c:pt>
                <c:pt idx="5">
                  <c:v>87.973764291405516</c:v>
                </c:pt>
                <c:pt idx="6">
                  <c:v>88.017330179592392</c:v>
                </c:pt>
                <c:pt idx="7">
                  <c:v>90.984965081382015</c:v>
                </c:pt>
                <c:pt idx="8">
                  <c:v>93.597152160670021</c:v>
                </c:pt>
                <c:pt idx="9">
                  <c:v>93.512183472967209</c:v>
                </c:pt>
              </c:numCache>
            </c:numRef>
          </c:xVal>
          <c:yVal>
            <c:numRef>
              <c:f>Reactor2!$D$39:$Z$39</c:f>
              <c:numCache>
                <c:formatCode>0</c:formatCode>
                <c:ptCount val="23"/>
                <c:pt idx="0" formatCode="0.00">
                  <c:v>47.755909000000003</c:v>
                </c:pt>
                <c:pt idx="1">
                  <c:v>54.669144000000003</c:v>
                </c:pt>
                <c:pt idx="2">
                  <c:v>58.715190999999997</c:v>
                </c:pt>
                <c:pt idx="3">
                  <c:v>58.837645999999999</c:v>
                </c:pt>
                <c:pt idx="4">
                  <c:v>54.550499000000002</c:v>
                </c:pt>
                <c:pt idx="5">
                  <c:v>54.661957000000001</c:v>
                </c:pt>
                <c:pt idx="6">
                  <c:v>54.634132000000001</c:v>
                </c:pt>
                <c:pt idx="7">
                  <c:v>50.890472000000003</c:v>
                </c:pt>
                <c:pt idx="8">
                  <c:v>47.520659999999999</c:v>
                </c:pt>
                <c:pt idx="9">
                  <c:v>47.628494000000003</c:v>
                </c:pt>
                <c:pt idx="10">
                  <c:v>84.516463999999999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F1-46A7-A56D-AC08388F5C9E}"/>
            </c:ext>
          </c:extLst>
        </c:ser>
        <c:ser>
          <c:idx val="3"/>
          <c:order val="3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Reactor6!$D$110:$Z$110</c:f>
              <c:numCache>
                <c:formatCode>0.00</c:formatCode>
                <c:ptCount val="23"/>
                <c:pt idx="0">
                  <c:v>93.572645992029351</c:v>
                </c:pt>
                <c:pt idx="1">
                  <c:v>85.725888653170244</c:v>
                </c:pt>
                <c:pt idx="2">
                  <c:v>84.998885340904465</c:v>
                </c:pt>
                <c:pt idx="3">
                  <c:v>88.540114775625511</c:v>
                </c:pt>
                <c:pt idx="4">
                  <c:v>88.035883509216902</c:v>
                </c:pt>
                <c:pt idx="5">
                  <c:v>87.880760727930465</c:v>
                </c:pt>
                <c:pt idx="6">
                  <c:v>90.81900288653739</c:v>
                </c:pt>
                <c:pt idx="7">
                  <c:v>90.737785087759988</c:v>
                </c:pt>
                <c:pt idx="8">
                  <c:v>93.31101470180387</c:v>
                </c:pt>
                <c:pt idx="9">
                  <c:v>94.801062988510139</c:v>
                </c:pt>
              </c:numCache>
            </c:numRef>
          </c:xVal>
          <c:yVal>
            <c:numRef>
              <c:f>Reactor6!$D$39:$Z$39</c:f>
              <c:numCache>
                <c:formatCode>0</c:formatCode>
                <c:ptCount val="23"/>
                <c:pt idx="0" formatCode="0.00">
                  <c:v>46.194629999999997</c:v>
                </c:pt>
                <c:pt idx="1">
                  <c:v>60.303908999999997</c:v>
                </c:pt>
                <c:pt idx="2">
                  <c:v>60.305832000000002</c:v>
                </c:pt>
                <c:pt idx="3">
                  <c:v>55.147860999999999</c:v>
                </c:pt>
                <c:pt idx="4">
                  <c:v>55.036212999999996</c:v>
                </c:pt>
                <c:pt idx="5">
                  <c:v>55.221187999999998</c:v>
                </c:pt>
                <c:pt idx="6">
                  <c:v>51.406573999999999</c:v>
                </c:pt>
                <c:pt idx="7">
                  <c:v>51.551124999999999</c:v>
                </c:pt>
                <c:pt idx="8">
                  <c:v>48.165343999999997</c:v>
                </c:pt>
                <c:pt idx="9">
                  <c:v>46.067920999999998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F1-46A7-A56D-AC08388F5C9E}"/>
            </c:ext>
          </c:extLst>
        </c:ser>
        <c:ser>
          <c:idx val="5"/>
          <c:order val="4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Reactor7!$D$110:$Z$110</c:f>
              <c:numCache>
                <c:formatCode>0.00</c:formatCode>
                <c:ptCount val="23"/>
                <c:pt idx="0">
                  <c:v>85.236597561107786</c:v>
                </c:pt>
                <c:pt idx="1">
                  <c:v>69.948330051261792</c:v>
                </c:pt>
                <c:pt idx="2">
                  <c:v>67.351474035393977</c:v>
                </c:pt>
                <c:pt idx="3">
                  <c:v>70.110470681361662</c:v>
                </c:pt>
                <c:pt idx="4">
                  <c:v>69.900343771786993</c:v>
                </c:pt>
                <c:pt idx="5">
                  <c:v>69.591370232765513</c:v>
                </c:pt>
                <c:pt idx="6">
                  <c:v>73.35983369276363</c:v>
                </c:pt>
                <c:pt idx="7">
                  <c:v>73.333467434979781</c:v>
                </c:pt>
                <c:pt idx="8">
                  <c:v>78.343293282600541</c:v>
                </c:pt>
                <c:pt idx="9">
                  <c:v>81.796365534975649</c:v>
                </c:pt>
                <c:pt idx="10">
                  <c:v>81.287032109003007</c:v>
                </c:pt>
                <c:pt idx="11">
                  <c:v>81.425659311126424</c:v>
                </c:pt>
                <c:pt idx="13">
                  <c:v>73.247917962850622</c:v>
                </c:pt>
                <c:pt idx="14">
                  <c:v>73.215402188749664</c:v>
                </c:pt>
                <c:pt idx="15">
                  <c:v>73.247093055150216</c:v>
                </c:pt>
                <c:pt idx="16">
                  <c:v>73.37366948975793</c:v>
                </c:pt>
                <c:pt idx="17">
                  <c:v>87.476906875800807</c:v>
                </c:pt>
                <c:pt idx="18">
                  <c:v>0</c:v>
                </c:pt>
              </c:numCache>
            </c:numRef>
          </c:xVal>
          <c:yVal>
            <c:numRef>
              <c:f>Reactor7!$D$39:$Z$39</c:f>
              <c:numCache>
                <c:formatCode>0</c:formatCode>
                <c:ptCount val="23"/>
                <c:pt idx="0" formatCode="0.00">
                  <c:v>59.068134000000001</c:v>
                </c:pt>
                <c:pt idx="1">
                  <c:v>76.659554</c:v>
                </c:pt>
                <c:pt idx="2">
                  <c:v>78.560066000000006</c:v>
                </c:pt>
                <c:pt idx="3">
                  <c:v>75.028892999999997</c:v>
                </c:pt>
                <c:pt idx="4">
                  <c:v>75.232285000000005</c:v>
                </c:pt>
                <c:pt idx="5">
                  <c:v>75.571297000000001</c:v>
                </c:pt>
                <c:pt idx="6">
                  <c:v>71.397735999999995</c:v>
                </c:pt>
                <c:pt idx="7">
                  <c:v>71.444748000000004</c:v>
                </c:pt>
                <c:pt idx="8">
                  <c:v>65.661247000000003</c:v>
                </c:pt>
                <c:pt idx="9">
                  <c:v>61.854472999999999</c:v>
                </c:pt>
                <c:pt idx="10">
                  <c:v>62.459952999999999</c:v>
                </c:pt>
                <c:pt idx="11">
                  <c:v>62.298180000000002</c:v>
                </c:pt>
                <c:pt idx="12">
                  <c:v>71.500388999999998</c:v>
                </c:pt>
                <c:pt idx="13">
                  <c:v>71.541573</c:v>
                </c:pt>
                <c:pt idx="14">
                  <c:v>71.581695999999994</c:v>
                </c:pt>
                <c:pt idx="15">
                  <c:v>71.538826</c:v>
                </c:pt>
                <c:pt idx="16">
                  <c:v>71.438972000000007</c:v>
                </c:pt>
                <c:pt idx="17">
                  <c:v>55.101421000000002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CF1-46A7-A56D-AC08388F5C9E}"/>
            </c:ext>
          </c:extLst>
        </c:ser>
        <c:ser>
          <c:idx val="4"/>
          <c:order val="5"/>
          <c:tx>
            <c:v>R3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Reactor3!$D$110:$Z$110</c:f>
              <c:numCache>
                <c:formatCode>0.00</c:formatCode>
                <c:ptCount val="23"/>
                <c:pt idx="0">
                  <c:v>69.982379608038855</c:v>
                </c:pt>
                <c:pt idx="1">
                  <c:v>67.7908294888651</c:v>
                </c:pt>
                <c:pt idx="2">
                  <c:v>66.646383237470587</c:v>
                </c:pt>
                <c:pt idx="3">
                  <c:v>69.803511653968144</c:v>
                </c:pt>
                <c:pt idx="4">
                  <c:v>69.353342210613363</c:v>
                </c:pt>
                <c:pt idx="5">
                  <c:v>69.456723541661546</c:v>
                </c:pt>
                <c:pt idx="6">
                  <c:v>73.364487620791806</c:v>
                </c:pt>
                <c:pt idx="7">
                  <c:v>77.709511603127169</c:v>
                </c:pt>
              </c:numCache>
            </c:numRef>
          </c:xVal>
          <c:yVal>
            <c:numRef>
              <c:f>Reactor3!$D$39:$Z$39</c:f>
              <c:numCache>
                <c:formatCode>0</c:formatCode>
                <c:ptCount val="23"/>
                <c:pt idx="0" formatCode="0.00">
                  <c:v>76.392837999999998</c:v>
                </c:pt>
                <c:pt idx="1">
                  <c:v>78.203963999999999</c:v>
                </c:pt>
                <c:pt idx="2">
                  <c:v>78.930344000000005</c:v>
                </c:pt>
                <c:pt idx="3">
                  <c:v>75.380820999999997</c:v>
                </c:pt>
                <c:pt idx="4">
                  <c:v>75.883330999999998</c:v>
                </c:pt>
                <c:pt idx="5">
                  <c:v>75.758658999999994</c:v>
                </c:pt>
                <c:pt idx="6">
                  <c:v>71.458838999999998</c:v>
                </c:pt>
                <c:pt idx="7">
                  <c:v>66.482963999999996</c:v>
                </c:pt>
                <c:pt idx="8">
                  <c:v>89.387978000000004</c:v>
                </c:pt>
                <c:pt idx="9">
                  <c:v>79.209663000000006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CF1-46A7-A56D-AC08388F5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6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9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Plots!$AN$65:$AP$65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>
                        <c:v>94.567132299999997</c:v>
                      </c:pt>
                      <c:pt idx="1">
                        <c:v>94.175153280000004</c:v>
                      </c:pt>
                      <c:pt idx="2">
                        <c:v>95.711597519999998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Plots!$AN$66:$AP$66</c15:sqref>
                        </c15:formulaRef>
                      </c:ext>
                    </c:extLst>
                    <c:numCache>
                      <c:formatCode>0</c:formatCode>
                      <c:ptCount val="3"/>
                      <c:pt idx="0">
                        <c:v>57.485621479999999</c:v>
                      </c:pt>
                      <c:pt idx="1">
                        <c:v>59.105136559999998</c:v>
                      </c:pt>
                      <c:pt idx="2">
                        <c:v>56.668219860000001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0CF1-46A7-A56D-AC08388F5C9E}"/>
                  </c:ext>
                </c:extLst>
              </c15:ser>
            </c15:filteredScatterSeries>
            <c15:filteredScatterSeries>
              <c15:ser>
                <c:idx val="7"/>
                <c:order val="7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9"/>
                  <c:spPr>
                    <a:solidFill>
                      <a:srgbClr val="C00000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Plots!$AN$63:$AP$63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>
                        <c:v>96.162680829999999</c:v>
                      </c:pt>
                      <c:pt idx="1">
                        <c:v>95.971500230000004</c:v>
                      </c:pt>
                      <c:pt idx="2">
                        <c:v>95.711597519999998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Plots!$AN$64:$AP$64</c15:sqref>
                        </c15:formulaRef>
                      </c:ext>
                    </c:extLst>
                    <c:numCache>
                      <c:formatCode>0</c:formatCode>
                      <c:ptCount val="3"/>
                      <c:pt idx="0">
                        <c:v>53.664857740000002</c:v>
                      </c:pt>
                      <c:pt idx="1">
                        <c:v>55.137259010000001</c:v>
                      </c:pt>
                      <c:pt idx="2">
                        <c:v>56.668219860000001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CF1-46A7-A56D-AC08388F5C9E}"/>
                  </c:ext>
                </c:extLst>
              </c15:ser>
            </c15:filteredScatterSeries>
            <c15:filteredScatterSeries>
              <c15:ser>
                <c:idx val="8"/>
                <c:order val="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triangle"/>
                  <c:size val="9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Plots!$AN$61:$AP$61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>
                        <c:v>95.48120668</c:v>
                      </c:pt>
                      <c:pt idx="1">
                        <c:v>95.214925559999998</c:v>
                      </c:pt>
                      <c:pt idx="2">
                        <c:v>94.854898449999993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Plots!$AN$62:$AP$62</c15:sqref>
                        </c15:formulaRef>
                      </c:ext>
                    </c:extLst>
                    <c:numCache>
                      <c:formatCode>0</c:formatCode>
                      <c:ptCount val="3"/>
                      <c:pt idx="0">
                        <c:v>54.5337721</c:v>
                      </c:pt>
                      <c:pt idx="1">
                        <c:v>56.059127529999998</c:v>
                      </c:pt>
                      <c:pt idx="2">
                        <c:v>57.609734690000003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CF1-46A7-A56D-AC08388F5C9E}"/>
                  </c:ext>
                </c:extLst>
              </c15:ser>
            </c15:filteredScatterSeries>
          </c:ext>
        </c:extLst>
      </c:scatterChart>
      <c:valAx>
        <c:axId val="2015652768"/>
        <c:scaling>
          <c:orientation val="minMax"/>
          <c:max val="100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Yield</a:t>
                </a:r>
                <a:r>
                  <a:rPr lang="en-IN" sz="1200" b="1" baseline="0">
                    <a:latin typeface="Aptos" panose="020B0004020202020204" pitchFamily="34" charset="0"/>
                  </a:rPr>
                  <a:t> (C5+), wof%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3761790302527975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5"/>
      </c:valAx>
      <c:valAx>
        <c:axId val="201565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RON</a:t>
                </a:r>
              </a:p>
            </c:rich>
          </c:tx>
          <c:layout>
            <c:manualLayout>
              <c:xMode val="edge"/>
              <c:yMode val="edge"/>
              <c:x val="2.5761742778638221E-2"/>
              <c:y val="0.46344683740940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3841625399074167"/>
          <c:y val="6.5724177943677575E-2"/>
          <c:w val="0.75085855769692356"/>
          <c:h val="0.134483160972105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0"/>
          <c:order val="0"/>
          <c:tx>
            <c:v>R1 (Z-700A)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Reactor1!$D$24:$Z$24</c:f>
              <c:numCache>
                <c:formatCode>0</c:formatCode>
                <c:ptCount val="23"/>
                <c:pt idx="0">
                  <c:v>210.1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215</c:v>
                </c:pt>
                <c:pt idx="6">
                  <c:v>215</c:v>
                </c:pt>
                <c:pt idx="7">
                  <c:v>215</c:v>
                </c:pt>
                <c:pt idx="8">
                  <c:v>210</c:v>
                </c:pt>
                <c:pt idx="9" formatCode="General">
                  <c:v>205</c:v>
                </c:pt>
                <c:pt idx="10" formatCode="General">
                  <c:v>205</c:v>
                </c:pt>
                <c:pt idx="11" formatCode="General">
                  <c:v>200</c:v>
                </c:pt>
              </c:numCache>
            </c:numRef>
          </c:xVal>
          <c:yVal>
            <c:numRef>
              <c:f>Reactor1!$D$110:$Z$110</c:f>
              <c:numCache>
                <c:formatCode>0.00</c:formatCode>
                <c:ptCount val="23"/>
                <c:pt idx="0">
                  <c:v>97.72848104177335</c:v>
                </c:pt>
                <c:pt idx="1">
                  <c:v>96.881258978468452</c:v>
                </c:pt>
                <c:pt idx="2">
                  <c:v>96.882478606216097</c:v>
                </c:pt>
                <c:pt idx="3">
                  <c:v>96.846169522640523</c:v>
                </c:pt>
                <c:pt idx="4">
                  <c:v>96.849353947658642</c:v>
                </c:pt>
                <c:pt idx="5">
                  <c:v>97.283906856055154</c:v>
                </c:pt>
                <c:pt idx="6">
                  <c:v>97.30677011299008</c:v>
                </c:pt>
                <c:pt idx="7">
                  <c:v>97.309692693388854</c:v>
                </c:pt>
                <c:pt idx="8">
                  <c:v>97.641423589641789</c:v>
                </c:pt>
                <c:pt idx="9">
                  <c:v>97.84253294779495</c:v>
                </c:pt>
                <c:pt idx="10">
                  <c:v>97.836222436835186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F4-4F7D-BE3D-D82F0E57C065}"/>
            </c:ext>
          </c:extLst>
        </c:ser>
        <c:ser>
          <c:idx val="1"/>
          <c:order val="1"/>
          <c:tx>
            <c:v>R5 (Z-700A)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Reactor5!$D$24:$Z$24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  <c:pt idx="9" formatCode="General">
                  <c:v>200</c:v>
                </c:pt>
              </c:numCache>
            </c:numRef>
          </c:xVal>
          <c:yVal>
            <c:numRef>
              <c:f>Reactor5!$D$110:$Z$110</c:f>
              <c:numCache>
                <c:formatCode>0.00</c:formatCode>
                <c:ptCount val="23"/>
                <c:pt idx="0">
                  <c:v>97.268017363458597</c:v>
                </c:pt>
                <c:pt idx="1">
                  <c:v>95.822064622456182</c:v>
                </c:pt>
                <c:pt idx="2">
                  <c:v>95.839348974857913</c:v>
                </c:pt>
                <c:pt idx="3">
                  <c:v>95.849168740156983</c:v>
                </c:pt>
                <c:pt idx="4">
                  <c:v>96.592703378279367</c:v>
                </c:pt>
                <c:pt idx="5">
                  <c:v>96.552375170864337</c:v>
                </c:pt>
                <c:pt idx="6">
                  <c:v>97.089626527890147</c:v>
                </c:pt>
                <c:pt idx="7">
                  <c:v>97.098951460587116</c:v>
                </c:pt>
                <c:pt idx="8">
                  <c:v>97.503537946657417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F4-4F7D-BE3D-D82F0E57C065}"/>
            </c:ext>
          </c:extLst>
        </c:ser>
        <c:ser>
          <c:idx val="2"/>
          <c:order val="2"/>
          <c:tx>
            <c:v>R2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Reactor2!$D$24:$Z$24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215</c:v>
                </c:pt>
                <c:pt idx="5">
                  <c:v>215</c:v>
                </c:pt>
                <c:pt idx="6">
                  <c:v>215</c:v>
                </c:pt>
                <c:pt idx="7">
                  <c:v>210</c:v>
                </c:pt>
                <c:pt idx="8">
                  <c:v>205</c:v>
                </c:pt>
                <c:pt idx="9">
                  <c:v>205</c:v>
                </c:pt>
                <c:pt idx="10">
                  <c:v>200</c:v>
                </c:pt>
              </c:numCache>
            </c:numRef>
          </c:xVal>
          <c:yVal>
            <c:numRef>
              <c:f>Reactor2!$D$110:$Z$110</c:f>
              <c:numCache>
                <c:formatCode>0.00</c:formatCode>
                <c:ptCount val="23"/>
                <c:pt idx="0">
                  <c:v>94.214051404765215</c:v>
                </c:pt>
                <c:pt idx="1">
                  <c:v>88.470507926680824</c:v>
                </c:pt>
                <c:pt idx="2">
                  <c:v>85.009422414884099</c:v>
                </c:pt>
                <c:pt idx="3">
                  <c:v>84.564524079799952</c:v>
                </c:pt>
                <c:pt idx="4">
                  <c:v>88.066401395370846</c:v>
                </c:pt>
                <c:pt idx="5">
                  <c:v>87.973764291405516</c:v>
                </c:pt>
                <c:pt idx="6">
                  <c:v>88.017330179592392</c:v>
                </c:pt>
                <c:pt idx="7">
                  <c:v>90.984965081382015</c:v>
                </c:pt>
                <c:pt idx="8">
                  <c:v>93.597152160670021</c:v>
                </c:pt>
                <c:pt idx="9">
                  <c:v>93.512183472967209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F4-4F7D-BE3D-D82F0E57C065}"/>
            </c:ext>
          </c:extLst>
        </c:ser>
        <c:ser>
          <c:idx val="3"/>
          <c:order val="3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209.9</c:v>
                </c:pt>
                <c:pt idx="7">
                  <c:v>210</c:v>
                </c:pt>
                <c:pt idx="8">
                  <c:v>205</c:v>
                </c:pt>
                <c:pt idx="9" formatCode="General">
                  <c:v>200</c:v>
                </c:pt>
              </c:numCache>
            </c:numRef>
          </c:xVal>
          <c:yVal>
            <c:numRef>
              <c:f>Reactor6!$D$110:$Z$110</c:f>
              <c:numCache>
                <c:formatCode>0.00</c:formatCode>
                <c:ptCount val="23"/>
                <c:pt idx="0">
                  <c:v>93.572645992029351</c:v>
                </c:pt>
                <c:pt idx="1">
                  <c:v>85.725888653170244</c:v>
                </c:pt>
                <c:pt idx="2">
                  <c:v>84.998885340904465</c:v>
                </c:pt>
                <c:pt idx="3">
                  <c:v>88.540114775625511</c:v>
                </c:pt>
                <c:pt idx="4">
                  <c:v>88.035883509216902</c:v>
                </c:pt>
                <c:pt idx="5">
                  <c:v>87.880760727930465</c:v>
                </c:pt>
                <c:pt idx="6">
                  <c:v>90.81900288653739</c:v>
                </c:pt>
                <c:pt idx="7">
                  <c:v>90.737785087759988</c:v>
                </c:pt>
                <c:pt idx="8">
                  <c:v>93.31101470180387</c:v>
                </c:pt>
                <c:pt idx="9">
                  <c:v>94.801062988510139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3F4-4F7D-BE3D-D82F0E57C065}"/>
            </c:ext>
          </c:extLst>
        </c:ser>
        <c:ser>
          <c:idx val="5"/>
          <c:order val="4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Reactor7!$D$24:$Z$24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  <c:pt idx="9">
                  <c:v>200</c:v>
                </c:pt>
                <c:pt idx="10" formatCode="General">
                  <c:v>200</c:v>
                </c:pt>
                <c:pt idx="11" formatCode="General">
                  <c:v>200</c:v>
                </c:pt>
                <c:pt idx="12" formatCode="General">
                  <c:v>210</c:v>
                </c:pt>
                <c:pt idx="13" formatCode="General">
                  <c:v>210</c:v>
                </c:pt>
                <c:pt idx="14" formatCode="General">
                  <c:v>210.1</c:v>
                </c:pt>
                <c:pt idx="15" formatCode="General">
                  <c:v>210</c:v>
                </c:pt>
                <c:pt idx="16" formatCode="General">
                  <c:v>210</c:v>
                </c:pt>
                <c:pt idx="17" formatCode="General">
                  <c:v>190.2</c:v>
                </c:pt>
              </c:numCache>
            </c:numRef>
          </c:xVal>
          <c:yVal>
            <c:numRef>
              <c:f>Reactor7!$D$110:$Z$110</c:f>
              <c:numCache>
                <c:formatCode>0.00</c:formatCode>
                <c:ptCount val="23"/>
                <c:pt idx="0">
                  <c:v>85.236597561107786</c:v>
                </c:pt>
                <c:pt idx="1">
                  <c:v>69.948330051261792</c:v>
                </c:pt>
                <c:pt idx="2">
                  <c:v>67.351474035393977</c:v>
                </c:pt>
                <c:pt idx="3">
                  <c:v>70.110470681361662</c:v>
                </c:pt>
                <c:pt idx="4">
                  <c:v>69.900343771786993</c:v>
                </c:pt>
                <c:pt idx="5">
                  <c:v>69.591370232765513</c:v>
                </c:pt>
                <c:pt idx="6">
                  <c:v>73.35983369276363</c:v>
                </c:pt>
                <c:pt idx="7">
                  <c:v>73.333467434979781</c:v>
                </c:pt>
                <c:pt idx="8">
                  <c:v>78.343293282600541</c:v>
                </c:pt>
                <c:pt idx="9">
                  <c:v>81.796365534975649</c:v>
                </c:pt>
                <c:pt idx="10">
                  <c:v>81.287032109003007</c:v>
                </c:pt>
                <c:pt idx="11">
                  <c:v>81.425659311126424</c:v>
                </c:pt>
                <c:pt idx="13">
                  <c:v>73.247917962850622</c:v>
                </c:pt>
                <c:pt idx="14">
                  <c:v>73.215402188749664</c:v>
                </c:pt>
                <c:pt idx="15">
                  <c:v>73.247093055150216</c:v>
                </c:pt>
                <c:pt idx="16">
                  <c:v>73.37366948975793</c:v>
                </c:pt>
                <c:pt idx="17">
                  <c:v>87.476906875800807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3F4-4F7D-BE3D-D82F0E57C065}"/>
            </c:ext>
          </c:extLst>
        </c:ser>
        <c:ser>
          <c:idx val="4"/>
          <c:order val="5"/>
          <c:tx>
            <c:v>R3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Reactor3!$D$24:$Z$24</c:f>
              <c:numCache>
                <c:formatCode>0</c:formatCode>
                <c:ptCount val="23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214.9</c:v>
                </c:pt>
                <c:pt idx="4">
                  <c:v>215.1</c:v>
                </c:pt>
                <c:pt idx="5">
                  <c:v>215</c:v>
                </c:pt>
                <c:pt idx="6">
                  <c:v>210</c:v>
                </c:pt>
                <c:pt idx="7">
                  <c:v>205</c:v>
                </c:pt>
                <c:pt idx="8" formatCode="General">
                  <c:v>200</c:v>
                </c:pt>
                <c:pt idx="9" formatCode="General">
                  <c:v>200</c:v>
                </c:pt>
              </c:numCache>
            </c:numRef>
          </c:xVal>
          <c:yVal>
            <c:numRef>
              <c:f>Reactor3!$D$110:$Z$110</c:f>
              <c:numCache>
                <c:formatCode>0.00</c:formatCode>
                <c:ptCount val="23"/>
                <c:pt idx="0">
                  <c:v>69.982379608038855</c:v>
                </c:pt>
                <c:pt idx="1">
                  <c:v>67.7908294888651</c:v>
                </c:pt>
                <c:pt idx="2">
                  <c:v>66.646383237470587</c:v>
                </c:pt>
                <c:pt idx="3">
                  <c:v>69.803511653968144</c:v>
                </c:pt>
                <c:pt idx="4">
                  <c:v>69.353342210613363</c:v>
                </c:pt>
                <c:pt idx="5">
                  <c:v>69.456723541661546</c:v>
                </c:pt>
                <c:pt idx="6">
                  <c:v>73.364487620791806</c:v>
                </c:pt>
                <c:pt idx="7">
                  <c:v>77.709511603127169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3F4-4F7D-BE3D-D82F0E57C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</c:scatterChart>
      <c:valAx>
        <c:axId val="2015652768"/>
        <c:scaling>
          <c:orientation val="minMax"/>
          <c:max val="230"/>
          <c:min val="1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Rx Temperature,</a:t>
                </a:r>
                <a:r>
                  <a:rPr lang="en-IN" sz="1200" b="1" baseline="0">
                    <a:latin typeface="Aptos" panose="020B0004020202020204" pitchFamily="34" charset="0"/>
                  </a:rPr>
                  <a:t> oC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5"/>
      </c:valAx>
      <c:valAx>
        <c:axId val="2015650848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Isomerate</a:t>
                </a:r>
                <a:r>
                  <a:rPr lang="en-IN" sz="1200" b="1" baseline="0">
                    <a:latin typeface="Aptos" panose="020B0004020202020204" pitchFamily="34" charset="0"/>
                  </a:rPr>
                  <a:t> Yield (C5+), wof%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7426945490230797E-2"/>
              <c:y val="0.255166938476370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908406260781133"/>
          <c:y val="5.5480904225659579E-2"/>
          <c:w val="0.81472656202638793"/>
          <c:h val="0.126645040185357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Aptos" panose="020B0004020202020204" pitchFamily="34" charset="0"/>
              </a:rPr>
              <a:t>ATHOS-3</a:t>
            </a:r>
          </a:p>
        </c:rich>
      </c:tx>
      <c:layout>
        <c:manualLayout>
          <c:xMode val="edge"/>
          <c:yMode val="edge"/>
          <c:x val="0.47455045154251174"/>
          <c:y val="0.130769230769230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25533760834643"/>
          <c:y val="0.21545207250194515"/>
          <c:w val="0.84527112942998928"/>
          <c:h val="0.49176155865132243"/>
        </c:manualLayout>
      </c:layout>
      <c:barChart>
        <c:barDir val="col"/>
        <c:grouping val="clustered"/>
        <c:varyColors val="0"/>
        <c:ser>
          <c:idx val="0"/>
          <c:order val="0"/>
          <c:tx>
            <c:v>Feed_Light Naphtha (&lt;120 oC)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Reactor1!$A$42:$A$71</c:f>
              <c:strCache>
                <c:ptCount val="30"/>
                <c:pt idx="0">
                  <c:v>Methane</c:v>
                </c:pt>
                <c:pt idx="1">
                  <c:v>Ethane</c:v>
                </c:pt>
                <c:pt idx="2">
                  <c:v>Propane</c:v>
                </c:pt>
                <c:pt idx="3">
                  <c:v>n-Butane</c:v>
                </c:pt>
                <c:pt idx="4">
                  <c:v>iso-Butane</c:v>
                </c:pt>
                <c:pt idx="5">
                  <c:v>n-Pentane</c:v>
                </c:pt>
                <c:pt idx="6">
                  <c:v>iso-Pentane</c:v>
                </c:pt>
                <c:pt idx="7">
                  <c:v>Cyclopentane</c:v>
                </c:pt>
                <c:pt idx="8">
                  <c:v>n-Hexane</c:v>
                </c:pt>
                <c:pt idx="9">
                  <c:v>2-Methyl Pentane</c:v>
                </c:pt>
                <c:pt idx="10">
                  <c:v>3-Methyl Pentane</c:v>
                </c:pt>
                <c:pt idx="11">
                  <c:v>2,3-Dimethyl Butane</c:v>
                </c:pt>
                <c:pt idx="12">
                  <c:v>2,2-Dimethyl Butane</c:v>
                </c:pt>
                <c:pt idx="13">
                  <c:v>Cyclohexane</c:v>
                </c:pt>
                <c:pt idx="14">
                  <c:v>Methyl Cyclopentane</c:v>
                </c:pt>
                <c:pt idx="15">
                  <c:v>Benzene</c:v>
                </c:pt>
                <c:pt idx="16">
                  <c:v>n-Heptane</c:v>
                </c:pt>
                <c:pt idx="17">
                  <c:v>iC7 Single Branched</c:v>
                </c:pt>
                <c:pt idx="18">
                  <c:v>iC7 Multi Branched</c:v>
                </c:pt>
                <c:pt idx="19">
                  <c:v>C7N</c:v>
                </c:pt>
                <c:pt idx="20">
                  <c:v>Toluene</c:v>
                </c:pt>
                <c:pt idx="21">
                  <c:v>C8P</c:v>
                </c:pt>
                <c:pt idx="22">
                  <c:v>C8N</c:v>
                </c:pt>
                <c:pt idx="23">
                  <c:v>C8A</c:v>
                </c:pt>
                <c:pt idx="24">
                  <c:v>C9P</c:v>
                </c:pt>
                <c:pt idx="25">
                  <c:v>C9N</c:v>
                </c:pt>
                <c:pt idx="26">
                  <c:v>C9A</c:v>
                </c:pt>
                <c:pt idx="27">
                  <c:v>C10P</c:v>
                </c:pt>
                <c:pt idx="28">
                  <c:v>C10N</c:v>
                </c:pt>
                <c:pt idx="29">
                  <c:v>C10A</c:v>
                </c:pt>
              </c:strCache>
            </c:strRef>
          </c:cat>
          <c:val>
            <c:numRef>
              <c:f>Reactor8!$D$80:$D$101</c:f>
              <c:numCache>
                <c:formatCode>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4.217973460548069E-2</c:v>
                </c:pt>
                <c:pt idx="3">
                  <c:v>1.6073493509551542</c:v>
                </c:pt>
                <c:pt idx="4">
                  <c:v>0.28746794337131371</c:v>
                </c:pt>
                <c:pt idx="5">
                  <c:v>12.610215825169552</c:v>
                </c:pt>
                <c:pt idx="6">
                  <c:v>7.4255022979475518</c:v>
                </c:pt>
                <c:pt idx="7">
                  <c:v>0</c:v>
                </c:pt>
                <c:pt idx="8">
                  <c:v>17.577721278637764</c:v>
                </c:pt>
                <c:pt idx="9">
                  <c:v>7.8911242651911202</c:v>
                </c:pt>
                <c:pt idx="10">
                  <c:v>3.6340657380437094</c:v>
                </c:pt>
                <c:pt idx="11">
                  <c:v>0.70917824250839223</c:v>
                </c:pt>
                <c:pt idx="12">
                  <c:v>1.6103679779756904E-2</c:v>
                </c:pt>
                <c:pt idx="13">
                  <c:v>0.30785293074831072</c:v>
                </c:pt>
                <c:pt idx="14">
                  <c:v>0.66372474336489573</c:v>
                </c:pt>
                <c:pt idx="15">
                  <c:v>0</c:v>
                </c:pt>
                <c:pt idx="16">
                  <c:v>16.235768974982992</c:v>
                </c:pt>
                <c:pt idx="17">
                  <c:v>13.786360759719527</c:v>
                </c:pt>
                <c:pt idx="18">
                  <c:v>0.94854826140797721</c:v>
                </c:pt>
                <c:pt idx="19">
                  <c:v>0.9850299247897415</c:v>
                </c:pt>
                <c:pt idx="20">
                  <c:v>0</c:v>
                </c:pt>
                <c:pt idx="21">
                  <c:v>14.894939276405131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B-49EE-BDC9-E86CC32BC337}"/>
            </c:ext>
          </c:extLst>
        </c:ser>
        <c:ser>
          <c:idx val="2"/>
          <c:order val="2"/>
          <c:tx>
            <c:v>Isomerate (Rx 205 oC)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Reactor7!$N$80:$N$101</c:f>
              <c:numCache>
                <c:formatCode>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4.7066331526628833</c:v>
                </c:pt>
                <c:pt idx="3">
                  <c:v>3.1534830155989373</c:v>
                </c:pt>
                <c:pt idx="4">
                  <c:v>11.295348616245043</c:v>
                </c:pt>
                <c:pt idx="5">
                  <c:v>12.582423328799909</c:v>
                </c:pt>
                <c:pt idx="6">
                  <c:v>10.223514273690899</c:v>
                </c:pt>
                <c:pt idx="7">
                  <c:v>0</c:v>
                </c:pt>
                <c:pt idx="8">
                  <c:v>15.25740110321094</c:v>
                </c:pt>
                <c:pt idx="9">
                  <c:v>7.8058447653209404</c:v>
                </c:pt>
                <c:pt idx="10">
                  <c:v>4.7159115947766548</c:v>
                </c:pt>
                <c:pt idx="11">
                  <c:v>2.374788982723671</c:v>
                </c:pt>
                <c:pt idx="12">
                  <c:v>0.27608111487340459</c:v>
                </c:pt>
                <c:pt idx="13">
                  <c:v>0.35617786660123379</c:v>
                </c:pt>
                <c:pt idx="14">
                  <c:v>0.57157091855511022</c:v>
                </c:pt>
                <c:pt idx="15">
                  <c:v>0</c:v>
                </c:pt>
                <c:pt idx="16">
                  <c:v>9.0867278228807553</c:v>
                </c:pt>
                <c:pt idx="17">
                  <c:v>10.024887106474592</c:v>
                </c:pt>
                <c:pt idx="18">
                  <c:v>3.7835451850239039</c:v>
                </c:pt>
                <c:pt idx="19">
                  <c:v>1.0107002876135591</c:v>
                </c:pt>
                <c:pt idx="20">
                  <c:v>0</c:v>
                </c:pt>
                <c:pt idx="21">
                  <c:v>3.1747469910353785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BFDB-49EE-BDC9-E86CC32BC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5652768"/>
        <c:axId val="20156508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Isomerate Product @ 210 oC</c:v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Reactor7!$J$80:$J$101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0</c:v>
                      </c:pt>
                      <c:pt idx="1">
                        <c:v>0</c:v>
                      </c:pt>
                      <c:pt idx="2">
                        <c:v>7.816124984600596</c:v>
                      </c:pt>
                      <c:pt idx="3">
                        <c:v>3.5459065293420706</c:v>
                      </c:pt>
                      <c:pt idx="4">
                        <c:v>15.885940608886518</c:v>
                      </c:pt>
                      <c:pt idx="5">
                        <c:v>12.322759881202643</c:v>
                      </c:pt>
                      <c:pt idx="6">
                        <c:v>11.008730489387693</c:v>
                      </c:pt>
                      <c:pt idx="7">
                        <c:v>0</c:v>
                      </c:pt>
                      <c:pt idx="8">
                        <c:v>13.336996204754492</c:v>
                      </c:pt>
                      <c:pt idx="9">
                        <c:v>8.6013825924696032</c:v>
                      </c:pt>
                      <c:pt idx="10">
                        <c:v>5.247818546528018</c:v>
                      </c:pt>
                      <c:pt idx="11">
                        <c:v>2.6914837074693505</c:v>
                      </c:pt>
                      <c:pt idx="12">
                        <c:v>0.48400255159387279</c:v>
                      </c:pt>
                      <c:pt idx="13">
                        <c:v>0.30374637239200031</c:v>
                      </c:pt>
                      <c:pt idx="14">
                        <c:v>0.58171426380094771</c:v>
                      </c:pt>
                      <c:pt idx="15">
                        <c:v>0</c:v>
                      </c:pt>
                      <c:pt idx="16">
                        <c:v>5.5778605794200615</c:v>
                      </c:pt>
                      <c:pt idx="17">
                        <c:v>7.5698116994261069</c:v>
                      </c:pt>
                      <c:pt idx="18">
                        <c:v>3.0688355919360299</c:v>
                      </c:pt>
                      <c:pt idx="19">
                        <c:v>0.96823451355714973</c:v>
                      </c:pt>
                      <c:pt idx="20">
                        <c:v>0</c:v>
                      </c:pt>
                      <c:pt idx="21">
                        <c:v>1.572433005931372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FDB-49EE-BDC9-E86CC32BC337}"/>
                  </c:ext>
                </c:extLst>
              </c15:ser>
            </c15:filteredBarSeries>
          </c:ext>
        </c:extLst>
      </c:barChart>
      <c:catAx>
        <c:axId val="201565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auto val="1"/>
        <c:lblAlgn val="ctr"/>
        <c:lblOffset val="100"/>
        <c:noMultiLvlLbl val="0"/>
      </c:catAx>
      <c:valAx>
        <c:axId val="2015650848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>
                    <a:latin typeface="Aptos" panose="020B0004020202020204" pitchFamily="34" charset="0"/>
                  </a:rPr>
                  <a:t>Concentration,</a:t>
                </a:r>
                <a:r>
                  <a:rPr lang="en-IN" sz="1100" baseline="0">
                    <a:latin typeface="Aptos" panose="020B0004020202020204" pitchFamily="34" charset="0"/>
                  </a:rPr>
                  <a:t> wt%</a:t>
                </a:r>
                <a:endParaRPr lang="en-IN" sz="1100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4.9759181562158743E-2"/>
              <c:y val="0.321935392691298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1485632250876424"/>
          <c:y val="0.22213446396123562"/>
          <c:w val="0.84413180737030891"/>
          <c:h val="4.9475873208156676E-2"/>
        </c:manualLayout>
      </c:layout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Aptos" panose="020B0004020202020204" pitchFamily="34" charset="0"/>
              </a:rPr>
              <a:t>ATHOS-1</a:t>
            </a:r>
          </a:p>
        </c:rich>
      </c:tx>
      <c:layout>
        <c:manualLayout>
          <c:xMode val="edge"/>
          <c:yMode val="edge"/>
          <c:x val="0.50029525132797437"/>
          <c:y val="0.123076923076923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25533760834643"/>
          <c:y val="0.21545207250194515"/>
          <c:w val="0.84527112942998928"/>
          <c:h val="0.49176155865132243"/>
        </c:manualLayout>
      </c:layout>
      <c:barChart>
        <c:barDir val="col"/>
        <c:grouping val="clustered"/>
        <c:varyColors val="0"/>
        <c:ser>
          <c:idx val="0"/>
          <c:order val="0"/>
          <c:tx>
            <c:v>Feed_Light Naphtha (&lt;120 oC)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Reactor1!$A$42:$A$71</c:f>
              <c:strCache>
                <c:ptCount val="30"/>
                <c:pt idx="0">
                  <c:v>Methane</c:v>
                </c:pt>
                <c:pt idx="1">
                  <c:v>Ethane</c:v>
                </c:pt>
                <c:pt idx="2">
                  <c:v>Propane</c:v>
                </c:pt>
                <c:pt idx="3">
                  <c:v>n-Butane</c:v>
                </c:pt>
                <c:pt idx="4">
                  <c:v>iso-Butane</c:v>
                </c:pt>
                <c:pt idx="5">
                  <c:v>n-Pentane</c:v>
                </c:pt>
                <c:pt idx="6">
                  <c:v>iso-Pentane</c:v>
                </c:pt>
                <c:pt idx="7">
                  <c:v>Cyclopentane</c:v>
                </c:pt>
                <c:pt idx="8">
                  <c:v>n-Hexane</c:v>
                </c:pt>
                <c:pt idx="9">
                  <c:v>2-Methyl Pentane</c:v>
                </c:pt>
                <c:pt idx="10">
                  <c:v>3-Methyl Pentane</c:v>
                </c:pt>
                <c:pt idx="11">
                  <c:v>2,3-Dimethyl Butane</c:v>
                </c:pt>
                <c:pt idx="12">
                  <c:v>2,2-Dimethyl Butane</c:v>
                </c:pt>
                <c:pt idx="13">
                  <c:v>Cyclohexane</c:v>
                </c:pt>
                <c:pt idx="14">
                  <c:v>Methyl Cyclopentane</c:v>
                </c:pt>
                <c:pt idx="15">
                  <c:v>Benzene</c:v>
                </c:pt>
                <c:pt idx="16">
                  <c:v>n-Heptane</c:v>
                </c:pt>
                <c:pt idx="17">
                  <c:v>iC7 Single Branched</c:v>
                </c:pt>
                <c:pt idx="18">
                  <c:v>iC7 Multi Branched</c:v>
                </c:pt>
                <c:pt idx="19">
                  <c:v>C7N</c:v>
                </c:pt>
                <c:pt idx="20">
                  <c:v>Toluene</c:v>
                </c:pt>
                <c:pt idx="21">
                  <c:v>C8P</c:v>
                </c:pt>
                <c:pt idx="22">
                  <c:v>C8N</c:v>
                </c:pt>
                <c:pt idx="23">
                  <c:v>C8A</c:v>
                </c:pt>
                <c:pt idx="24">
                  <c:v>C9P</c:v>
                </c:pt>
                <c:pt idx="25">
                  <c:v>C9N</c:v>
                </c:pt>
                <c:pt idx="26">
                  <c:v>C9A</c:v>
                </c:pt>
                <c:pt idx="27">
                  <c:v>C10P</c:v>
                </c:pt>
                <c:pt idx="28">
                  <c:v>C10N</c:v>
                </c:pt>
                <c:pt idx="29">
                  <c:v>C10A</c:v>
                </c:pt>
              </c:strCache>
            </c:strRef>
          </c:cat>
          <c:val>
            <c:numRef>
              <c:f>Reactor8!$D$80:$D$101</c:f>
              <c:numCache>
                <c:formatCode>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4.217973460548069E-2</c:v>
                </c:pt>
                <c:pt idx="3">
                  <c:v>1.6073493509551542</c:v>
                </c:pt>
                <c:pt idx="4">
                  <c:v>0.28746794337131371</c:v>
                </c:pt>
                <c:pt idx="5">
                  <c:v>12.610215825169552</c:v>
                </c:pt>
                <c:pt idx="6">
                  <c:v>7.4255022979475518</c:v>
                </c:pt>
                <c:pt idx="7">
                  <c:v>0</c:v>
                </c:pt>
                <c:pt idx="8">
                  <c:v>17.577721278637764</c:v>
                </c:pt>
                <c:pt idx="9">
                  <c:v>7.8911242651911202</c:v>
                </c:pt>
                <c:pt idx="10">
                  <c:v>3.6340657380437094</c:v>
                </c:pt>
                <c:pt idx="11">
                  <c:v>0.70917824250839223</c:v>
                </c:pt>
                <c:pt idx="12">
                  <c:v>1.6103679779756904E-2</c:v>
                </c:pt>
                <c:pt idx="13">
                  <c:v>0.30785293074831072</c:v>
                </c:pt>
                <c:pt idx="14">
                  <c:v>0.66372474336489573</c:v>
                </c:pt>
                <c:pt idx="15">
                  <c:v>0</c:v>
                </c:pt>
                <c:pt idx="16">
                  <c:v>16.235768974982992</c:v>
                </c:pt>
                <c:pt idx="17">
                  <c:v>13.786360759719527</c:v>
                </c:pt>
                <c:pt idx="18">
                  <c:v>0.94854826140797721</c:v>
                </c:pt>
                <c:pt idx="19">
                  <c:v>0.9850299247897415</c:v>
                </c:pt>
                <c:pt idx="20">
                  <c:v>0</c:v>
                </c:pt>
                <c:pt idx="21">
                  <c:v>14.894939276405131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7-4CC9-88E2-2CD106FB9934}"/>
            </c:ext>
          </c:extLst>
        </c:ser>
        <c:ser>
          <c:idx val="1"/>
          <c:order val="1"/>
          <c:tx>
            <c:v>Isomerate Product @ 210 oC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Reactor6!$J$80:$J$101</c:f>
              <c:numCache>
                <c:formatCode>0.00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1.9700997992840537</c:v>
                </c:pt>
                <c:pt idx="3">
                  <c:v>2.5362105019635934</c:v>
                </c:pt>
                <c:pt idx="4">
                  <c:v>4.9084370127861847</c:v>
                </c:pt>
                <c:pt idx="5">
                  <c:v>12.673263838956053</c:v>
                </c:pt>
                <c:pt idx="6">
                  <c:v>8.9446110348971164</c:v>
                </c:pt>
                <c:pt idx="7">
                  <c:v>0</c:v>
                </c:pt>
                <c:pt idx="8">
                  <c:v>16.515185082649435</c:v>
                </c:pt>
                <c:pt idx="9">
                  <c:v>7.8988607121411309</c:v>
                </c:pt>
                <c:pt idx="10">
                  <c:v>4.3263861918964501</c:v>
                </c:pt>
                <c:pt idx="11">
                  <c:v>1.511441086717269</c:v>
                </c:pt>
                <c:pt idx="12">
                  <c:v>9.4066339481951727E-2</c:v>
                </c:pt>
                <c:pt idx="13">
                  <c:v>0.38553620122986343</c:v>
                </c:pt>
                <c:pt idx="14">
                  <c:v>0.64418681670179967</c:v>
                </c:pt>
                <c:pt idx="15">
                  <c:v>0</c:v>
                </c:pt>
                <c:pt idx="16">
                  <c:v>12.418597751964169</c:v>
                </c:pt>
                <c:pt idx="17">
                  <c:v>12.720264438984854</c:v>
                </c:pt>
                <c:pt idx="18">
                  <c:v>3.2277406522807599</c:v>
                </c:pt>
                <c:pt idx="19">
                  <c:v>1.1076427973354896</c:v>
                </c:pt>
                <c:pt idx="20">
                  <c:v>0</c:v>
                </c:pt>
                <c:pt idx="21">
                  <c:v>8.2726156968691047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97-4CC9-88E2-2CD106FB9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5652768"/>
        <c:axId val="2015650848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v>Isomerate @ 200 oC</c:v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Reactor7!$O$80:$O$101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0</c:v>
                      </c:pt>
                      <c:pt idx="1">
                        <c:v>0</c:v>
                      </c:pt>
                      <c:pt idx="2">
                        <c:v>4.6525196112283052</c:v>
                      </c:pt>
                      <c:pt idx="3">
                        <c:v>3.1393691919268152</c:v>
                      </c:pt>
                      <c:pt idx="4">
                        <c:v>11.222016238335263</c:v>
                      </c:pt>
                      <c:pt idx="5">
                        <c:v>12.561534761146087</c:v>
                      </c:pt>
                      <c:pt idx="6">
                        <c:v>10.200267730945312</c:v>
                      </c:pt>
                      <c:pt idx="7">
                        <c:v>0</c:v>
                      </c:pt>
                      <c:pt idx="8">
                        <c:v>15.275824118086803</c:v>
                      </c:pt>
                      <c:pt idx="9">
                        <c:v>7.7969663172227603</c:v>
                      </c:pt>
                      <c:pt idx="10">
                        <c:v>4.7115302687871097</c:v>
                      </c:pt>
                      <c:pt idx="11">
                        <c:v>2.3724184765269736</c:v>
                      </c:pt>
                      <c:pt idx="12">
                        <c:v>0.27638953133688959</c:v>
                      </c:pt>
                      <c:pt idx="13">
                        <c:v>0.35509953724278565</c:v>
                      </c:pt>
                      <c:pt idx="14">
                        <c:v>0.57033390211198631</c:v>
                      </c:pt>
                      <c:pt idx="15">
                        <c:v>0</c:v>
                      </c:pt>
                      <c:pt idx="16">
                        <c:v>9.151752538120256</c:v>
                      </c:pt>
                      <c:pt idx="17">
                        <c:v>10.06852055435702</c:v>
                      </c:pt>
                      <c:pt idx="18">
                        <c:v>3.8019611730889751</c:v>
                      </c:pt>
                      <c:pt idx="19">
                        <c:v>1.0115985015237781</c:v>
                      </c:pt>
                      <c:pt idx="20">
                        <c:v>0</c:v>
                      </c:pt>
                      <c:pt idx="21">
                        <c:v>3.2294014013085635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497-4CC9-88E2-2CD106FB9934}"/>
                  </c:ext>
                </c:extLst>
              </c15:ser>
            </c15:filteredBarSeries>
          </c:ext>
        </c:extLst>
      </c:barChart>
      <c:catAx>
        <c:axId val="201565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auto val="1"/>
        <c:lblAlgn val="ctr"/>
        <c:lblOffset val="100"/>
        <c:noMultiLvlLbl val="0"/>
      </c:catAx>
      <c:valAx>
        <c:axId val="2015650848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>
                    <a:latin typeface="Aptos" panose="020B0004020202020204" pitchFamily="34" charset="0"/>
                  </a:rPr>
                  <a:t>Concentration,</a:t>
                </a:r>
                <a:r>
                  <a:rPr lang="en-IN" sz="1100" baseline="0">
                    <a:latin typeface="Aptos" panose="020B0004020202020204" pitchFamily="34" charset="0"/>
                  </a:rPr>
                  <a:t> wt%</a:t>
                </a:r>
                <a:endParaRPr lang="en-IN" sz="1100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4.9759181562158743E-2"/>
              <c:y val="0.321935392691298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1485632250876424"/>
          <c:y val="0.22213446396123562"/>
          <c:w val="0.84413180737030891"/>
          <c:h val="4.9475873208156676E-2"/>
        </c:manualLayout>
      </c:layout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1"/>
          <c:order val="1"/>
          <c:tx>
            <c:v>R5 (Z-700A)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Reactor5!$D$24:$Z$24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  <c:pt idx="9" formatCode="General">
                  <c:v>200</c:v>
                </c:pt>
              </c:numCache>
            </c:numRef>
          </c:xVal>
          <c:yVal>
            <c:numRef>
              <c:f>Reactor5!$D$114:$Z$114</c:f>
              <c:numCache>
                <c:formatCode>0.0</c:formatCode>
                <c:ptCount val="23"/>
                <c:pt idx="1">
                  <c:v>47.8</c:v>
                </c:pt>
                <c:pt idx="4">
                  <c:v>46.5</c:v>
                </c:pt>
                <c:pt idx="6">
                  <c:v>45.6</c:v>
                </c:pt>
                <c:pt idx="8">
                  <c:v>44.9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6F-40D0-B33E-CD3CA9EFA9AE}"/>
            </c:ext>
          </c:extLst>
        </c:ser>
        <c:ser>
          <c:idx val="3"/>
          <c:order val="3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209.9</c:v>
                </c:pt>
                <c:pt idx="7">
                  <c:v>210</c:v>
                </c:pt>
                <c:pt idx="8">
                  <c:v>205</c:v>
                </c:pt>
                <c:pt idx="9" formatCode="General">
                  <c:v>200</c:v>
                </c:pt>
              </c:numCache>
            </c:numRef>
          </c:xVal>
          <c:yVal>
            <c:numRef>
              <c:f>Reactor6!$D$114:$Z$114</c:f>
              <c:numCache>
                <c:formatCode>0.0</c:formatCode>
                <c:ptCount val="23"/>
                <c:pt idx="2">
                  <c:v>56.6</c:v>
                </c:pt>
                <c:pt idx="3">
                  <c:v>52.9</c:v>
                </c:pt>
                <c:pt idx="4">
                  <c:v>52.2</c:v>
                </c:pt>
                <c:pt idx="5">
                  <c:v>52.3</c:v>
                </c:pt>
                <c:pt idx="7">
                  <c:v>50.1</c:v>
                </c:pt>
                <c:pt idx="8">
                  <c:v>48.2</c:v>
                </c:pt>
                <c:pt idx="9">
                  <c:v>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6F-40D0-B33E-CD3CA9EFA9AE}"/>
            </c:ext>
          </c:extLst>
        </c:ser>
        <c:ser>
          <c:idx val="5"/>
          <c:order val="4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Reactor7!$D$24:$Z$24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  <c:pt idx="9">
                  <c:v>200</c:v>
                </c:pt>
                <c:pt idx="10" formatCode="General">
                  <c:v>200</c:v>
                </c:pt>
                <c:pt idx="11" formatCode="General">
                  <c:v>200</c:v>
                </c:pt>
                <c:pt idx="12" formatCode="General">
                  <c:v>210</c:v>
                </c:pt>
                <c:pt idx="13" formatCode="General">
                  <c:v>210</c:v>
                </c:pt>
                <c:pt idx="14" formatCode="General">
                  <c:v>210.1</c:v>
                </c:pt>
                <c:pt idx="15" formatCode="General">
                  <c:v>210</c:v>
                </c:pt>
                <c:pt idx="16" formatCode="General">
                  <c:v>210</c:v>
                </c:pt>
                <c:pt idx="17" formatCode="General">
                  <c:v>190.2</c:v>
                </c:pt>
              </c:numCache>
            </c:numRef>
          </c:xVal>
          <c:yVal>
            <c:numRef>
              <c:f>Reactor7!$D$114:$Z$114</c:f>
              <c:numCache>
                <c:formatCode>0.0</c:formatCode>
                <c:ptCount val="23"/>
                <c:pt idx="1">
                  <c:v>65.099999999999994</c:v>
                </c:pt>
                <c:pt idx="2">
                  <c:v>65.099999999999994</c:v>
                </c:pt>
                <c:pt idx="3">
                  <c:v>62.7</c:v>
                </c:pt>
                <c:pt idx="4">
                  <c:v>62.8</c:v>
                </c:pt>
                <c:pt idx="6">
                  <c:v>60.6</c:v>
                </c:pt>
                <c:pt idx="8">
                  <c:v>57.2</c:v>
                </c:pt>
                <c:pt idx="9">
                  <c:v>55.3</c:v>
                </c:pt>
                <c:pt idx="10" formatCode="General">
                  <c:v>55.7</c:v>
                </c:pt>
                <c:pt idx="13" formatCode="General">
                  <c:v>60.6</c:v>
                </c:pt>
                <c:pt idx="15" formatCode="General">
                  <c:v>60.6</c:v>
                </c:pt>
                <c:pt idx="17" formatCode="General">
                  <c:v>51.8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E6F-40D0-B33E-CD3CA9EFA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R1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Reactor1!$D$24:$Z$24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210.1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220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215</c:v>
                      </c:pt>
                      <c:pt idx="8">
                        <c:v>210</c:v>
                      </c:pt>
                      <c:pt idx="9" formatCode="General">
                        <c:v>205</c:v>
                      </c:pt>
                      <c:pt idx="10" formatCode="General">
                        <c:v>205</c:v>
                      </c:pt>
                      <c:pt idx="11" formatCode="General">
                        <c:v>200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Reactor1!$D$110:$Z$110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97.72848104177335</c:v>
                      </c:pt>
                      <c:pt idx="1">
                        <c:v>96.881258978468452</c:v>
                      </c:pt>
                      <c:pt idx="2">
                        <c:v>96.882478606216097</c:v>
                      </c:pt>
                      <c:pt idx="3">
                        <c:v>96.846169522640523</c:v>
                      </c:pt>
                      <c:pt idx="4">
                        <c:v>96.849353947658642</c:v>
                      </c:pt>
                      <c:pt idx="5">
                        <c:v>97.283906856055154</c:v>
                      </c:pt>
                      <c:pt idx="6">
                        <c:v>97.30677011299008</c:v>
                      </c:pt>
                      <c:pt idx="7">
                        <c:v>97.309692693388854</c:v>
                      </c:pt>
                      <c:pt idx="8">
                        <c:v>97.641423589641789</c:v>
                      </c:pt>
                      <c:pt idx="9">
                        <c:v>97.84253294779495</c:v>
                      </c:pt>
                      <c:pt idx="10">
                        <c:v>97.836222436835186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4E6F-40D0-B33E-CD3CA9EFA9AE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R2 (ATHOS-1)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>
                        <c:v>205</c:v>
                      </c:pt>
                      <c:pt idx="10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94.214051404765215</c:v>
                      </c:pt>
                      <c:pt idx="1">
                        <c:v>88.470507926680824</c:v>
                      </c:pt>
                      <c:pt idx="2">
                        <c:v>85.009422414884099</c:v>
                      </c:pt>
                      <c:pt idx="3">
                        <c:v>84.564524079799952</c:v>
                      </c:pt>
                      <c:pt idx="4">
                        <c:v>88.066401395370846</c:v>
                      </c:pt>
                      <c:pt idx="5">
                        <c:v>87.973764291405516</c:v>
                      </c:pt>
                      <c:pt idx="6">
                        <c:v>88.017330179592392</c:v>
                      </c:pt>
                      <c:pt idx="7">
                        <c:v>90.984965081382015</c:v>
                      </c:pt>
                      <c:pt idx="8">
                        <c:v>93.597152160670021</c:v>
                      </c:pt>
                      <c:pt idx="9">
                        <c:v>93.512183472967209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E6F-40D0-B33E-CD3CA9EFA9AE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R3 (ATHOS-3)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220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214.9</c:v>
                      </c:pt>
                      <c:pt idx="4">
                        <c:v>215.1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205</c:v>
                      </c:pt>
                      <c:pt idx="8" formatCode="General">
                        <c:v>200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69.982379608038855</c:v>
                      </c:pt>
                      <c:pt idx="1">
                        <c:v>67.7908294888651</c:v>
                      </c:pt>
                      <c:pt idx="2">
                        <c:v>66.646383237470587</c:v>
                      </c:pt>
                      <c:pt idx="3">
                        <c:v>69.803511653968144</c:v>
                      </c:pt>
                      <c:pt idx="4">
                        <c:v>69.353342210613363</c:v>
                      </c:pt>
                      <c:pt idx="5">
                        <c:v>69.456723541661546</c:v>
                      </c:pt>
                      <c:pt idx="6">
                        <c:v>73.364487620791806</c:v>
                      </c:pt>
                      <c:pt idx="7">
                        <c:v>77.709511603127169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E6F-40D0-B33E-CD3CA9EFA9AE}"/>
                  </c:ext>
                </c:extLst>
              </c15:ser>
            </c15:filteredScatterSeries>
          </c:ext>
        </c:extLst>
      </c:scatterChart>
      <c:valAx>
        <c:axId val="2015652768"/>
        <c:scaling>
          <c:orientation val="minMax"/>
          <c:max val="230"/>
          <c:min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Rx Temperature,</a:t>
                </a:r>
                <a:r>
                  <a:rPr lang="en-IN" sz="1200" b="1" baseline="0">
                    <a:latin typeface="Aptos" panose="020B0004020202020204" pitchFamily="34" charset="0"/>
                  </a:rPr>
                  <a:t> oC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5"/>
      </c:valAx>
      <c:valAx>
        <c:axId val="2015650848"/>
        <c:scaling>
          <c:orientation val="minMax"/>
          <c:max val="7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Isomerate</a:t>
                </a:r>
                <a:r>
                  <a:rPr lang="en-IN" sz="1200" b="1" baseline="0">
                    <a:latin typeface="Aptos" panose="020B0004020202020204" pitchFamily="34" charset="0"/>
                  </a:rPr>
                  <a:t> RON (Estimated)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0370958198332673E-2"/>
              <c:y val="0.24833808933102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908411910738907"/>
          <c:y val="6.2309753371004917E-2"/>
          <c:w val="0.81472656202638793"/>
          <c:h val="0.126645040185357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1"/>
          <c:order val="3"/>
          <c:tx>
            <c:v>R5 (Z700-A)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Reactor5!$D$114:$L$114</c:f>
              <c:numCache>
                <c:formatCode>0.0</c:formatCode>
                <c:ptCount val="9"/>
                <c:pt idx="1">
                  <c:v>47.8</c:v>
                </c:pt>
                <c:pt idx="4">
                  <c:v>46.5</c:v>
                </c:pt>
                <c:pt idx="6">
                  <c:v>45.6</c:v>
                </c:pt>
                <c:pt idx="8">
                  <c:v>44.9</c:v>
                </c:pt>
              </c:numCache>
            </c:numRef>
          </c:xVal>
          <c:yVal>
            <c:numRef>
              <c:f>Reactor5!$D$110:$L$110</c:f>
              <c:numCache>
                <c:formatCode>0.00</c:formatCode>
                <c:ptCount val="9"/>
                <c:pt idx="0">
                  <c:v>97.268017363458597</c:v>
                </c:pt>
                <c:pt idx="1">
                  <c:v>95.822064622456182</c:v>
                </c:pt>
                <c:pt idx="2">
                  <c:v>95.839348974857913</c:v>
                </c:pt>
                <c:pt idx="3">
                  <c:v>95.849168740156983</c:v>
                </c:pt>
                <c:pt idx="4">
                  <c:v>96.592703378279367</c:v>
                </c:pt>
                <c:pt idx="5">
                  <c:v>96.552375170864337</c:v>
                </c:pt>
                <c:pt idx="6">
                  <c:v>97.089626527890147</c:v>
                </c:pt>
                <c:pt idx="7">
                  <c:v>97.098951460587116</c:v>
                </c:pt>
                <c:pt idx="8">
                  <c:v>97.503537946657417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844-46C0-92DB-4E4E69FCE3E6}"/>
            </c:ext>
          </c:extLst>
        </c:ser>
        <c:ser>
          <c:idx val="3"/>
          <c:order val="4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Reactor6!$D$114:$Z$114</c:f>
              <c:numCache>
                <c:formatCode>0.0</c:formatCode>
                <c:ptCount val="23"/>
                <c:pt idx="2">
                  <c:v>56.6</c:v>
                </c:pt>
                <c:pt idx="3">
                  <c:v>52.9</c:v>
                </c:pt>
                <c:pt idx="4">
                  <c:v>52.2</c:v>
                </c:pt>
                <c:pt idx="5">
                  <c:v>52.3</c:v>
                </c:pt>
                <c:pt idx="7">
                  <c:v>50.1</c:v>
                </c:pt>
                <c:pt idx="8">
                  <c:v>48.2</c:v>
                </c:pt>
                <c:pt idx="9">
                  <c:v>47</c:v>
                </c:pt>
              </c:numCache>
            </c:numRef>
          </c:xVal>
          <c:yVal>
            <c:numRef>
              <c:f>Reactor6!$D$110:$Z$110</c:f>
              <c:numCache>
                <c:formatCode>0.00</c:formatCode>
                <c:ptCount val="23"/>
                <c:pt idx="0">
                  <c:v>93.572645992029351</c:v>
                </c:pt>
                <c:pt idx="1">
                  <c:v>85.725888653170244</c:v>
                </c:pt>
                <c:pt idx="2">
                  <c:v>84.998885340904465</c:v>
                </c:pt>
                <c:pt idx="3">
                  <c:v>88.540114775625511</c:v>
                </c:pt>
                <c:pt idx="4">
                  <c:v>88.035883509216902</c:v>
                </c:pt>
                <c:pt idx="5">
                  <c:v>87.880760727930465</c:v>
                </c:pt>
                <c:pt idx="6">
                  <c:v>90.81900288653739</c:v>
                </c:pt>
                <c:pt idx="7">
                  <c:v>90.737785087759988</c:v>
                </c:pt>
                <c:pt idx="8">
                  <c:v>93.31101470180387</c:v>
                </c:pt>
                <c:pt idx="9">
                  <c:v>94.801062988510139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44-46C0-92DB-4E4E69FCE3E6}"/>
            </c:ext>
          </c:extLst>
        </c:ser>
        <c:ser>
          <c:idx val="5"/>
          <c:order val="5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Reactor7!$D$114:$V$114</c:f>
              <c:numCache>
                <c:formatCode>0.0</c:formatCode>
                <c:ptCount val="19"/>
                <c:pt idx="1">
                  <c:v>65.099999999999994</c:v>
                </c:pt>
                <c:pt idx="2">
                  <c:v>65.099999999999994</c:v>
                </c:pt>
                <c:pt idx="3">
                  <c:v>62.7</c:v>
                </c:pt>
                <c:pt idx="4">
                  <c:v>62.8</c:v>
                </c:pt>
                <c:pt idx="6">
                  <c:v>60.6</c:v>
                </c:pt>
                <c:pt idx="8">
                  <c:v>57.2</c:v>
                </c:pt>
                <c:pt idx="9">
                  <c:v>55.3</c:v>
                </c:pt>
                <c:pt idx="10" formatCode="General">
                  <c:v>55.7</c:v>
                </c:pt>
                <c:pt idx="13" formatCode="General">
                  <c:v>60.6</c:v>
                </c:pt>
                <c:pt idx="15" formatCode="General">
                  <c:v>60.6</c:v>
                </c:pt>
                <c:pt idx="17" formatCode="General">
                  <c:v>51.8</c:v>
                </c:pt>
              </c:numCache>
            </c:numRef>
          </c:xVal>
          <c:yVal>
            <c:numRef>
              <c:f>Reactor7!$D$110:$U$110</c:f>
              <c:numCache>
                <c:formatCode>0.00</c:formatCode>
                <c:ptCount val="18"/>
                <c:pt idx="0">
                  <c:v>85.236597561107786</c:v>
                </c:pt>
                <c:pt idx="1">
                  <c:v>69.948330051261792</c:v>
                </c:pt>
                <c:pt idx="2">
                  <c:v>67.351474035393977</c:v>
                </c:pt>
                <c:pt idx="3">
                  <c:v>70.110470681361662</c:v>
                </c:pt>
                <c:pt idx="4">
                  <c:v>69.900343771786993</c:v>
                </c:pt>
                <c:pt idx="5">
                  <c:v>69.591370232765513</c:v>
                </c:pt>
                <c:pt idx="6">
                  <c:v>73.35983369276363</c:v>
                </c:pt>
                <c:pt idx="7">
                  <c:v>73.333467434979781</c:v>
                </c:pt>
                <c:pt idx="8">
                  <c:v>78.343293282600541</c:v>
                </c:pt>
                <c:pt idx="9">
                  <c:v>81.796365534975649</c:v>
                </c:pt>
                <c:pt idx="10">
                  <c:v>81.287032109003007</c:v>
                </c:pt>
                <c:pt idx="11">
                  <c:v>81.425659311126424</c:v>
                </c:pt>
                <c:pt idx="13">
                  <c:v>73.247917962850622</c:v>
                </c:pt>
                <c:pt idx="14">
                  <c:v>73.215402188749664</c:v>
                </c:pt>
                <c:pt idx="15">
                  <c:v>73.247093055150216</c:v>
                </c:pt>
                <c:pt idx="16">
                  <c:v>73.37366948975793</c:v>
                </c:pt>
                <c:pt idx="17">
                  <c:v>87.476906875800807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844-46C0-92DB-4E4E69FCE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R1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Reactor1!$D$24:$Z$24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210.1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220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215</c:v>
                      </c:pt>
                      <c:pt idx="8">
                        <c:v>210</c:v>
                      </c:pt>
                      <c:pt idx="9" formatCode="General">
                        <c:v>205</c:v>
                      </c:pt>
                      <c:pt idx="10" formatCode="General">
                        <c:v>205</c:v>
                      </c:pt>
                      <c:pt idx="11" formatCode="General">
                        <c:v>200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Reactor1!$D$110:$Z$110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97.72848104177335</c:v>
                      </c:pt>
                      <c:pt idx="1">
                        <c:v>96.881258978468452</c:v>
                      </c:pt>
                      <c:pt idx="2">
                        <c:v>96.882478606216097</c:v>
                      </c:pt>
                      <c:pt idx="3">
                        <c:v>96.846169522640523</c:v>
                      </c:pt>
                      <c:pt idx="4">
                        <c:v>96.849353947658642</c:v>
                      </c:pt>
                      <c:pt idx="5">
                        <c:v>97.283906856055154</c:v>
                      </c:pt>
                      <c:pt idx="6">
                        <c:v>97.30677011299008</c:v>
                      </c:pt>
                      <c:pt idx="7">
                        <c:v>97.309692693388854</c:v>
                      </c:pt>
                      <c:pt idx="8">
                        <c:v>97.641423589641789</c:v>
                      </c:pt>
                      <c:pt idx="9">
                        <c:v>97.84253294779495</c:v>
                      </c:pt>
                      <c:pt idx="10">
                        <c:v>97.836222436835186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D844-46C0-92DB-4E4E69FCE3E6}"/>
                  </c:ext>
                </c:extLst>
              </c15:ser>
            </c15:filteredScatterSeries>
            <c15:filteredScatterSeries>
              <c15:ser>
                <c:idx val="4"/>
                <c:order val="1"/>
                <c:tx>
                  <c:v>R3 (ATHOS-3)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220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214.9</c:v>
                      </c:pt>
                      <c:pt idx="4">
                        <c:v>215.1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205</c:v>
                      </c:pt>
                      <c:pt idx="8" formatCode="General">
                        <c:v>200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69.982379608038855</c:v>
                      </c:pt>
                      <c:pt idx="1">
                        <c:v>67.7908294888651</c:v>
                      </c:pt>
                      <c:pt idx="2">
                        <c:v>66.646383237470587</c:v>
                      </c:pt>
                      <c:pt idx="3">
                        <c:v>69.803511653968144</c:v>
                      </c:pt>
                      <c:pt idx="4">
                        <c:v>69.353342210613363</c:v>
                      </c:pt>
                      <c:pt idx="5">
                        <c:v>69.456723541661546</c:v>
                      </c:pt>
                      <c:pt idx="6">
                        <c:v>73.364487620791806</c:v>
                      </c:pt>
                      <c:pt idx="7">
                        <c:v>77.709511603127169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844-46C0-92DB-4E4E69FCE3E6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R2 (ATHOS-1)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>
                        <c:v>205</c:v>
                      </c:pt>
                      <c:pt idx="10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94.214051404765215</c:v>
                      </c:pt>
                      <c:pt idx="1">
                        <c:v>88.470507926680824</c:v>
                      </c:pt>
                      <c:pt idx="2">
                        <c:v>85.009422414884099</c:v>
                      </c:pt>
                      <c:pt idx="3">
                        <c:v>84.564524079799952</c:v>
                      </c:pt>
                      <c:pt idx="4">
                        <c:v>88.066401395370846</c:v>
                      </c:pt>
                      <c:pt idx="5">
                        <c:v>87.973764291405516</c:v>
                      </c:pt>
                      <c:pt idx="6">
                        <c:v>88.017330179592392</c:v>
                      </c:pt>
                      <c:pt idx="7">
                        <c:v>90.984965081382015</c:v>
                      </c:pt>
                      <c:pt idx="8">
                        <c:v>93.597152160670021</c:v>
                      </c:pt>
                      <c:pt idx="9">
                        <c:v>93.512183472967209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844-46C0-92DB-4E4E69FCE3E6}"/>
                  </c:ext>
                </c:extLst>
              </c15:ser>
            </c15:filteredScatterSeries>
          </c:ext>
        </c:extLst>
      </c:scatterChart>
      <c:valAx>
        <c:axId val="2015652768"/>
        <c:scaling>
          <c:orientation val="minMax"/>
          <c:max val="7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RON (Estimated)</a:t>
                </a: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2"/>
      </c:valAx>
      <c:valAx>
        <c:axId val="201565084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Isomerate</a:t>
                </a:r>
                <a:r>
                  <a:rPr lang="en-IN" sz="1200" b="1" baseline="0">
                    <a:latin typeface="Aptos" panose="020B0004020202020204" pitchFamily="34" charset="0"/>
                  </a:rPr>
                  <a:t> Yield (C5+), wof%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2.5666962672684323E-2"/>
              <c:y val="0.251752513903698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5495609449845499"/>
          <c:y val="0.12376939567911292"/>
          <c:w val="0.78831853457575607"/>
          <c:h val="6.5883338522183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1"/>
          <c:order val="1"/>
          <c:tx>
            <c:v>Z-700A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Reactor5!$D$24:$Z$24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  <c:pt idx="9" formatCode="General">
                  <c:v>200</c:v>
                </c:pt>
              </c:numCache>
            </c:numRef>
          </c:xVal>
          <c:yVal>
            <c:numRef>
              <c:f>Reactor5!$D$114:$Z$114</c:f>
              <c:numCache>
                <c:formatCode>0.0</c:formatCode>
                <c:ptCount val="23"/>
                <c:pt idx="1">
                  <c:v>47.8</c:v>
                </c:pt>
                <c:pt idx="4">
                  <c:v>46.5</c:v>
                </c:pt>
                <c:pt idx="6">
                  <c:v>45.6</c:v>
                </c:pt>
                <c:pt idx="8">
                  <c:v>44.9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88-459B-8F98-CA4045CCBA3D}"/>
            </c:ext>
          </c:extLst>
        </c:ser>
        <c:ser>
          <c:idx val="3"/>
          <c:order val="3"/>
          <c:tx>
            <c:v>ATHOS-1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209.9</c:v>
                </c:pt>
                <c:pt idx="7">
                  <c:v>210</c:v>
                </c:pt>
                <c:pt idx="8">
                  <c:v>205</c:v>
                </c:pt>
                <c:pt idx="9" formatCode="General">
                  <c:v>200</c:v>
                </c:pt>
              </c:numCache>
            </c:numRef>
          </c:xVal>
          <c:yVal>
            <c:numRef>
              <c:f>Reactor6!$D$114:$Z$114</c:f>
              <c:numCache>
                <c:formatCode>0.0</c:formatCode>
                <c:ptCount val="23"/>
                <c:pt idx="2">
                  <c:v>56.6</c:v>
                </c:pt>
                <c:pt idx="3">
                  <c:v>52.9</c:v>
                </c:pt>
                <c:pt idx="4">
                  <c:v>52.2</c:v>
                </c:pt>
                <c:pt idx="5">
                  <c:v>52.3</c:v>
                </c:pt>
                <c:pt idx="7">
                  <c:v>50.1</c:v>
                </c:pt>
                <c:pt idx="8">
                  <c:v>48.2</c:v>
                </c:pt>
                <c:pt idx="9">
                  <c:v>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88-459B-8F98-CA4045CCBA3D}"/>
            </c:ext>
          </c:extLst>
        </c:ser>
        <c:ser>
          <c:idx val="5"/>
          <c:order val="4"/>
          <c:tx>
            <c:v>ATHOS-3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Reactor7!$D$24:$Z$24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  <c:pt idx="9">
                  <c:v>200</c:v>
                </c:pt>
                <c:pt idx="10" formatCode="General">
                  <c:v>200</c:v>
                </c:pt>
                <c:pt idx="11" formatCode="General">
                  <c:v>200</c:v>
                </c:pt>
                <c:pt idx="12" formatCode="General">
                  <c:v>210</c:v>
                </c:pt>
                <c:pt idx="13" formatCode="General">
                  <c:v>210</c:v>
                </c:pt>
                <c:pt idx="14" formatCode="General">
                  <c:v>210.1</c:v>
                </c:pt>
                <c:pt idx="15" formatCode="General">
                  <c:v>210</c:v>
                </c:pt>
                <c:pt idx="16" formatCode="General">
                  <c:v>210</c:v>
                </c:pt>
                <c:pt idx="17" formatCode="General">
                  <c:v>190.2</c:v>
                </c:pt>
              </c:numCache>
            </c:numRef>
          </c:xVal>
          <c:yVal>
            <c:numRef>
              <c:f>Reactor7!$D$114:$Z$114</c:f>
              <c:numCache>
                <c:formatCode>0.0</c:formatCode>
                <c:ptCount val="23"/>
                <c:pt idx="1">
                  <c:v>65.099999999999994</c:v>
                </c:pt>
                <c:pt idx="2">
                  <c:v>65.099999999999994</c:v>
                </c:pt>
                <c:pt idx="3">
                  <c:v>62.7</c:v>
                </c:pt>
                <c:pt idx="4">
                  <c:v>62.8</c:v>
                </c:pt>
                <c:pt idx="6">
                  <c:v>60.6</c:v>
                </c:pt>
                <c:pt idx="8">
                  <c:v>57.2</c:v>
                </c:pt>
                <c:pt idx="9">
                  <c:v>55.3</c:v>
                </c:pt>
                <c:pt idx="10" formatCode="General">
                  <c:v>55.7</c:v>
                </c:pt>
                <c:pt idx="13" formatCode="General">
                  <c:v>60.6</c:v>
                </c:pt>
                <c:pt idx="15" formatCode="General">
                  <c:v>60.6</c:v>
                </c:pt>
                <c:pt idx="17" formatCode="General">
                  <c:v>51.8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B88-459B-8F98-CA4045CCB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R1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Reactor1!$D$24:$Z$24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210.1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220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215</c:v>
                      </c:pt>
                      <c:pt idx="8">
                        <c:v>210</c:v>
                      </c:pt>
                      <c:pt idx="9" formatCode="General">
                        <c:v>205</c:v>
                      </c:pt>
                      <c:pt idx="10" formatCode="General">
                        <c:v>205</c:v>
                      </c:pt>
                      <c:pt idx="11" formatCode="General">
                        <c:v>200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Reactor1!$D$110:$Z$110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97.72848104177335</c:v>
                      </c:pt>
                      <c:pt idx="1">
                        <c:v>96.881258978468452</c:v>
                      </c:pt>
                      <c:pt idx="2">
                        <c:v>96.882478606216097</c:v>
                      </c:pt>
                      <c:pt idx="3">
                        <c:v>96.846169522640523</c:v>
                      </c:pt>
                      <c:pt idx="4">
                        <c:v>96.849353947658642</c:v>
                      </c:pt>
                      <c:pt idx="5">
                        <c:v>97.283906856055154</c:v>
                      </c:pt>
                      <c:pt idx="6">
                        <c:v>97.30677011299008</c:v>
                      </c:pt>
                      <c:pt idx="7">
                        <c:v>97.309692693388854</c:v>
                      </c:pt>
                      <c:pt idx="8">
                        <c:v>97.641423589641789</c:v>
                      </c:pt>
                      <c:pt idx="9">
                        <c:v>97.84253294779495</c:v>
                      </c:pt>
                      <c:pt idx="10">
                        <c:v>97.836222436835186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DB88-459B-8F98-CA4045CCBA3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R2 (ATHOS-1)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>
                        <c:v>205</c:v>
                      </c:pt>
                      <c:pt idx="10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94.214051404765215</c:v>
                      </c:pt>
                      <c:pt idx="1">
                        <c:v>88.470507926680824</c:v>
                      </c:pt>
                      <c:pt idx="2">
                        <c:v>85.009422414884099</c:v>
                      </c:pt>
                      <c:pt idx="3">
                        <c:v>84.564524079799952</c:v>
                      </c:pt>
                      <c:pt idx="4">
                        <c:v>88.066401395370846</c:v>
                      </c:pt>
                      <c:pt idx="5">
                        <c:v>87.973764291405516</c:v>
                      </c:pt>
                      <c:pt idx="6">
                        <c:v>88.017330179592392</c:v>
                      </c:pt>
                      <c:pt idx="7">
                        <c:v>90.984965081382015</c:v>
                      </c:pt>
                      <c:pt idx="8">
                        <c:v>93.597152160670021</c:v>
                      </c:pt>
                      <c:pt idx="9">
                        <c:v>93.512183472967209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B88-459B-8F98-CA4045CCBA3D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R3 (ATHOS-3)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220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214.9</c:v>
                      </c:pt>
                      <c:pt idx="4">
                        <c:v>215.1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205</c:v>
                      </c:pt>
                      <c:pt idx="8" formatCode="General">
                        <c:v>200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69.982379608038855</c:v>
                      </c:pt>
                      <c:pt idx="1">
                        <c:v>67.7908294888651</c:v>
                      </c:pt>
                      <c:pt idx="2">
                        <c:v>66.646383237470587</c:v>
                      </c:pt>
                      <c:pt idx="3">
                        <c:v>69.803511653968144</c:v>
                      </c:pt>
                      <c:pt idx="4">
                        <c:v>69.353342210613363</c:v>
                      </c:pt>
                      <c:pt idx="5">
                        <c:v>69.456723541661546</c:v>
                      </c:pt>
                      <c:pt idx="6">
                        <c:v>73.364487620791806</c:v>
                      </c:pt>
                      <c:pt idx="7">
                        <c:v>77.709511603127169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B88-459B-8F98-CA4045CCBA3D}"/>
                  </c:ext>
                </c:extLst>
              </c15:ser>
            </c15:filteredScatterSeries>
          </c:ext>
        </c:extLst>
      </c:scatterChart>
      <c:valAx>
        <c:axId val="2015652768"/>
        <c:scaling>
          <c:orientation val="minMax"/>
          <c:max val="230"/>
          <c:min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Rx Temperature,</a:t>
                </a:r>
                <a:r>
                  <a:rPr lang="en-IN" sz="1200" b="1" baseline="0">
                    <a:latin typeface="Aptos" panose="020B0004020202020204" pitchFamily="34" charset="0"/>
                  </a:rPr>
                  <a:t> oC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5"/>
      </c:valAx>
      <c:valAx>
        <c:axId val="2015650848"/>
        <c:scaling>
          <c:orientation val="minMax"/>
          <c:max val="7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Isomerate</a:t>
                </a:r>
                <a:r>
                  <a:rPr lang="en-IN" sz="1200" b="1" baseline="0">
                    <a:latin typeface="Aptos" panose="020B0004020202020204" pitchFamily="34" charset="0"/>
                  </a:rPr>
                  <a:t> RON (Estimated)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0370958198332673E-2"/>
              <c:y val="0.24833808933102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908411910738907"/>
          <c:y val="9.6453999097731585E-2"/>
          <c:w val="0.81472656202638793"/>
          <c:h val="9.2500794458630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1"/>
          <c:order val="1"/>
          <c:tx>
            <c:v>R5 (Z-700A)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Reactor5!$D$24:$Z$24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  <c:pt idx="9" formatCode="General">
                  <c:v>200</c:v>
                </c:pt>
              </c:numCache>
            </c:numRef>
          </c:xVal>
          <c:yVal>
            <c:numRef>
              <c:f>Reactor5!$D$110:$Z$110</c:f>
              <c:numCache>
                <c:formatCode>0.00</c:formatCode>
                <c:ptCount val="23"/>
                <c:pt idx="0">
                  <c:v>97.268017363458597</c:v>
                </c:pt>
                <c:pt idx="1">
                  <c:v>95.822064622456182</c:v>
                </c:pt>
                <c:pt idx="2">
                  <c:v>95.839348974857913</c:v>
                </c:pt>
                <c:pt idx="3">
                  <c:v>95.849168740156983</c:v>
                </c:pt>
                <c:pt idx="4">
                  <c:v>96.592703378279367</c:v>
                </c:pt>
                <c:pt idx="5">
                  <c:v>96.552375170864337</c:v>
                </c:pt>
                <c:pt idx="6">
                  <c:v>97.089626527890147</c:v>
                </c:pt>
                <c:pt idx="7">
                  <c:v>97.098951460587116</c:v>
                </c:pt>
                <c:pt idx="8">
                  <c:v>97.503537946657417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1A-43CA-8814-76903F2F2DC1}"/>
            </c:ext>
          </c:extLst>
        </c:ser>
        <c:ser>
          <c:idx val="3"/>
          <c:order val="3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209.9</c:v>
                </c:pt>
                <c:pt idx="7">
                  <c:v>210</c:v>
                </c:pt>
                <c:pt idx="8">
                  <c:v>205</c:v>
                </c:pt>
                <c:pt idx="9" formatCode="General">
                  <c:v>200</c:v>
                </c:pt>
              </c:numCache>
            </c:numRef>
          </c:xVal>
          <c:yVal>
            <c:numRef>
              <c:f>Reactor6!$D$110:$Z$110</c:f>
              <c:numCache>
                <c:formatCode>0.00</c:formatCode>
                <c:ptCount val="23"/>
                <c:pt idx="0">
                  <c:v>93.572645992029351</c:v>
                </c:pt>
                <c:pt idx="1">
                  <c:v>85.725888653170244</c:v>
                </c:pt>
                <c:pt idx="2">
                  <c:v>84.998885340904465</c:v>
                </c:pt>
                <c:pt idx="3">
                  <c:v>88.540114775625511</c:v>
                </c:pt>
                <c:pt idx="4">
                  <c:v>88.035883509216902</c:v>
                </c:pt>
                <c:pt idx="5">
                  <c:v>87.880760727930465</c:v>
                </c:pt>
                <c:pt idx="6">
                  <c:v>90.81900288653739</c:v>
                </c:pt>
                <c:pt idx="7">
                  <c:v>90.737785087759988</c:v>
                </c:pt>
                <c:pt idx="8">
                  <c:v>93.31101470180387</c:v>
                </c:pt>
                <c:pt idx="9">
                  <c:v>94.801062988510139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C1A-43CA-8814-76903F2F2DC1}"/>
            </c:ext>
          </c:extLst>
        </c:ser>
        <c:ser>
          <c:idx val="5"/>
          <c:order val="4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Reactor7!$D$24:$Z$24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  <c:pt idx="9">
                  <c:v>200</c:v>
                </c:pt>
                <c:pt idx="10" formatCode="General">
                  <c:v>200</c:v>
                </c:pt>
                <c:pt idx="11" formatCode="General">
                  <c:v>200</c:v>
                </c:pt>
                <c:pt idx="12" formatCode="General">
                  <c:v>210</c:v>
                </c:pt>
                <c:pt idx="13" formatCode="General">
                  <c:v>210</c:v>
                </c:pt>
                <c:pt idx="14" formatCode="General">
                  <c:v>210.1</c:v>
                </c:pt>
                <c:pt idx="15" formatCode="General">
                  <c:v>210</c:v>
                </c:pt>
                <c:pt idx="16" formatCode="General">
                  <c:v>210</c:v>
                </c:pt>
                <c:pt idx="17" formatCode="General">
                  <c:v>190.2</c:v>
                </c:pt>
              </c:numCache>
            </c:numRef>
          </c:xVal>
          <c:yVal>
            <c:numRef>
              <c:f>Reactor7!$D$110:$Z$110</c:f>
              <c:numCache>
                <c:formatCode>0.00</c:formatCode>
                <c:ptCount val="23"/>
                <c:pt idx="0">
                  <c:v>85.236597561107786</c:v>
                </c:pt>
                <c:pt idx="1">
                  <c:v>69.948330051261792</c:v>
                </c:pt>
                <c:pt idx="2">
                  <c:v>67.351474035393977</c:v>
                </c:pt>
                <c:pt idx="3">
                  <c:v>70.110470681361662</c:v>
                </c:pt>
                <c:pt idx="4">
                  <c:v>69.900343771786993</c:v>
                </c:pt>
                <c:pt idx="5">
                  <c:v>69.591370232765513</c:v>
                </c:pt>
                <c:pt idx="6">
                  <c:v>73.35983369276363</c:v>
                </c:pt>
                <c:pt idx="7">
                  <c:v>73.333467434979781</c:v>
                </c:pt>
                <c:pt idx="8">
                  <c:v>78.343293282600541</c:v>
                </c:pt>
                <c:pt idx="9">
                  <c:v>81.796365534975649</c:v>
                </c:pt>
                <c:pt idx="10">
                  <c:v>81.287032109003007</c:v>
                </c:pt>
                <c:pt idx="11">
                  <c:v>81.425659311126424</c:v>
                </c:pt>
                <c:pt idx="13">
                  <c:v>73.247917962850622</c:v>
                </c:pt>
                <c:pt idx="14">
                  <c:v>73.215402188749664</c:v>
                </c:pt>
                <c:pt idx="15">
                  <c:v>73.247093055150216</c:v>
                </c:pt>
                <c:pt idx="16">
                  <c:v>73.37366948975793</c:v>
                </c:pt>
                <c:pt idx="17">
                  <c:v>87.476906875800807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C1A-43CA-8814-76903F2F2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R1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Reactor1!$D$24:$Z$24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210.1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220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215</c:v>
                      </c:pt>
                      <c:pt idx="8">
                        <c:v>210</c:v>
                      </c:pt>
                      <c:pt idx="9" formatCode="General">
                        <c:v>205</c:v>
                      </c:pt>
                      <c:pt idx="10" formatCode="General">
                        <c:v>205</c:v>
                      </c:pt>
                      <c:pt idx="11" formatCode="General">
                        <c:v>200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Reactor1!$D$110:$Z$110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97.72848104177335</c:v>
                      </c:pt>
                      <c:pt idx="1">
                        <c:v>96.881258978468452</c:v>
                      </c:pt>
                      <c:pt idx="2">
                        <c:v>96.882478606216097</c:v>
                      </c:pt>
                      <c:pt idx="3">
                        <c:v>96.846169522640523</c:v>
                      </c:pt>
                      <c:pt idx="4">
                        <c:v>96.849353947658642</c:v>
                      </c:pt>
                      <c:pt idx="5">
                        <c:v>97.283906856055154</c:v>
                      </c:pt>
                      <c:pt idx="6">
                        <c:v>97.30677011299008</c:v>
                      </c:pt>
                      <c:pt idx="7">
                        <c:v>97.309692693388854</c:v>
                      </c:pt>
                      <c:pt idx="8">
                        <c:v>97.641423589641789</c:v>
                      </c:pt>
                      <c:pt idx="9">
                        <c:v>97.84253294779495</c:v>
                      </c:pt>
                      <c:pt idx="10">
                        <c:v>97.836222436835186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C1A-43CA-8814-76903F2F2DC1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R2 (ATHOS-1)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>
                        <c:v>205</c:v>
                      </c:pt>
                      <c:pt idx="10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94.214051404765215</c:v>
                      </c:pt>
                      <c:pt idx="1">
                        <c:v>88.470507926680824</c:v>
                      </c:pt>
                      <c:pt idx="2">
                        <c:v>85.009422414884099</c:v>
                      </c:pt>
                      <c:pt idx="3">
                        <c:v>84.564524079799952</c:v>
                      </c:pt>
                      <c:pt idx="4">
                        <c:v>88.066401395370846</c:v>
                      </c:pt>
                      <c:pt idx="5">
                        <c:v>87.973764291405516</c:v>
                      </c:pt>
                      <c:pt idx="6">
                        <c:v>88.017330179592392</c:v>
                      </c:pt>
                      <c:pt idx="7">
                        <c:v>90.984965081382015</c:v>
                      </c:pt>
                      <c:pt idx="8">
                        <c:v>93.597152160670021</c:v>
                      </c:pt>
                      <c:pt idx="9">
                        <c:v>93.512183472967209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1A-43CA-8814-76903F2F2DC1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R3 (ATHOS-3)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220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214.9</c:v>
                      </c:pt>
                      <c:pt idx="4">
                        <c:v>215.1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205</c:v>
                      </c:pt>
                      <c:pt idx="8" formatCode="General">
                        <c:v>200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69.982379608038855</c:v>
                      </c:pt>
                      <c:pt idx="1">
                        <c:v>67.7908294888651</c:v>
                      </c:pt>
                      <c:pt idx="2">
                        <c:v>66.646383237470587</c:v>
                      </c:pt>
                      <c:pt idx="3">
                        <c:v>69.803511653968144</c:v>
                      </c:pt>
                      <c:pt idx="4">
                        <c:v>69.353342210613363</c:v>
                      </c:pt>
                      <c:pt idx="5">
                        <c:v>69.456723541661546</c:v>
                      </c:pt>
                      <c:pt idx="6">
                        <c:v>73.364487620791806</c:v>
                      </c:pt>
                      <c:pt idx="7">
                        <c:v>77.709511603127169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1A-43CA-8814-76903F2F2DC1}"/>
                  </c:ext>
                </c:extLst>
              </c15:ser>
            </c15:filteredScatterSeries>
          </c:ext>
        </c:extLst>
      </c:scatterChart>
      <c:valAx>
        <c:axId val="2015652768"/>
        <c:scaling>
          <c:orientation val="minMax"/>
          <c:max val="230"/>
          <c:min val="1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Rx Temperature,</a:t>
                </a:r>
                <a:r>
                  <a:rPr lang="en-IN" sz="1200" b="1" baseline="0">
                    <a:latin typeface="Aptos" panose="020B0004020202020204" pitchFamily="34" charset="0"/>
                  </a:rPr>
                  <a:t> oC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5"/>
      </c:valAx>
      <c:valAx>
        <c:axId val="2015650848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Isomerate</a:t>
                </a:r>
                <a:r>
                  <a:rPr lang="en-IN" sz="1200" b="1" baseline="0">
                    <a:latin typeface="Aptos" panose="020B0004020202020204" pitchFamily="34" charset="0"/>
                  </a:rPr>
                  <a:t> Yield (C5+), wof%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7426945490230797E-2"/>
              <c:y val="0.255166938476370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908411910738907"/>
          <c:y val="9.9868423670404258E-2"/>
          <c:w val="0.81472656202638793"/>
          <c:h val="0.102744068176648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25533760834643"/>
          <c:y val="0.21545207250194515"/>
          <c:w val="0.84527112942998928"/>
          <c:h val="0.49176155865132243"/>
        </c:manualLayout>
      </c:layout>
      <c:barChart>
        <c:barDir val="col"/>
        <c:grouping val="clustered"/>
        <c:varyColors val="0"/>
        <c:ser>
          <c:idx val="0"/>
          <c:order val="0"/>
          <c:tx>
            <c:v>Feed_Light Naphtha (&lt;120 oC)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Reactor7!$A$80:$A$106</c:f>
              <c:strCache>
                <c:ptCount val="27"/>
                <c:pt idx="0">
                  <c:v>Methane</c:v>
                </c:pt>
                <c:pt idx="1">
                  <c:v>Ethane</c:v>
                </c:pt>
                <c:pt idx="2">
                  <c:v>Propane</c:v>
                </c:pt>
                <c:pt idx="3">
                  <c:v>n-Butane</c:v>
                </c:pt>
                <c:pt idx="4">
                  <c:v>iso-Butane</c:v>
                </c:pt>
                <c:pt idx="5">
                  <c:v>n-Pentane</c:v>
                </c:pt>
                <c:pt idx="6">
                  <c:v>iso-Pentane</c:v>
                </c:pt>
                <c:pt idx="7">
                  <c:v>Cyclopentane</c:v>
                </c:pt>
                <c:pt idx="8">
                  <c:v>n-Hexane</c:v>
                </c:pt>
                <c:pt idx="9">
                  <c:v>2-Methyl Pentane</c:v>
                </c:pt>
                <c:pt idx="10">
                  <c:v>3-Methyl Pentane</c:v>
                </c:pt>
                <c:pt idx="11">
                  <c:v>2,3-Dimethyl Butane</c:v>
                </c:pt>
                <c:pt idx="12">
                  <c:v>2,2-Dimethyl Butane</c:v>
                </c:pt>
                <c:pt idx="13">
                  <c:v>Cyclohexane</c:v>
                </c:pt>
                <c:pt idx="14">
                  <c:v>Methyl Cyclopentane</c:v>
                </c:pt>
                <c:pt idx="15">
                  <c:v>Benzene</c:v>
                </c:pt>
                <c:pt idx="16">
                  <c:v>n-Heptane</c:v>
                </c:pt>
                <c:pt idx="17">
                  <c:v>iC7 Single Branched</c:v>
                </c:pt>
                <c:pt idx="18">
                  <c:v>iC7 Multi Branched</c:v>
                </c:pt>
                <c:pt idx="19">
                  <c:v>C7N</c:v>
                </c:pt>
                <c:pt idx="20">
                  <c:v>Toluene</c:v>
                </c:pt>
                <c:pt idx="21">
                  <c:v>C8P</c:v>
                </c:pt>
                <c:pt idx="22">
                  <c:v>C3 &amp; Below</c:v>
                </c:pt>
                <c:pt idx="23">
                  <c:v>C4-C5 Unknowns</c:v>
                </c:pt>
                <c:pt idx="24">
                  <c:v>C5-C6 Unknowns</c:v>
                </c:pt>
                <c:pt idx="25">
                  <c:v>C6-C7 Unknowns</c:v>
                </c:pt>
                <c:pt idx="26">
                  <c:v>C7-C8 Unknowns</c:v>
                </c:pt>
              </c:strCache>
            </c:strRef>
          </c:cat>
          <c:val>
            <c:numRef>
              <c:f>Reactor8!$D$80:$D$106</c:f>
              <c:numCache>
                <c:formatCode>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4.217973460548069E-2</c:v>
                </c:pt>
                <c:pt idx="3">
                  <c:v>1.6073493509551542</c:v>
                </c:pt>
                <c:pt idx="4">
                  <c:v>0.28746794337131371</c:v>
                </c:pt>
                <c:pt idx="5">
                  <c:v>12.610215825169552</c:v>
                </c:pt>
                <c:pt idx="6">
                  <c:v>7.4255022979475518</c:v>
                </c:pt>
                <c:pt idx="7">
                  <c:v>0</c:v>
                </c:pt>
                <c:pt idx="8">
                  <c:v>17.577721278637764</c:v>
                </c:pt>
                <c:pt idx="9">
                  <c:v>7.8911242651911202</c:v>
                </c:pt>
                <c:pt idx="10">
                  <c:v>3.6340657380437094</c:v>
                </c:pt>
                <c:pt idx="11">
                  <c:v>0.70917824250839223</c:v>
                </c:pt>
                <c:pt idx="12">
                  <c:v>1.6103679779756904E-2</c:v>
                </c:pt>
                <c:pt idx="13">
                  <c:v>0.30785293074831072</c:v>
                </c:pt>
                <c:pt idx="14">
                  <c:v>0.66372474336489573</c:v>
                </c:pt>
                <c:pt idx="15">
                  <c:v>0</c:v>
                </c:pt>
                <c:pt idx="16">
                  <c:v>16.235768974982992</c:v>
                </c:pt>
                <c:pt idx="17">
                  <c:v>13.786360759719527</c:v>
                </c:pt>
                <c:pt idx="18">
                  <c:v>0.94854826140797721</c:v>
                </c:pt>
                <c:pt idx="19">
                  <c:v>0.9850299247897415</c:v>
                </c:pt>
                <c:pt idx="20">
                  <c:v>0</c:v>
                </c:pt>
                <c:pt idx="21">
                  <c:v>14.894939276405131</c:v>
                </c:pt>
                <c:pt idx="22">
                  <c:v>0</c:v>
                </c:pt>
                <c:pt idx="23">
                  <c:v>3.335397757924672E-2</c:v>
                </c:pt>
                <c:pt idx="24">
                  <c:v>5.0886427456890725E-2</c:v>
                </c:pt>
                <c:pt idx="25">
                  <c:v>0.16167514186091073</c:v>
                </c:pt>
                <c:pt idx="26">
                  <c:v>0.21653971351191847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8-4002-B33C-B9F6987879DE}"/>
            </c:ext>
          </c:extLst>
        </c:ser>
        <c:ser>
          <c:idx val="2"/>
          <c:order val="2"/>
          <c:tx>
            <c:v>ATHOS-1 (Rx effluent, 220 oC)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Reactor7!$A$80:$A$106</c:f>
              <c:strCache>
                <c:ptCount val="27"/>
                <c:pt idx="0">
                  <c:v>Methane</c:v>
                </c:pt>
                <c:pt idx="1">
                  <c:v>Ethane</c:v>
                </c:pt>
                <c:pt idx="2">
                  <c:v>Propane</c:v>
                </c:pt>
                <c:pt idx="3">
                  <c:v>n-Butane</c:v>
                </c:pt>
                <c:pt idx="4">
                  <c:v>iso-Butane</c:v>
                </c:pt>
                <c:pt idx="5">
                  <c:v>n-Pentane</c:v>
                </c:pt>
                <c:pt idx="6">
                  <c:v>iso-Pentane</c:v>
                </c:pt>
                <c:pt idx="7">
                  <c:v>Cyclopentane</c:v>
                </c:pt>
                <c:pt idx="8">
                  <c:v>n-Hexane</c:v>
                </c:pt>
                <c:pt idx="9">
                  <c:v>2-Methyl Pentane</c:v>
                </c:pt>
                <c:pt idx="10">
                  <c:v>3-Methyl Pentane</c:v>
                </c:pt>
                <c:pt idx="11">
                  <c:v>2,3-Dimethyl Butane</c:v>
                </c:pt>
                <c:pt idx="12">
                  <c:v>2,2-Dimethyl Butane</c:v>
                </c:pt>
                <c:pt idx="13">
                  <c:v>Cyclohexane</c:v>
                </c:pt>
                <c:pt idx="14">
                  <c:v>Methyl Cyclopentane</c:v>
                </c:pt>
                <c:pt idx="15">
                  <c:v>Benzene</c:v>
                </c:pt>
                <c:pt idx="16">
                  <c:v>n-Heptane</c:v>
                </c:pt>
                <c:pt idx="17">
                  <c:v>iC7 Single Branched</c:v>
                </c:pt>
                <c:pt idx="18">
                  <c:v>iC7 Multi Branched</c:v>
                </c:pt>
                <c:pt idx="19">
                  <c:v>C7N</c:v>
                </c:pt>
                <c:pt idx="20">
                  <c:v>Toluene</c:v>
                </c:pt>
                <c:pt idx="21">
                  <c:v>C8P</c:v>
                </c:pt>
                <c:pt idx="22">
                  <c:v>C3 &amp; Below</c:v>
                </c:pt>
                <c:pt idx="23">
                  <c:v>C4-C5 Unknowns</c:v>
                </c:pt>
                <c:pt idx="24">
                  <c:v>C5-C6 Unknowns</c:v>
                </c:pt>
                <c:pt idx="25">
                  <c:v>C6-C7 Unknowns</c:v>
                </c:pt>
                <c:pt idx="26">
                  <c:v>C7-C8 Unknowns</c:v>
                </c:pt>
              </c:strCache>
            </c:strRef>
          </c:cat>
          <c:val>
            <c:numRef>
              <c:f>Reactor6!$E$80:$E$106</c:f>
              <c:numCache>
                <c:formatCode>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3.5381434797493734</c:v>
                </c:pt>
                <c:pt idx="3">
                  <c:v>3.1775883925745263</c:v>
                </c:pt>
                <c:pt idx="4">
                  <c:v>7.8934896967564665</c:v>
                </c:pt>
                <c:pt idx="5">
                  <c:v>12.472401623084702</c:v>
                </c:pt>
                <c:pt idx="6">
                  <c:v>10.02925897373196</c:v>
                </c:pt>
                <c:pt idx="7">
                  <c:v>0</c:v>
                </c:pt>
                <c:pt idx="8">
                  <c:v>13.845003859774064</c:v>
                </c:pt>
                <c:pt idx="9">
                  <c:v>8.7810230340894702</c:v>
                </c:pt>
                <c:pt idx="10">
                  <c:v>5.3578279633694699</c:v>
                </c:pt>
                <c:pt idx="11">
                  <c:v>1.8214305811321312</c:v>
                </c:pt>
                <c:pt idx="12">
                  <c:v>0.48907087457359716</c:v>
                </c:pt>
                <c:pt idx="13">
                  <c:v>0.30968644982853633</c:v>
                </c:pt>
                <c:pt idx="14">
                  <c:v>0.7028805149223194</c:v>
                </c:pt>
                <c:pt idx="15">
                  <c:v>0</c:v>
                </c:pt>
                <c:pt idx="16">
                  <c:v>6.8030166778393193</c:v>
                </c:pt>
                <c:pt idx="17">
                  <c:v>14.026035035103749</c:v>
                </c:pt>
                <c:pt idx="18">
                  <c:v>4.6918964774087248</c:v>
                </c:pt>
                <c:pt idx="19">
                  <c:v>1.0804439967704347</c:v>
                </c:pt>
                <c:pt idx="20">
                  <c:v>0</c:v>
                </c:pt>
                <c:pt idx="21">
                  <c:v>5.2517966937032847</c:v>
                </c:pt>
                <c:pt idx="22">
                  <c:v>1.7451943581497625E-2</c:v>
                </c:pt>
                <c:pt idx="23">
                  <c:v>0</c:v>
                </c:pt>
                <c:pt idx="24">
                  <c:v>0</c:v>
                </c:pt>
                <c:pt idx="25">
                  <c:v>3.8544600826020572E-3</c:v>
                </c:pt>
                <c:pt idx="26">
                  <c:v>6.0261437755880283E-2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D7B8-4002-B33C-B9F6987879DE}"/>
            </c:ext>
          </c:extLst>
        </c:ser>
        <c:ser>
          <c:idx val="3"/>
          <c:order val="3"/>
          <c:tx>
            <c:v>ATHOS-3 (Rx effluent, 205 oC)</c:v>
          </c:tx>
          <c:spPr>
            <a:noFill/>
            <a:ln>
              <a:solidFill>
                <a:schemeClr val="accent2"/>
              </a:solidFill>
            </a:ln>
            <a:effectLst/>
          </c:spPr>
          <c:invertIfNegative val="0"/>
          <c:cat>
            <c:strRef>
              <c:f>Reactor7!$A$80:$A$106</c:f>
              <c:strCache>
                <c:ptCount val="27"/>
                <c:pt idx="0">
                  <c:v>Methane</c:v>
                </c:pt>
                <c:pt idx="1">
                  <c:v>Ethane</c:v>
                </c:pt>
                <c:pt idx="2">
                  <c:v>Propane</c:v>
                </c:pt>
                <c:pt idx="3">
                  <c:v>n-Butane</c:v>
                </c:pt>
                <c:pt idx="4">
                  <c:v>iso-Butane</c:v>
                </c:pt>
                <c:pt idx="5">
                  <c:v>n-Pentane</c:v>
                </c:pt>
                <c:pt idx="6">
                  <c:v>iso-Pentane</c:v>
                </c:pt>
                <c:pt idx="7">
                  <c:v>Cyclopentane</c:v>
                </c:pt>
                <c:pt idx="8">
                  <c:v>n-Hexane</c:v>
                </c:pt>
                <c:pt idx="9">
                  <c:v>2-Methyl Pentane</c:v>
                </c:pt>
                <c:pt idx="10">
                  <c:v>3-Methyl Pentane</c:v>
                </c:pt>
                <c:pt idx="11">
                  <c:v>2,3-Dimethyl Butane</c:v>
                </c:pt>
                <c:pt idx="12">
                  <c:v>2,2-Dimethyl Butane</c:v>
                </c:pt>
                <c:pt idx="13">
                  <c:v>Cyclohexane</c:v>
                </c:pt>
                <c:pt idx="14">
                  <c:v>Methyl Cyclopentane</c:v>
                </c:pt>
                <c:pt idx="15">
                  <c:v>Benzene</c:v>
                </c:pt>
                <c:pt idx="16">
                  <c:v>n-Heptane</c:v>
                </c:pt>
                <c:pt idx="17">
                  <c:v>iC7 Single Branched</c:v>
                </c:pt>
                <c:pt idx="18">
                  <c:v>iC7 Multi Branched</c:v>
                </c:pt>
                <c:pt idx="19">
                  <c:v>C7N</c:v>
                </c:pt>
                <c:pt idx="20">
                  <c:v>Toluene</c:v>
                </c:pt>
                <c:pt idx="21">
                  <c:v>C8P</c:v>
                </c:pt>
                <c:pt idx="22">
                  <c:v>C3 &amp; Below</c:v>
                </c:pt>
                <c:pt idx="23">
                  <c:v>C4-C5 Unknowns</c:v>
                </c:pt>
                <c:pt idx="24">
                  <c:v>C5-C6 Unknowns</c:v>
                </c:pt>
                <c:pt idx="25">
                  <c:v>C6-C7 Unknowns</c:v>
                </c:pt>
                <c:pt idx="26">
                  <c:v>C7-C8 Unknowns</c:v>
                </c:pt>
              </c:strCache>
            </c:strRef>
          </c:cat>
          <c:val>
            <c:numRef>
              <c:f>Reactor7!$L$80:$L$106</c:f>
              <c:numCache>
                <c:formatCode>0.00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5.8501949347271553</c:v>
                </c:pt>
                <c:pt idx="3">
                  <c:v>3.3351771919546866</c:v>
                </c:pt>
                <c:pt idx="4">
                  <c:v>12.974130296874266</c:v>
                </c:pt>
                <c:pt idx="5">
                  <c:v>12.484352214949464</c:v>
                </c:pt>
                <c:pt idx="6">
                  <c:v>10.489559411205859</c:v>
                </c:pt>
                <c:pt idx="7">
                  <c:v>0</c:v>
                </c:pt>
                <c:pt idx="8">
                  <c:v>14.680654927134494</c:v>
                </c:pt>
                <c:pt idx="9">
                  <c:v>8.0217367092138296</c:v>
                </c:pt>
                <c:pt idx="10">
                  <c:v>4.866194164971235</c:v>
                </c:pt>
                <c:pt idx="11">
                  <c:v>2.466162256728067</c:v>
                </c:pt>
                <c:pt idx="12">
                  <c:v>0.32865558970401276</c:v>
                </c:pt>
                <c:pt idx="13">
                  <c:v>0.3400455205340408</c:v>
                </c:pt>
                <c:pt idx="14">
                  <c:v>0.58373194481464408</c:v>
                </c:pt>
                <c:pt idx="15">
                  <c:v>0</c:v>
                </c:pt>
                <c:pt idx="16">
                  <c:v>7.8990105060539202</c:v>
                </c:pt>
                <c:pt idx="17">
                  <c:v>9.1968364358106189</c:v>
                </c:pt>
                <c:pt idx="18">
                  <c:v>3.4867943386177997</c:v>
                </c:pt>
                <c:pt idx="19">
                  <c:v>1.0081998497650757</c:v>
                </c:pt>
                <c:pt idx="20">
                  <c:v>0</c:v>
                </c:pt>
                <c:pt idx="21">
                  <c:v>2.4566559060582458</c:v>
                </c:pt>
                <c:pt idx="22">
                  <c:v>8.409773319347353E-3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3.4703507039214307E-2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B8-4002-B33C-B9F698787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5652768"/>
        <c:axId val="20156508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Isomerate Product @ 210 oC</c:v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Reactor7!$A$80:$A$106</c15:sqref>
                        </c15:formulaRef>
                      </c:ext>
                    </c:extLst>
                    <c:strCache>
                      <c:ptCount val="27"/>
                      <c:pt idx="0">
                        <c:v>Methane</c:v>
                      </c:pt>
                      <c:pt idx="1">
                        <c:v>Ethane</c:v>
                      </c:pt>
                      <c:pt idx="2">
                        <c:v>Propane</c:v>
                      </c:pt>
                      <c:pt idx="3">
                        <c:v>n-Butane</c:v>
                      </c:pt>
                      <c:pt idx="4">
                        <c:v>iso-Butane</c:v>
                      </c:pt>
                      <c:pt idx="5">
                        <c:v>n-Pentane</c:v>
                      </c:pt>
                      <c:pt idx="6">
                        <c:v>iso-Pentane</c:v>
                      </c:pt>
                      <c:pt idx="7">
                        <c:v>Cyclopentane</c:v>
                      </c:pt>
                      <c:pt idx="8">
                        <c:v>n-Hexane</c:v>
                      </c:pt>
                      <c:pt idx="9">
                        <c:v>2-Methyl Pentane</c:v>
                      </c:pt>
                      <c:pt idx="10">
                        <c:v>3-Methyl Pentane</c:v>
                      </c:pt>
                      <c:pt idx="11">
                        <c:v>2,3-Dimethyl Butane</c:v>
                      </c:pt>
                      <c:pt idx="12">
                        <c:v>2,2-Dimethyl Butane</c:v>
                      </c:pt>
                      <c:pt idx="13">
                        <c:v>Cyclohexane</c:v>
                      </c:pt>
                      <c:pt idx="14">
                        <c:v>Methyl Cyclopentane</c:v>
                      </c:pt>
                      <c:pt idx="15">
                        <c:v>Benzene</c:v>
                      </c:pt>
                      <c:pt idx="16">
                        <c:v>n-Heptane</c:v>
                      </c:pt>
                      <c:pt idx="17">
                        <c:v>iC7 Single Branched</c:v>
                      </c:pt>
                      <c:pt idx="18">
                        <c:v>iC7 Multi Branched</c:v>
                      </c:pt>
                      <c:pt idx="19">
                        <c:v>C7N</c:v>
                      </c:pt>
                      <c:pt idx="20">
                        <c:v>Toluene</c:v>
                      </c:pt>
                      <c:pt idx="21">
                        <c:v>C8P</c:v>
                      </c:pt>
                      <c:pt idx="22">
                        <c:v>C3 &amp; Below</c:v>
                      </c:pt>
                      <c:pt idx="23">
                        <c:v>C4-C5 Unknowns</c:v>
                      </c:pt>
                      <c:pt idx="24">
                        <c:v>C5-C6 Unknowns</c:v>
                      </c:pt>
                      <c:pt idx="25">
                        <c:v>C6-C7 Unknowns</c:v>
                      </c:pt>
                      <c:pt idx="26">
                        <c:v>C7-C8 Unknowns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Reactor7!$J$80:$J$101</c15:sqref>
                        </c15:formulaRef>
                      </c:ext>
                    </c:extLst>
                    <c:numCache>
                      <c:formatCode>0.00</c:formatCode>
                      <c:ptCount val="22"/>
                      <c:pt idx="0">
                        <c:v>0</c:v>
                      </c:pt>
                      <c:pt idx="1">
                        <c:v>0</c:v>
                      </c:pt>
                      <c:pt idx="2">
                        <c:v>7.816124984600596</c:v>
                      </c:pt>
                      <c:pt idx="3">
                        <c:v>3.5459065293420706</c:v>
                      </c:pt>
                      <c:pt idx="4">
                        <c:v>15.885940608886518</c:v>
                      </c:pt>
                      <c:pt idx="5">
                        <c:v>12.322759881202643</c:v>
                      </c:pt>
                      <c:pt idx="6">
                        <c:v>11.008730489387693</c:v>
                      </c:pt>
                      <c:pt idx="7">
                        <c:v>0</c:v>
                      </c:pt>
                      <c:pt idx="8">
                        <c:v>13.336996204754492</c:v>
                      </c:pt>
                      <c:pt idx="9">
                        <c:v>8.6013825924696032</c:v>
                      </c:pt>
                      <c:pt idx="10">
                        <c:v>5.247818546528018</c:v>
                      </c:pt>
                      <c:pt idx="11">
                        <c:v>2.6914837074693505</c:v>
                      </c:pt>
                      <c:pt idx="12">
                        <c:v>0.48400255159387279</c:v>
                      </c:pt>
                      <c:pt idx="13">
                        <c:v>0.30374637239200031</c:v>
                      </c:pt>
                      <c:pt idx="14">
                        <c:v>0.58171426380094771</c:v>
                      </c:pt>
                      <c:pt idx="15">
                        <c:v>0</c:v>
                      </c:pt>
                      <c:pt idx="16">
                        <c:v>5.5778605794200615</c:v>
                      </c:pt>
                      <c:pt idx="17">
                        <c:v>7.5698116994261069</c:v>
                      </c:pt>
                      <c:pt idx="18">
                        <c:v>3.0688355919360299</c:v>
                      </c:pt>
                      <c:pt idx="19">
                        <c:v>0.96823451355714973</c:v>
                      </c:pt>
                      <c:pt idx="20">
                        <c:v>0</c:v>
                      </c:pt>
                      <c:pt idx="21">
                        <c:v>1.572433005931372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7B8-4002-B33C-B9F6987879DE}"/>
                  </c:ext>
                </c:extLst>
              </c15:ser>
            </c15:filteredBarSeries>
          </c:ext>
        </c:extLst>
      </c:barChart>
      <c:catAx>
        <c:axId val="201565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auto val="1"/>
        <c:lblAlgn val="ctr"/>
        <c:lblOffset val="100"/>
        <c:noMultiLvlLbl val="0"/>
      </c:catAx>
      <c:valAx>
        <c:axId val="2015650848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>
                    <a:latin typeface="Aptos" panose="020B0004020202020204" pitchFamily="34" charset="0"/>
                  </a:rPr>
                  <a:t>Concentration,</a:t>
                </a:r>
                <a:r>
                  <a:rPr lang="en-IN" sz="1100" baseline="0">
                    <a:latin typeface="Aptos" panose="020B0004020202020204" pitchFamily="34" charset="0"/>
                  </a:rPr>
                  <a:t> wt%</a:t>
                </a:r>
                <a:endParaRPr lang="en-IN" sz="1100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4.9759181562158743E-2"/>
              <c:y val="0.321935392691298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1485632250876424"/>
          <c:y val="0.22213446396123562"/>
          <c:w val="0.84473411441846846"/>
          <c:h val="4.9475873208156676E-2"/>
        </c:manualLayout>
      </c:layout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3"/>
          <c:order val="3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209.9</c:v>
                </c:pt>
                <c:pt idx="7">
                  <c:v>210</c:v>
                </c:pt>
                <c:pt idx="8">
                  <c:v>205</c:v>
                </c:pt>
                <c:pt idx="9" formatCode="General">
                  <c:v>200</c:v>
                </c:pt>
              </c:numCache>
            </c:numRef>
          </c:xVal>
          <c:yVal>
            <c:numRef>
              <c:f>Reactor6!$D$123:$Z$123</c:f>
              <c:numCache>
                <c:formatCode>0.0</c:formatCode>
                <c:ptCount val="23"/>
                <c:pt idx="1">
                  <c:v>100.88057591596971</c:v>
                </c:pt>
                <c:pt idx="2">
                  <c:v>101.20543363755804</c:v>
                </c:pt>
                <c:pt idx="3">
                  <c:v>105.25070542237938</c:v>
                </c:pt>
                <c:pt idx="4">
                  <c:v>106.08471614848004</c:v>
                </c:pt>
                <c:pt idx="5">
                  <c:v>106.79355792797304</c:v>
                </c:pt>
                <c:pt idx="6">
                  <c:v>106.68573295864198</c:v>
                </c:pt>
                <c:pt idx="7">
                  <c:v>111.75052982088418</c:v>
                </c:pt>
                <c:pt idx="8">
                  <c:v>117.38349995105877</c:v>
                </c:pt>
                <c:pt idx="9">
                  <c:v>119.05183281405482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A3E-47B3-A7C3-371038648965}"/>
            </c:ext>
          </c:extLst>
        </c:ser>
        <c:ser>
          <c:idx val="5"/>
          <c:order val="4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Reactor7!$D$24:$Z$24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  <c:pt idx="9">
                  <c:v>200</c:v>
                </c:pt>
                <c:pt idx="10" formatCode="General">
                  <c:v>200</c:v>
                </c:pt>
                <c:pt idx="11" formatCode="General">
                  <c:v>200</c:v>
                </c:pt>
                <c:pt idx="12" formatCode="General">
                  <c:v>210</c:v>
                </c:pt>
                <c:pt idx="13" formatCode="General">
                  <c:v>210</c:v>
                </c:pt>
                <c:pt idx="14" formatCode="General">
                  <c:v>210.1</c:v>
                </c:pt>
                <c:pt idx="15" formatCode="General">
                  <c:v>210</c:v>
                </c:pt>
                <c:pt idx="16" formatCode="General">
                  <c:v>210</c:v>
                </c:pt>
                <c:pt idx="17" formatCode="General">
                  <c:v>190.2</c:v>
                </c:pt>
              </c:numCache>
            </c:numRef>
          </c:xVal>
          <c:yVal>
            <c:numRef>
              <c:f>Reactor7!$D$123:$Z$123</c:f>
              <c:numCache>
                <c:formatCode>0.0</c:formatCode>
                <c:ptCount val="23"/>
                <c:pt idx="1">
                  <c:v>101.3903883607346</c:v>
                </c:pt>
                <c:pt idx="2">
                  <c:v>100.15883384069386</c:v>
                </c:pt>
                <c:pt idx="3">
                  <c:v>101.6924160050512</c:v>
                </c:pt>
                <c:pt idx="4">
                  <c:v>101.64267040412713</c:v>
                </c:pt>
                <c:pt idx="5">
                  <c:v>101.47907974432604</c:v>
                </c:pt>
                <c:pt idx="6">
                  <c:v>102.28613782085581</c:v>
                </c:pt>
                <c:pt idx="7">
                  <c:v>103.2525520148339</c:v>
                </c:pt>
                <c:pt idx="8">
                  <c:v>103.32310985563335</c:v>
                </c:pt>
                <c:pt idx="9">
                  <c:v>107.41192352947472</c:v>
                </c:pt>
                <c:pt idx="10">
                  <c:v>106.68557892351421</c:v>
                </c:pt>
                <c:pt idx="11">
                  <c:v>106.85663642414008</c:v>
                </c:pt>
                <c:pt idx="13">
                  <c:v>102.87622205866442</c:v>
                </c:pt>
                <c:pt idx="14">
                  <c:v>102.80738646378377</c:v>
                </c:pt>
                <c:pt idx="15">
                  <c:v>102.93184237534641</c:v>
                </c:pt>
                <c:pt idx="16">
                  <c:v>103.43391990803219</c:v>
                </c:pt>
                <c:pt idx="17">
                  <c:v>108.46596044819816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A3E-47B3-A7C3-371038648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R1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Reactor1!$D$24:$Z$24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210.1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220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215</c:v>
                      </c:pt>
                      <c:pt idx="8">
                        <c:v>210</c:v>
                      </c:pt>
                      <c:pt idx="9" formatCode="General">
                        <c:v>205</c:v>
                      </c:pt>
                      <c:pt idx="10" formatCode="General">
                        <c:v>205</c:v>
                      </c:pt>
                      <c:pt idx="11" formatCode="General">
                        <c:v>200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Reactor1!$D$115:$Z$115</c15:sqref>
                        </c15:formulaRef>
                      </c:ext>
                    </c:extLst>
                    <c:numCache>
                      <c:formatCode>0.0</c:formatCode>
                      <c:ptCount val="23"/>
                      <c:pt idx="1">
                        <c:v>1.6992636481145471</c:v>
                      </c:pt>
                      <c:pt idx="2">
                        <c:v>1.8550981560720161</c:v>
                      </c:pt>
                      <c:pt idx="3">
                        <c:v>2.0958183497341927</c:v>
                      </c:pt>
                      <c:pt idx="4">
                        <c:v>1.6798107848792905</c:v>
                      </c:pt>
                      <c:pt idx="5">
                        <c:v>1.12747897484087</c:v>
                      </c:pt>
                      <c:pt idx="6">
                        <c:v>1.0227806794751262</c:v>
                      </c:pt>
                      <c:pt idx="7">
                        <c:v>1.0101539978096157</c:v>
                      </c:pt>
                      <c:pt idx="8">
                        <c:v>0.62391963422884911</c:v>
                      </c:pt>
                      <c:pt idx="9">
                        <c:v>0.56651561427378716</c:v>
                      </c:pt>
                      <c:pt idx="10">
                        <c:v>0.28405163835206093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8A3E-47B3-A7C3-37103864896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R5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Reactor5!$D$24:$Z$24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Reactor5!$D$115:$Z$115</c15:sqref>
                        </c15:formulaRef>
                      </c:ext>
                    </c:extLst>
                    <c:numCache>
                      <c:formatCode>0.0</c:formatCode>
                      <c:ptCount val="23"/>
                      <c:pt idx="1">
                        <c:v>4.3678982438468861</c:v>
                      </c:pt>
                      <c:pt idx="2">
                        <c:v>4.2438089232574532</c:v>
                      </c:pt>
                      <c:pt idx="3">
                        <c:v>4.0979468949010416</c:v>
                      </c:pt>
                      <c:pt idx="4">
                        <c:v>2.9146156967131072</c:v>
                      </c:pt>
                      <c:pt idx="5">
                        <c:v>2.5784338892336778</c:v>
                      </c:pt>
                      <c:pt idx="6">
                        <c:v>1.6609568324803785</c:v>
                      </c:pt>
                      <c:pt idx="7">
                        <c:v>1.5688670466583028</c:v>
                      </c:pt>
                      <c:pt idx="8">
                        <c:v>1.026194577987956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A3E-47B3-A7C3-371038648965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R2 (ATHOS-1)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>
                        <c:v>205</c:v>
                      </c:pt>
                      <c:pt idx="10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Reactor2!$D$123:$Z$123</c15:sqref>
                        </c15:formulaRef>
                      </c:ext>
                    </c:extLst>
                    <c:numCache>
                      <c:formatCode>0.0</c:formatCode>
                      <c:ptCount val="23"/>
                      <c:pt idx="1">
                        <c:v>66.692489290547655</c:v>
                      </c:pt>
                      <c:pt idx="2">
                        <c:v>105.20776126606958</c:v>
                      </c:pt>
                      <c:pt idx="3">
                        <c:v>103.72228101545176</c:v>
                      </c:pt>
                      <c:pt idx="4">
                        <c:v>105.71591779323481</c:v>
                      </c:pt>
                      <c:pt idx="5">
                        <c:v>105.5949381115409</c:v>
                      </c:pt>
                      <c:pt idx="6">
                        <c:v>109.95826236961794</c:v>
                      </c:pt>
                      <c:pt idx="7">
                        <c:v>112.9851582683972</c:v>
                      </c:pt>
                      <c:pt idx="8">
                        <c:v>121.29593773482324</c:v>
                      </c:pt>
                      <c:pt idx="9">
                        <c:v>116.80148420786138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A3E-47B3-A7C3-371038648965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R3 (ATHOS-3)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Reactor3!$D$24:$M$24</c15:sqref>
                        </c15:formulaRef>
                      </c:ext>
                    </c:extLst>
                    <c:numCache>
                      <c:formatCode>0</c:formatCode>
                      <c:ptCount val="10"/>
                      <c:pt idx="0">
                        <c:v>220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214.9</c:v>
                      </c:pt>
                      <c:pt idx="4">
                        <c:v>215.1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205</c:v>
                      </c:pt>
                      <c:pt idx="8" formatCode="General">
                        <c:v>200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Reactor3!$D$123:$K$123</c15:sqref>
                        </c15:formulaRef>
                      </c:ext>
                    </c:extLst>
                    <c:numCache>
                      <c:formatCode>0.0</c:formatCode>
                      <c:ptCount val="8"/>
                      <c:pt idx="1">
                        <c:v>99.935730028409637</c:v>
                      </c:pt>
                      <c:pt idx="2">
                        <c:v>99.263188883006421</c:v>
                      </c:pt>
                      <c:pt idx="3">
                        <c:v>100.23624229040455</c:v>
                      </c:pt>
                      <c:pt idx="4">
                        <c:v>100.85404165116989</c:v>
                      </c:pt>
                      <c:pt idx="5">
                        <c:v>100.80023477784215</c:v>
                      </c:pt>
                      <c:pt idx="6">
                        <c:v>102.48558909375444</c:v>
                      </c:pt>
                      <c:pt idx="7">
                        <c:v>104.64714371456266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A3E-47B3-A7C3-371038648965}"/>
                  </c:ext>
                </c:extLst>
              </c15:ser>
            </c15:filteredScatterSeries>
          </c:ext>
        </c:extLst>
      </c:scatterChart>
      <c:valAx>
        <c:axId val="2015652768"/>
        <c:scaling>
          <c:orientation val="minMax"/>
          <c:max val="230"/>
          <c:min val="1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Rx Temperature,</a:t>
                </a:r>
                <a:r>
                  <a:rPr lang="en-IN" sz="1200" b="1" baseline="0">
                    <a:latin typeface="Aptos" panose="020B0004020202020204" pitchFamily="34" charset="0"/>
                  </a:rPr>
                  <a:t> oC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5"/>
      </c:valAx>
      <c:valAx>
        <c:axId val="201565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Selectivity</a:t>
                </a:r>
                <a:r>
                  <a:rPr lang="en-IN" sz="1200" b="1" baseline="0">
                    <a:latin typeface="Aptos" panose="020B0004020202020204" pitchFamily="34" charset="0"/>
                  </a:rPr>
                  <a:t> (i-</a:t>
                </a:r>
                <a:r>
                  <a:rPr lang="en-IN" sz="1200" b="1">
                    <a:latin typeface="Aptos" panose="020B0004020202020204" pitchFamily="34" charset="0"/>
                  </a:rPr>
                  <a:t>C6) , wt%</a:t>
                </a:r>
              </a:p>
            </c:rich>
          </c:tx>
          <c:layout>
            <c:manualLayout>
              <c:xMode val="edge"/>
              <c:yMode val="edge"/>
              <c:x val="2.573875813249412E-2"/>
              <c:y val="0.309797731639133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908406260781133"/>
          <c:y val="9.6453999097731585E-2"/>
          <c:w val="0.82598593918396002"/>
          <c:h val="8.567194531328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3"/>
          <c:order val="3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209.9</c:v>
                </c:pt>
                <c:pt idx="7">
                  <c:v>210</c:v>
                </c:pt>
                <c:pt idx="8">
                  <c:v>205</c:v>
                </c:pt>
                <c:pt idx="9" formatCode="General">
                  <c:v>200</c:v>
                </c:pt>
              </c:numCache>
            </c:numRef>
          </c:xVal>
          <c:yVal>
            <c:numRef>
              <c:f>Reactor6!$D$128:$Z$128</c:f>
              <c:numCache>
                <c:formatCode>0.0</c:formatCode>
                <c:ptCount val="23"/>
                <c:pt idx="1">
                  <c:v>42.680334369785989</c:v>
                </c:pt>
                <c:pt idx="2">
                  <c:v>32.133958781468181</c:v>
                </c:pt>
                <c:pt idx="3">
                  <c:v>35.915775209573027</c:v>
                </c:pt>
                <c:pt idx="4">
                  <c:v>20.095132017297477</c:v>
                </c:pt>
                <c:pt idx="5">
                  <c:v>19.545719898935904</c:v>
                </c:pt>
                <c:pt idx="6">
                  <c:v>32.463790490352139</c:v>
                </c:pt>
                <c:pt idx="7">
                  <c:v>31.207530651999196</c:v>
                </c:pt>
                <c:pt idx="8">
                  <c:v>45.198902258909698</c:v>
                </c:pt>
                <c:pt idx="9">
                  <c:v>54.823565117186291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BA-496E-84AE-DED7389562CD}"/>
            </c:ext>
          </c:extLst>
        </c:ser>
        <c:ser>
          <c:idx val="5"/>
          <c:order val="4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Reactor7!$D$24:$Z$24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  <c:pt idx="9">
                  <c:v>200</c:v>
                </c:pt>
                <c:pt idx="10" formatCode="General">
                  <c:v>200</c:v>
                </c:pt>
                <c:pt idx="11" formatCode="General">
                  <c:v>200</c:v>
                </c:pt>
                <c:pt idx="12" formatCode="General">
                  <c:v>210</c:v>
                </c:pt>
                <c:pt idx="13" formatCode="General">
                  <c:v>210</c:v>
                </c:pt>
                <c:pt idx="14" formatCode="General">
                  <c:v>210.1</c:v>
                </c:pt>
                <c:pt idx="15" formatCode="General">
                  <c:v>210</c:v>
                </c:pt>
                <c:pt idx="16" formatCode="General">
                  <c:v>210</c:v>
                </c:pt>
                <c:pt idx="17" formatCode="General">
                  <c:v>190.2</c:v>
                </c:pt>
              </c:numCache>
            </c:numRef>
          </c:xVal>
          <c:yVal>
            <c:numRef>
              <c:f>Reactor7!$D$128:$Z$128</c:f>
              <c:numCache>
                <c:formatCode>0.0</c:formatCode>
                <c:ptCount val="23"/>
                <c:pt idx="1">
                  <c:v>-34.26446635104648</c:v>
                </c:pt>
                <c:pt idx="2">
                  <c:v>-50.636540355979378</c:v>
                </c:pt>
                <c:pt idx="3">
                  <c:v>-49.403326129902062</c:v>
                </c:pt>
                <c:pt idx="4">
                  <c:v>-49.791005081508104</c:v>
                </c:pt>
                <c:pt idx="5">
                  <c:v>-50.622557499505859</c:v>
                </c:pt>
                <c:pt idx="6">
                  <c:v>-39.296631790449986</c:v>
                </c:pt>
                <c:pt idx="7">
                  <c:v>-39.460496482291688</c:v>
                </c:pt>
                <c:pt idx="8">
                  <c:v>-25.434508506859004</c:v>
                </c:pt>
                <c:pt idx="9">
                  <c:v>-11.775152571698221</c:v>
                </c:pt>
                <c:pt idx="10">
                  <c:v>-13.655489409097072</c:v>
                </c:pt>
                <c:pt idx="11">
                  <c:v>-12.88708417641007</c:v>
                </c:pt>
                <c:pt idx="13">
                  <c:v>-39.402143646611435</c:v>
                </c:pt>
                <c:pt idx="14">
                  <c:v>-39.447010535842224</c:v>
                </c:pt>
                <c:pt idx="15">
                  <c:v>-39.269398358259302</c:v>
                </c:pt>
                <c:pt idx="16">
                  <c:v>-39.344825270515713</c:v>
                </c:pt>
                <c:pt idx="17">
                  <c:v>12.497203359961759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BA-496E-84AE-DED738956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R1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Reactor1!$D$24:$Z$24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210.1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220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215</c:v>
                      </c:pt>
                      <c:pt idx="8">
                        <c:v>210</c:v>
                      </c:pt>
                      <c:pt idx="9" formatCode="General">
                        <c:v>205</c:v>
                      </c:pt>
                      <c:pt idx="10" formatCode="General">
                        <c:v>205</c:v>
                      </c:pt>
                      <c:pt idx="11" formatCode="General">
                        <c:v>200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Reactor1!$D$115:$Z$115</c15:sqref>
                        </c15:formulaRef>
                      </c:ext>
                    </c:extLst>
                    <c:numCache>
                      <c:formatCode>0.0</c:formatCode>
                      <c:ptCount val="23"/>
                      <c:pt idx="1">
                        <c:v>1.6992636481145471</c:v>
                      </c:pt>
                      <c:pt idx="2">
                        <c:v>1.8550981560720161</c:v>
                      </c:pt>
                      <c:pt idx="3">
                        <c:v>2.0958183497341927</c:v>
                      </c:pt>
                      <c:pt idx="4">
                        <c:v>1.6798107848792905</c:v>
                      </c:pt>
                      <c:pt idx="5">
                        <c:v>1.12747897484087</c:v>
                      </c:pt>
                      <c:pt idx="6">
                        <c:v>1.0227806794751262</c:v>
                      </c:pt>
                      <c:pt idx="7">
                        <c:v>1.0101539978096157</c:v>
                      </c:pt>
                      <c:pt idx="8">
                        <c:v>0.62391963422884911</c:v>
                      </c:pt>
                      <c:pt idx="9">
                        <c:v>0.56651561427378716</c:v>
                      </c:pt>
                      <c:pt idx="10">
                        <c:v>0.28405163835206093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90BA-496E-84AE-DED7389562C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R5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Reactor5!$D$24:$Z$24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Reactor5!$D$115:$Z$115</c15:sqref>
                        </c15:formulaRef>
                      </c:ext>
                    </c:extLst>
                    <c:numCache>
                      <c:formatCode>0.0</c:formatCode>
                      <c:ptCount val="23"/>
                      <c:pt idx="1">
                        <c:v>4.3678982438468861</c:v>
                      </c:pt>
                      <c:pt idx="2">
                        <c:v>4.2438089232574532</c:v>
                      </c:pt>
                      <c:pt idx="3">
                        <c:v>4.0979468949010416</c:v>
                      </c:pt>
                      <c:pt idx="4">
                        <c:v>2.9146156967131072</c:v>
                      </c:pt>
                      <c:pt idx="5">
                        <c:v>2.5784338892336778</c:v>
                      </c:pt>
                      <c:pt idx="6">
                        <c:v>1.6609568324803785</c:v>
                      </c:pt>
                      <c:pt idx="7">
                        <c:v>1.5688670466583028</c:v>
                      </c:pt>
                      <c:pt idx="8">
                        <c:v>1.026194577987956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0BA-496E-84AE-DED7389562C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R2 (ATHOS-1)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>
                        <c:v>205</c:v>
                      </c:pt>
                      <c:pt idx="10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Reactor2!$D$128:$Z$128</c15:sqref>
                        </c15:formulaRef>
                      </c:ext>
                    </c:extLst>
                    <c:numCache>
                      <c:formatCode>0.0</c:formatCode>
                      <c:ptCount val="23"/>
                      <c:pt idx="1">
                        <c:v>23.972380218609125</c:v>
                      </c:pt>
                      <c:pt idx="2">
                        <c:v>8.4356271630917981</c:v>
                      </c:pt>
                      <c:pt idx="3">
                        <c:v>-2.5889868581350797</c:v>
                      </c:pt>
                      <c:pt idx="4">
                        <c:v>10.411699744187572</c:v>
                      </c:pt>
                      <c:pt idx="5">
                        <c:v>9.5845561691697299</c:v>
                      </c:pt>
                      <c:pt idx="6">
                        <c:v>9.9727580974428633</c:v>
                      </c:pt>
                      <c:pt idx="7">
                        <c:v>23.182100416471663</c:v>
                      </c:pt>
                      <c:pt idx="8">
                        <c:v>39.275415532390006</c:v>
                      </c:pt>
                      <c:pt idx="9">
                        <c:v>38.205966806692324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0BA-496E-84AE-DED7389562CD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R3 (ATHOS-3)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Reactor3!$D$24:$M$24</c15:sqref>
                        </c15:formulaRef>
                      </c:ext>
                    </c:extLst>
                    <c:numCache>
                      <c:formatCode>0</c:formatCode>
                      <c:ptCount val="10"/>
                      <c:pt idx="0">
                        <c:v>220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214.9</c:v>
                      </c:pt>
                      <c:pt idx="4">
                        <c:v>215.1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205</c:v>
                      </c:pt>
                      <c:pt idx="8" formatCode="General">
                        <c:v>200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Reactor3!$D$128:$K$128</c15:sqref>
                        </c15:formulaRef>
                      </c:ext>
                    </c:extLst>
                    <c:numCache>
                      <c:formatCode>0.0</c:formatCode>
                      <c:ptCount val="8"/>
                      <c:pt idx="1">
                        <c:v>-48.196392495107588</c:v>
                      </c:pt>
                      <c:pt idx="2">
                        <c:v>-57.544284179645544</c:v>
                      </c:pt>
                      <c:pt idx="3">
                        <c:v>-49.806348576194367</c:v>
                      </c:pt>
                      <c:pt idx="4">
                        <c:v>-50.941818831518255</c:v>
                      </c:pt>
                      <c:pt idx="5">
                        <c:v>-50.515551472603036</c:v>
                      </c:pt>
                      <c:pt idx="6">
                        <c:v>-38.432306133967451</c:v>
                      </c:pt>
                      <c:pt idx="7">
                        <c:v>-26.183214380238809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0BA-496E-84AE-DED7389562CD}"/>
                  </c:ext>
                </c:extLst>
              </c15:ser>
            </c15:filteredScatterSeries>
          </c:ext>
        </c:extLst>
      </c:scatterChart>
      <c:valAx>
        <c:axId val="2015652768"/>
        <c:scaling>
          <c:orientation val="minMax"/>
          <c:max val="230"/>
          <c:min val="1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Rx Temperature,</a:t>
                </a:r>
                <a:r>
                  <a:rPr lang="en-IN" sz="1200" b="1" baseline="0">
                    <a:latin typeface="Aptos" panose="020B0004020202020204" pitchFamily="34" charset="0"/>
                  </a:rPr>
                  <a:t> oC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5"/>
      </c:valAx>
      <c:valAx>
        <c:axId val="201565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Selectivity</a:t>
                </a:r>
                <a:r>
                  <a:rPr lang="en-IN" sz="1200" b="1" baseline="0">
                    <a:latin typeface="Aptos" panose="020B0004020202020204" pitchFamily="34" charset="0"/>
                  </a:rPr>
                  <a:t> (i-</a:t>
                </a:r>
                <a:r>
                  <a:rPr lang="en-IN" sz="1200" b="1">
                    <a:latin typeface="Aptos" panose="020B0004020202020204" pitchFamily="34" charset="0"/>
                  </a:rPr>
                  <a:t>C7) , wt%</a:t>
                </a:r>
              </a:p>
            </c:rich>
          </c:tx>
          <c:layout>
            <c:manualLayout>
              <c:xMode val="edge"/>
              <c:yMode val="edge"/>
              <c:x val="2.8077255863138591E-2"/>
              <c:y val="0.292725608775770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  <c:majorUnit val="10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908406260781133"/>
          <c:y val="9.6453999097731585E-2"/>
          <c:w val="0.82598593918396002"/>
          <c:h val="8.567194531328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3"/>
          <c:order val="4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Reactor6!$D$115:$M$115</c:f>
              <c:numCache>
                <c:formatCode>0.0</c:formatCode>
                <c:ptCount val="10"/>
                <c:pt idx="2">
                  <c:v>19.87876122933006</c:v>
                </c:pt>
                <c:pt idx="3">
                  <c:v>12.052074661359027</c:v>
                </c:pt>
                <c:pt idx="4">
                  <c:v>10.49728232570128</c:v>
                </c:pt>
                <c:pt idx="5">
                  <c:v>10.580725707835462</c:v>
                </c:pt>
                <c:pt idx="7">
                  <c:v>7.1743746460954725</c:v>
                </c:pt>
                <c:pt idx="8">
                  <c:v>4.5538253768838084</c:v>
                </c:pt>
                <c:pt idx="9">
                  <c:v>3.092420251306065</c:v>
                </c:pt>
              </c:numCache>
            </c:numRef>
          </c:xVal>
          <c:yVal>
            <c:numRef>
              <c:f>Reactor6!$D$116:$M$116</c:f>
              <c:numCache>
                <c:formatCode>0.0</c:formatCode>
                <c:ptCount val="10"/>
                <c:pt idx="1">
                  <c:v>57.66972087361151</c:v>
                </c:pt>
                <c:pt idx="2">
                  <c:v>53.330332512914651</c:v>
                </c:pt>
                <c:pt idx="3">
                  <c:v>36.328047863533868</c:v>
                </c:pt>
                <c:pt idx="4">
                  <c:v>31.699282036616221</c:v>
                </c:pt>
                <c:pt idx="5">
                  <c:v>31.970055781288217</c:v>
                </c:pt>
                <c:pt idx="7">
                  <c:v>23.110653028702188</c:v>
                </c:pt>
                <c:pt idx="8">
                  <c:v>15.707001842442011</c:v>
                </c:pt>
                <c:pt idx="9">
                  <c:v>10.684145806668889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2A-46DF-809D-8B5A11D22D7E}"/>
            </c:ext>
          </c:extLst>
        </c:ser>
        <c:ser>
          <c:idx val="5"/>
          <c:order val="5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Reactor7!$D$115:$U$115</c:f>
              <c:numCache>
                <c:formatCode>0.0</c:formatCode>
                <c:ptCount val="18"/>
                <c:pt idx="1">
                  <c:v>39.465097692165969</c:v>
                </c:pt>
                <c:pt idx="2">
                  <c:v>38.697591407018969</c:v>
                </c:pt>
                <c:pt idx="3">
                  <c:v>30.232867756567469</c:v>
                </c:pt>
                <c:pt idx="4">
                  <c:v>30.550995836210795</c:v>
                </c:pt>
                <c:pt idx="5">
                  <c:v>31.046325524182691</c:v>
                </c:pt>
                <c:pt idx="6">
                  <c:v>25.11005718253622</c:v>
                </c:pt>
                <c:pt idx="7">
                  <c:v>25.104892679372082</c:v>
                </c:pt>
                <c:pt idx="8">
                  <c:v>17.565140520615564</c:v>
                </c:pt>
                <c:pt idx="9">
                  <c:v>13.812244907102945</c:v>
                </c:pt>
                <c:pt idx="10">
                  <c:v>14.326593588199218</c:v>
                </c:pt>
                <c:pt idx="11">
                  <c:v>14.223144617426735</c:v>
                </c:pt>
                <c:pt idx="13">
                  <c:v>25.206927890824041</c:v>
                </c:pt>
                <c:pt idx="14">
                  <c:v>25.2731777702251</c:v>
                </c:pt>
                <c:pt idx="15">
                  <c:v>25.237491099033523</c:v>
                </c:pt>
                <c:pt idx="16">
                  <c:v>25.046659364729223</c:v>
                </c:pt>
                <c:pt idx="17">
                  <c:v>7.8747119424207943</c:v>
                </c:pt>
              </c:numCache>
            </c:numRef>
          </c:xVal>
          <c:yVal>
            <c:numRef>
              <c:f>Reactor7!$D$116:$U$116</c:f>
              <c:numCache>
                <c:formatCode>0.0</c:formatCode>
                <c:ptCount val="18"/>
                <c:pt idx="1">
                  <c:v>82.671090277931853</c:v>
                </c:pt>
                <c:pt idx="2">
                  <c:v>83.75932833689096</c:v>
                </c:pt>
                <c:pt idx="3">
                  <c:v>73.855793589290201</c:v>
                </c:pt>
                <c:pt idx="4">
                  <c:v>74.242039603401281</c:v>
                </c:pt>
                <c:pt idx="5">
                  <c:v>75.036086468829026</c:v>
                </c:pt>
                <c:pt idx="6">
                  <c:v>65.292985974286779</c:v>
                </c:pt>
                <c:pt idx="7">
                  <c:v>65.4309194576294</c:v>
                </c:pt>
                <c:pt idx="8">
                  <c:v>50.850139669254084</c:v>
                </c:pt>
                <c:pt idx="9">
                  <c:v>41.980683124441072</c:v>
                </c:pt>
                <c:pt idx="10">
                  <c:v>43.459829175337546</c:v>
                </c:pt>
                <c:pt idx="11">
                  <c:v>43.055227147068486</c:v>
                </c:pt>
                <c:pt idx="13">
                  <c:v>65.711291375549095</c:v>
                </c:pt>
                <c:pt idx="14">
                  <c:v>65.80698818874707</c:v>
                </c:pt>
                <c:pt idx="15">
                  <c:v>65.698906766318416</c:v>
                </c:pt>
                <c:pt idx="16">
                  <c:v>65.529471427123696</c:v>
                </c:pt>
                <c:pt idx="17">
                  <c:v>26.233160956339049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D2A-46DF-809D-8B5A11D22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R1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Reactor1!$D$24:$Z$24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210.1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220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215</c:v>
                      </c:pt>
                      <c:pt idx="8">
                        <c:v>210</c:v>
                      </c:pt>
                      <c:pt idx="9" formatCode="General">
                        <c:v>205</c:v>
                      </c:pt>
                      <c:pt idx="10" formatCode="General">
                        <c:v>205</c:v>
                      </c:pt>
                      <c:pt idx="11" formatCode="General">
                        <c:v>200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Reactor1!$D$110:$Z$110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97.72848104177335</c:v>
                      </c:pt>
                      <c:pt idx="1">
                        <c:v>96.881258978468452</c:v>
                      </c:pt>
                      <c:pt idx="2">
                        <c:v>96.882478606216097</c:v>
                      </c:pt>
                      <c:pt idx="3">
                        <c:v>96.846169522640523</c:v>
                      </c:pt>
                      <c:pt idx="4">
                        <c:v>96.849353947658642</c:v>
                      </c:pt>
                      <c:pt idx="5">
                        <c:v>97.283906856055154</c:v>
                      </c:pt>
                      <c:pt idx="6">
                        <c:v>97.30677011299008</c:v>
                      </c:pt>
                      <c:pt idx="7">
                        <c:v>97.309692693388854</c:v>
                      </c:pt>
                      <c:pt idx="8">
                        <c:v>97.641423589641789</c:v>
                      </c:pt>
                      <c:pt idx="9">
                        <c:v>97.84253294779495</c:v>
                      </c:pt>
                      <c:pt idx="10">
                        <c:v>97.836222436835186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7D2A-46DF-809D-8B5A11D22D7E}"/>
                  </c:ext>
                </c:extLst>
              </c15:ser>
            </c15:filteredScatterSeries>
            <c15:filteredScatterSeries>
              <c15:ser>
                <c:idx val="4"/>
                <c:order val="1"/>
                <c:tx>
                  <c:v>R3 (ATHOS-3)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220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214.9</c:v>
                      </c:pt>
                      <c:pt idx="4">
                        <c:v>215.1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205</c:v>
                      </c:pt>
                      <c:pt idx="8" formatCode="General">
                        <c:v>200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69.982379608038855</c:v>
                      </c:pt>
                      <c:pt idx="1">
                        <c:v>67.7908294888651</c:v>
                      </c:pt>
                      <c:pt idx="2">
                        <c:v>66.646383237470587</c:v>
                      </c:pt>
                      <c:pt idx="3">
                        <c:v>69.803511653968144</c:v>
                      </c:pt>
                      <c:pt idx="4">
                        <c:v>69.353342210613363</c:v>
                      </c:pt>
                      <c:pt idx="5">
                        <c:v>69.456723541661546</c:v>
                      </c:pt>
                      <c:pt idx="6">
                        <c:v>73.364487620791806</c:v>
                      </c:pt>
                      <c:pt idx="7">
                        <c:v>77.709511603127169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D2A-46DF-809D-8B5A11D22D7E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R2 (ATHOS-1)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>
                        <c:v>205</c:v>
                      </c:pt>
                      <c:pt idx="10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94.214051404765215</c:v>
                      </c:pt>
                      <c:pt idx="1">
                        <c:v>88.470507926680824</c:v>
                      </c:pt>
                      <c:pt idx="2">
                        <c:v>85.009422414884099</c:v>
                      </c:pt>
                      <c:pt idx="3">
                        <c:v>84.564524079799952</c:v>
                      </c:pt>
                      <c:pt idx="4">
                        <c:v>88.066401395370846</c:v>
                      </c:pt>
                      <c:pt idx="5">
                        <c:v>87.973764291405516</c:v>
                      </c:pt>
                      <c:pt idx="6">
                        <c:v>88.017330179592392</c:v>
                      </c:pt>
                      <c:pt idx="7">
                        <c:v>90.984965081382015</c:v>
                      </c:pt>
                      <c:pt idx="8">
                        <c:v>93.597152160670021</c:v>
                      </c:pt>
                      <c:pt idx="9">
                        <c:v>93.512183472967209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D2A-46DF-809D-8B5A11D22D7E}"/>
                  </c:ext>
                </c:extLst>
              </c15:ser>
            </c15:filteredScatterSeries>
            <c15:filteredScatterSeries>
              <c15:ser>
                <c:idx val="1"/>
                <c:order val="3"/>
                <c:tx>
                  <c:v>R5 (Z700-A)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Reactor5!$D$114:$L$114</c15:sqref>
                        </c15:formulaRef>
                      </c:ext>
                    </c:extLst>
                    <c:numCache>
                      <c:formatCode>0.0</c:formatCode>
                      <c:ptCount val="9"/>
                      <c:pt idx="1">
                        <c:v>47.8</c:v>
                      </c:pt>
                      <c:pt idx="4">
                        <c:v>46.5</c:v>
                      </c:pt>
                      <c:pt idx="6">
                        <c:v>45.6</c:v>
                      </c:pt>
                      <c:pt idx="8">
                        <c:v>44.9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Reactor5!$D$110:$L$110</c15:sqref>
                        </c15:formulaRef>
                      </c:ext>
                    </c:extLst>
                    <c:numCache>
                      <c:formatCode>0.00</c:formatCode>
                      <c:ptCount val="9"/>
                      <c:pt idx="0">
                        <c:v>97.268017363458597</c:v>
                      </c:pt>
                      <c:pt idx="1">
                        <c:v>95.822064622456182</c:v>
                      </c:pt>
                      <c:pt idx="2">
                        <c:v>95.839348974857913</c:v>
                      </c:pt>
                      <c:pt idx="3">
                        <c:v>95.849168740156983</c:v>
                      </c:pt>
                      <c:pt idx="4">
                        <c:v>96.592703378279367</c:v>
                      </c:pt>
                      <c:pt idx="5">
                        <c:v>96.552375170864337</c:v>
                      </c:pt>
                      <c:pt idx="6">
                        <c:v>97.089626527890147</c:v>
                      </c:pt>
                      <c:pt idx="7">
                        <c:v>97.098951460587116</c:v>
                      </c:pt>
                      <c:pt idx="8">
                        <c:v>97.503537946657417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D2A-46DF-809D-8B5A11D22D7E}"/>
                  </c:ext>
                </c:extLst>
              </c15:ser>
            </c15:filteredScatterSeries>
          </c:ext>
        </c:extLst>
      </c:scatterChart>
      <c:valAx>
        <c:axId val="201565276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Conversion (nC6), wt%</a:t>
                </a: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5"/>
      </c:valAx>
      <c:valAx>
        <c:axId val="201565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Conversion (nC7),</a:t>
                </a:r>
                <a:r>
                  <a:rPr lang="en-IN" sz="1200" b="1" baseline="0">
                    <a:latin typeface="Aptos" panose="020B0004020202020204" pitchFamily="34" charset="0"/>
                  </a:rPr>
                  <a:t> wt%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8634463282050335E-2"/>
              <c:y val="0.302968882493788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5495609449845499"/>
          <c:y val="0.12376939567911292"/>
          <c:w val="0.78831853457575607"/>
          <c:h val="6.5883338522183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1"/>
          <c:order val="3"/>
          <c:tx>
            <c:v>R5 (Z700-A)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Reactor5!$D$114:$L$114</c:f>
              <c:numCache>
                <c:formatCode>0.0</c:formatCode>
                <c:ptCount val="9"/>
                <c:pt idx="1">
                  <c:v>47.8</c:v>
                </c:pt>
                <c:pt idx="4">
                  <c:v>46.5</c:v>
                </c:pt>
                <c:pt idx="6">
                  <c:v>45.6</c:v>
                </c:pt>
                <c:pt idx="8">
                  <c:v>44.9</c:v>
                </c:pt>
              </c:numCache>
            </c:numRef>
          </c:xVal>
          <c:yVal>
            <c:numRef>
              <c:f>Reactor5!$D$133:$L$133</c:f>
              <c:numCache>
                <c:formatCode>0</c:formatCode>
                <c:ptCount val="9"/>
                <c:pt idx="1">
                  <c:v>4580.2946889534051</c:v>
                </c:pt>
                <c:pt idx="4">
                  <c:v>4491.5607070899905</c:v>
                </c:pt>
                <c:pt idx="8">
                  <c:v>4377.9088538049182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B7-430C-B3D6-94C35B041F62}"/>
            </c:ext>
          </c:extLst>
        </c:ser>
        <c:ser>
          <c:idx val="3"/>
          <c:order val="4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Reactor6!$D$114:$Z$114</c:f>
              <c:numCache>
                <c:formatCode>0.0</c:formatCode>
                <c:ptCount val="23"/>
                <c:pt idx="2">
                  <c:v>56.6</c:v>
                </c:pt>
                <c:pt idx="3">
                  <c:v>52.9</c:v>
                </c:pt>
                <c:pt idx="4">
                  <c:v>52.2</c:v>
                </c:pt>
                <c:pt idx="5">
                  <c:v>52.3</c:v>
                </c:pt>
                <c:pt idx="7">
                  <c:v>50.1</c:v>
                </c:pt>
                <c:pt idx="8">
                  <c:v>48.2</c:v>
                </c:pt>
                <c:pt idx="9">
                  <c:v>47</c:v>
                </c:pt>
              </c:numCache>
            </c:numRef>
          </c:xVal>
          <c:yVal>
            <c:numRef>
              <c:f>Reactor6!$D$133:$M$133</c:f>
              <c:numCache>
                <c:formatCode>0</c:formatCode>
                <c:ptCount val="10"/>
                <c:pt idx="1">
                  <c:v>0</c:v>
                </c:pt>
                <c:pt idx="2">
                  <c:v>4810.9369102951932</c:v>
                </c:pt>
                <c:pt idx="3">
                  <c:v>4683.7720716305894</c:v>
                </c:pt>
                <c:pt idx="4">
                  <c:v>4595.4731191811225</c:v>
                </c:pt>
                <c:pt idx="5">
                  <c:v>4596.1637860707633</c:v>
                </c:pt>
                <c:pt idx="7">
                  <c:v>4545.963032896776</c:v>
                </c:pt>
                <c:pt idx="8">
                  <c:v>4497.5909086269467</c:v>
                </c:pt>
                <c:pt idx="9">
                  <c:v>4455.6499604599767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B7-430C-B3D6-94C35B041F62}"/>
            </c:ext>
          </c:extLst>
        </c:ser>
        <c:ser>
          <c:idx val="5"/>
          <c:order val="5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Reactor7!$D$114:$V$114</c:f>
              <c:numCache>
                <c:formatCode>0.0</c:formatCode>
                <c:ptCount val="19"/>
                <c:pt idx="1">
                  <c:v>65.099999999999994</c:v>
                </c:pt>
                <c:pt idx="2">
                  <c:v>65.099999999999994</c:v>
                </c:pt>
                <c:pt idx="3">
                  <c:v>62.7</c:v>
                </c:pt>
                <c:pt idx="4">
                  <c:v>62.8</c:v>
                </c:pt>
                <c:pt idx="6">
                  <c:v>60.6</c:v>
                </c:pt>
                <c:pt idx="8">
                  <c:v>57.2</c:v>
                </c:pt>
                <c:pt idx="9">
                  <c:v>55.3</c:v>
                </c:pt>
                <c:pt idx="10" formatCode="General">
                  <c:v>55.7</c:v>
                </c:pt>
                <c:pt idx="13" formatCode="General">
                  <c:v>60.6</c:v>
                </c:pt>
                <c:pt idx="15" formatCode="General">
                  <c:v>60.6</c:v>
                </c:pt>
                <c:pt idx="17" formatCode="General">
                  <c:v>51.8</c:v>
                </c:pt>
              </c:numCache>
            </c:numRef>
          </c:xVal>
          <c:yVal>
            <c:numRef>
              <c:f>Reactor7!$D$133:$U$133</c:f>
              <c:numCache>
                <c:formatCode>0</c:formatCode>
                <c:ptCount val="18"/>
                <c:pt idx="1">
                  <c:v>4553.6362863371423</c:v>
                </c:pt>
                <c:pt idx="2">
                  <c:v>4384.580959704148</c:v>
                </c:pt>
                <c:pt idx="3">
                  <c:v>4395.9265117213763</c:v>
                </c:pt>
                <c:pt idx="4">
                  <c:v>4389.7415888682226</c:v>
                </c:pt>
                <c:pt idx="5">
                  <c:v>0</c:v>
                </c:pt>
                <c:pt idx="7">
                  <c:v>0</c:v>
                </c:pt>
                <c:pt idx="8">
                  <c:v>4481.2363757647508</c:v>
                </c:pt>
                <c:pt idx="9">
                  <c:v>4523.339014084153</c:v>
                </c:pt>
                <c:pt idx="10">
                  <c:v>4527.6876884714675</c:v>
                </c:pt>
                <c:pt idx="13">
                  <c:v>4438.8238285487478</c:v>
                </c:pt>
                <c:pt idx="14">
                  <c:v>0</c:v>
                </c:pt>
                <c:pt idx="15">
                  <c:v>4438.7738391421035</c:v>
                </c:pt>
                <c:pt idx="17">
                  <c:v>4531.3037761664818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B7-430C-B3D6-94C35B041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R1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Reactor1!$D$24:$Z$24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210.1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220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215</c:v>
                      </c:pt>
                      <c:pt idx="8">
                        <c:v>210</c:v>
                      </c:pt>
                      <c:pt idx="9" formatCode="General">
                        <c:v>205</c:v>
                      </c:pt>
                      <c:pt idx="10" formatCode="General">
                        <c:v>205</c:v>
                      </c:pt>
                      <c:pt idx="11" formatCode="General">
                        <c:v>200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Reactor1!$D$110:$Z$110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97.72848104177335</c:v>
                      </c:pt>
                      <c:pt idx="1">
                        <c:v>96.881258978468452</c:v>
                      </c:pt>
                      <c:pt idx="2">
                        <c:v>96.882478606216097</c:v>
                      </c:pt>
                      <c:pt idx="3">
                        <c:v>96.846169522640523</c:v>
                      </c:pt>
                      <c:pt idx="4">
                        <c:v>96.849353947658642</c:v>
                      </c:pt>
                      <c:pt idx="5">
                        <c:v>97.283906856055154</c:v>
                      </c:pt>
                      <c:pt idx="6">
                        <c:v>97.30677011299008</c:v>
                      </c:pt>
                      <c:pt idx="7">
                        <c:v>97.309692693388854</c:v>
                      </c:pt>
                      <c:pt idx="8">
                        <c:v>97.641423589641789</c:v>
                      </c:pt>
                      <c:pt idx="9">
                        <c:v>97.84253294779495</c:v>
                      </c:pt>
                      <c:pt idx="10">
                        <c:v>97.836222436835186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B2B7-430C-B3D6-94C35B041F62}"/>
                  </c:ext>
                </c:extLst>
              </c15:ser>
            </c15:filteredScatterSeries>
            <c15:filteredScatterSeries>
              <c15:ser>
                <c:idx val="4"/>
                <c:order val="1"/>
                <c:tx>
                  <c:v>R3 (ATHOS-3)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220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214.9</c:v>
                      </c:pt>
                      <c:pt idx="4">
                        <c:v>215.1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205</c:v>
                      </c:pt>
                      <c:pt idx="8" formatCode="General">
                        <c:v>200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69.982379608038855</c:v>
                      </c:pt>
                      <c:pt idx="1">
                        <c:v>67.7908294888651</c:v>
                      </c:pt>
                      <c:pt idx="2">
                        <c:v>66.646383237470587</c:v>
                      </c:pt>
                      <c:pt idx="3">
                        <c:v>69.803511653968144</c:v>
                      </c:pt>
                      <c:pt idx="4">
                        <c:v>69.353342210613363</c:v>
                      </c:pt>
                      <c:pt idx="5">
                        <c:v>69.456723541661546</c:v>
                      </c:pt>
                      <c:pt idx="6">
                        <c:v>73.364487620791806</c:v>
                      </c:pt>
                      <c:pt idx="7">
                        <c:v>77.709511603127169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2B7-430C-B3D6-94C35B041F6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R2 (ATHOS-1)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>
                        <c:v>205</c:v>
                      </c:pt>
                      <c:pt idx="10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94.214051404765215</c:v>
                      </c:pt>
                      <c:pt idx="1">
                        <c:v>88.470507926680824</c:v>
                      </c:pt>
                      <c:pt idx="2">
                        <c:v>85.009422414884099</c:v>
                      </c:pt>
                      <c:pt idx="3">
                        <c:v>84.564524079799952</c:v>
                      </c:pt>
                      <c:pt idx="4">
                        <c:v>88.066401395370846</c:v>
                      </c:pt>
                      <c:pt idx="5">
                        <c:v>87.973764291405516</c:v>
                      </c:pt>
                      <c:pt idx="6">
                        <c:v>88.017330179592392</c:v>
                      </c:pt>
                      <c:pt idx="7">
                        <c:v>90.984965081382015</c:v>
                      </c:pt>
                      <c:pt idx="8">
                        <c:v>93.597152160670021</c:v>
                      </c:pt>
                      <c:pt idx="9">
                        <c:v>93.512183472967209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2B7-430C-B3D6-94C35B041F62}"/>
                  </c:ext>
                </c:extLst>
              </c15:ser>
            </c15:filteredScatterSeries>
          </c:ext>
        </c:extLst>
      </c:scatterChart>
      <c:valAx>
        <c:axId val="2015652768"/>
        <c:scaling>
          <c:orientation val="minMax"/>
          <c:max val="7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RON (Estimated)</a:t>
                </a: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2"/>
      </c:valAx>
      <c:valAx>
        <c:axId val="2015650848"/>
        <c:scaling>
          <c:orientation val="minMax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 baseline="0">
                    <a:latin typeface="Aptos" panose="020B0004020202020204" pitchFamily="34" charset="0"/>
                  </a:rPr>
                  <a:t>Octatonne (C5+ Yield x RON)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1594895668035026E-2"/>
              <c:y val="0.24833808933102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5495609449845499"/>
          <c:y val="0.12376939567911292"/>
          <c:w val="0.78831853457575607"/>
          <c:h val="6.5883338522183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1"/>
          <c:order val="3"/>
          <c:tx>
            <c:v>R5 (Z700-A)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Reactor5!$D$24:$L$24</c:f>
              <c:numCache>
                <c:formatCode>0</c:formatCode>
                <c:ptCount val="9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</c:numCache>
            </c:numRef>
          </c:xVal>
          <c:yVal>
            <c:numRef>
              <c:f>Reactor5!$D$133:$L$133</c:f>
              <c:numCache>
                <c:formatCode>0</c:formatCode>
                <c:ptCount val="9"/>
                <c:pt idx="1">
                  <c:v>4580.2946889534051</c:v>
                </c:pt>
                <c:pt idx="4">
                  <c:v>4491.5607070899905</c:v>
                </c:pt>
                <c:pt idx="8">
                  <c:v>4377.9088538049182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E1-43F4-B5E4-E20C8BA60587}"/>
            </c:ext>
          </c:extLst>
        </c:ser>
        <c:ser>
          <c:idx val="3"/>
          <c:order val="4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209.9</c:v>
                </c:pt>
                <c:pt idx="7">
                  <c:v>210</c:v>
                </c:pt>
                <c:pt idx="8">
                  <c:v>205</c:v>
                </c:pt>
                <c:pt idx="9" formatCode="General">
                  <c:v>200</c:v>
                </c:pt>
              </c:numCache>
            </c:numRef>
          </c:xVal>
          <c:yVal>
            <c:numRef>
              <c:f>Reactor6!$D$133:$M$133</c:f>
              <c:numCache>
                <c:formatCode>0</c:formatCode>
                <c:ptCount val="10"/>
                <c:pt idx="1">
                  <c:v>0</c:v>
                </c:pt>
                <c:pt idx="2">
                  <c:v>4810.9369102951932</c:v>
                </c:pt>
                <c:pt idx="3">
                  <c:v>4683.7720716305894</c:v>
                </c:pt>
                <c:pt idx="4">
                  <c:v>4595.4731191811225</c:v>
                </c:pt>
                <c:pt idx="5">
                  <c:v>4596.1637860707633</c:v>
                </c:pt>
                <c:pt idx="7">
                  <c:v>4545.963032896776</c:v>
                </c:pt>
                <c:pt idx="8">
                  <c:v>4497.5909086269467</c:v>
                </c:pt>
                <c:pt idx="9">
                  <c:v>4455.6499604599767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E1-43F4-B5E4-E20C8BA60587}"/>
            </c:ext>
          </c:extLst>
        </c:ser>
        <c:ser>
          <c:idx val="5"/>
          <c:order val="5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Reactor7!$D$24:$V$24</c:f>
              <c:numCache>
                <c:formatCode>0</c:formatCode>
                <c:ptCount val="19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  <c:pt idx="9">
                  <c:v>200</c:v>
                </c:pt>
                <c:pt idx="10" formatCode="General">
                  <c:v>200</c:v>
                </c:pt>
                <c:pt idx="11" formatCode="General">
                  <c:v>200</c:v>
                </c:pt>
                <c:pt idx="12" formatCode="General">
                  <c:v>210</c:v>
                </c:pt>
                <c:pt idx="13" formatCode="General">
                  <c:v>210</c:v>
                </c:pt>
                <c:pt idx="14" formatCode="General">
                  <c:v>210.1</c:v>
                </c:pt>
                <c:pt idx="15" formatCode="General">
                  <c:v>210</c:v>
                </c:pt>
                <c:pt idx="16" formatCode="General">
                  <c:v>210</c:v>
                </c:pt>
                <c:pt idx="17" formatCode="General">
                  <c:v>190.2</c:v>
                </c:pt>
              </c:numCache>
            </c:numRef>
          </c:xVal>
          <c:yVal>
            <c:numRef>
              <c:f>Reactor7!$D$133:$U$133</c:f>
              <c:numCache>
                <c:formatCode>0</c:formatCode>
                <c:ptCount val="18"/>
                <c:pt idx="1">
                  <c:v>4553.6362863371423</c:v>
                </c:pt>
                <c:pt idx="2">
                  <c:v>4384.580959704148</c:v>
                </c:pt>
                <c:pt idx="3">
                  <c:v>4395.9265117213763</c:v>
                </c:pt>
                <c:pt idx="4">
                  <c:v>4389.7415888682226</c:v>
                </c:pt>
                <c:pt idx="5">
                  <c:v>0</c:v>
                </c:pt>
                <c:pt idx="7">
                  <c:v>0</c:v>
                </c:pt>
                <c:pt idx="8">
                  <c:v>4481.2363757647508</c:v>
                </c:pt>
                <c:pt idx="9">
                  <c:v>4523.339014084153</c:v>
                </c:pt>
                <c:pt idx="10">
                  <c:v>4527.6876884714675</c:v>
                </c:pt>
                <c:pt idx="13">
                  <c:v>4438.8238285487478</c:v>
                </c:pt>
                <c:pt idx="14">
                  <c:v>0</c:v>
                </c:pt>
                <c:pt idx="15">
                  <c:v>4438.7738391421035</c:v>
                </c:pt>
                <c:pt idx="17">
                  <c:v>4531.3037761664818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E1-43F4-B5E4-E20C8BA60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R1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Reactor1!$D$24:$Z$24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210.1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220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215</c:v>
                      </c:pt>
                      <c:pt idx="8">
                        <c:v>210</c:v>
                      </c:pt>
                      <c:pt idx="9" formatCode="General">
                        <c:v>205</c:v>
                      </c:pt>
                      <c:pt idx="10" formatCode="General">
                        <c:v>205</c:v>
                      </c:pt>
                      <c:pt idx="11" formatCode="General">
                        <c:v>200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Reactor1!$D$110:$Z$110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97.72848104177335</c:v>
                      </c:pt>
                      <c:pt idx="1">
                        <c:v>96.881258978468452</c:v>
                      </c:pt>
                      <c:pt idx="2">
                        <c:v>96.882478606216097</c:v>
                      </c:pt>
                      <c:pt idx="3">
                        <c:v>96.846169522640523</c:v>
                      </c:pt>
                      <c:pt idx="4">
                        <c:v>96.849353947658642</c:v>
                      </c:pt>
                      <c:pt idx="5">
                        <c:v>97.283906856055154</c:v>
                      </c:pt>
                      <c:pt idx="6">
                        <c:v>97.30677011299008</c:v>
                      </c:pt>
                      <c:pt idx="7">
                        <c:v>97.309692693388854</c:v>
                      </c:pt>
                      <c:pt idx="8">
                        <c:v>97.641423589641789</c:v>
                      </c:pt>
                      <c:pt idx="9">
                        <c:v>97.84253294779495</c:v>
                      </c:pt>
                      <c:pt idx="10">
                        <c:v>97.836222436835186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94E1-43F4-B5E4-E20C8BA60587}"/>
                  </c:ext>
                </c:extLst>
              </c15:ser>
            </c15:filteredScatterSeries>
            <c15:filteredScatterSeries>
              <c15:ser>
                <c:idx val="4"/>
                <c:order val="1"/>
                <c:tx>
                  <c:v>R3 (ATHOS-3)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220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214.9</c:v>
                      </c:pt>
                      <c:pt idx="4">
                        <c:v>215.1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205</c:v>
                      </c:pt>
                      <c:pt idx="8" formatCode="General">
                        <c:v>200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69.982379608038855</c:v>
                      </c:pt>
                      <c:pt idx="1">
                        <c:v>67.7908294888651</c:v>
                      </c:pt>
                      <c:pt idx="2">
                        <c:v>66.646383237470587</c:v>
                      </c:pt>
                      <c:pt idx="3">
                        <c:v>69.803511653968144</c:v>
                      </c:pt>
                      <c:pt idx="4">
                        <c:v>69.353342210613363</c:v>
                      </c:pt>
                      <c:pt idx="5">
                        <c:v>69.456723541661546</c:v>
                      </c:pt>
                      <c:pt idx="6">
                        <c:v>73.364487620791806</c:v>
                      </c:pt>
                      <c:pt idx="7">
                        <c:v>77.709511603127169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E1-43F4-B5E4-E20C8BA6058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R2 (ATHOS-1)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>
                        <c:v>205</c:v>
                      </c:pt>
                      <c:pt idx="10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94.214051404765215</c:v>
                      </c:pt>
                      <c:pt idx="1">
                        <c:v>88.470507926680824</c:v>
                      </c:pt>
                      <c:pt idx="2">
                        <c:v>85.009422414884099</c:v>
                      </c:pt>
                      <c:pt idx="3">
                        <c:v>84.564524079799952</c:v>
                      </c:pt>
                      <c:pt idx="4">
                        <c:v>88.066401395370846</c:v>
                      </c:pt>
                      <c:pt idx="5">
                        <c:v>87.973764291405516</c:v>
                      </c:pt>
                      <c:pt idx="6">
                        <c:v>88.017330179592392</c:v>
                      </c:pt>
                      <c:pt idx="7">
                        <c:v>90.984965081382015</c:v>
                      </c:pt>
                      <c:pt idx="8">
                        <c:v>93.597152160670021</c:v>
                      </c:pt>
                      <c:pt idx="9">
                        <c:v>93.512183472967209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E1-43F4-B5E4-E20C8BA60587}"/>
                  </c:ext>
                </c:extLst>
              </c15:ser>
            </c15:filteredScatterSeries>
          </c:ext>
        </c:extLst>
      </c:scatterChart>
      <c:valAx>
        <c:axId val="2015652768"/>
        <c:scaling>
          <c:orientation val="minMax"/>
          <c:max val="230"/>
          <c:min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Rx Tempearature, </a:t>
                </a:r>
                <a:r>
                  <a:rPr lang="en-IN" sz="1200" b="1" baseline="30000">
                    <a:latin typeface="Aptos" panose="020B0004020202020204" pitchFamily="34" charset="0"/>
                  </a:rPr>
                  <a:t>o</a:t>
                </a:r>
                <a:r>
                  <a:rPr lang="en-IN" sz="1200" b="1">
                    <a:latin typeface="Aptos" panose="020B0004020202020204" pitchFamily="34" charset="0"/>
                  </a:rPr>
                  <a:t>C</a:t>
                </a: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5"/>
      </c:valAx>
      <c:valAx>
        <c:axId val="2015650848"/>
        <c:scaling>
          <c:orientation val="minMax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 baseline="0">
                    <a:latin typeface="Aptos" panose="020B0004020202020204" pitchFamily="34" charset="0"/>
                  </a:rPr>
                  <a:t>Octatonne (C5+ Yield x RON)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1594895668035026E-2"/>
              <c:y val="0.24833808933102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  <c:majorUnit val="250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5495609449845499"/>
          <c:y val="0.12376939567911292"/>
          <c:w val="0.78831853457575607"/>
          <c:h val="6.5883338522183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1"/>
          <c:order val="3"/>
          <c:tx>
            <c:v>R5 (Z700-A)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Reactor5!$D$110:$L$110</c:f>
              <c:numCache>
                <c:formatCode>0.00</c:formatCode>
                <c:ptCount val="9"/>
                <c:pt idx="0">
                  <c:v>97.268017363458597</c:v>
                </c:pt>
                <c:pt idx="1">
                  <c:v>95.822064622456182</c:v>
                </c:pt>
                <c:pt idx="2">
                  <c:v>95.839348974857913</c:v>
                </c:pt>
                <c:pt idx="3">
                  <c:v>95.849168740156983</c:v>
                </c:pt>
                <c:pt idx="4">
                  <c:v>96.592703378279367</c:v>
                </c:pt>
                <c:pt idx="5">
                  <c:v>96.552375170864337</c:v>
                </c:pt>
                <c:pt idx="6">
                  <c:v>97.089626527890147</c:v>
                </c:pt>
                <c:pt idx="7">
                  <c:v>97.098951460587116</c:v>
                </c:pt>
                <c:pt idx="8">
                  <c:v>97.503537946657417</c:v>
                </c:pt>
              </c:numCache>
            </c:numRef>
          </c:xVal>
          <c:yVal>
            <c:numRef>
              <c:f>Reactor5!$D$133:$L$133</c:f>
              <c:numCache>
                <c:formatCode>0</c:formatCode>
                <c:ptCount val="9"/>
                <c:pt idx="1">
                  <c:v>4580.2946889534051</c:v>
                </c:pt>
                <c:pt idx="4">
                  <c:v>4491.5607070899905</c:v>
                </c:pt>
                <c:pt idx="8">
                  <c:v>4377.9088538049182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9A-41E2-8BF5-B585B045B48E}"/>
            </c:ext>
          </c:extLst>
        </c:ser>
        <c:ser>
          <c:idx val="3"/>
          <c:order val="4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Reactor6!$D$110:$Z$110</c:f>
              <c:numCache>
                <c:formatCode>0.00</c:formatCode>
                <c:ptCount val="23"/>
                <c:pt idx="0">
                  <c:v>93.572645992029351</c:v>
                </c:pt>
                <c:pt idx="1">
                  <c:v>85.725888653170244</c:v>
                </c:pt>
                <c:pt idx="2">
                  <c:v>84.998885340904465</c:v>
                </c:pt>
                <c:pt idx="3">
                  <c:v>88.540114775625511</c:v>
                </c:pt>
                <c:pt idx="4">
                  <c:v>88.035883509216902</c:v>
                </c:pt>
                <c:pt idx="5">
                  <c:v>87.880760727930465</c:v>
                </c:pt>
                <c:pt idx="6">
                  <c:v>90.81900288653739</c:v>
                </c:pt>
                <c:pt idx="7">
                  <c:v>90.737785087759988</c:v>
                </c:pt>
                <c:pt idx="8">
                  <c:v>93.31101470180387</c:v>
                </c:pt>
                <c:pt idx="9">
                  <c:v>94.801062988510139</c:v>
                </c:pt>
              </c:numCache>
            </c:numRef>
          </c:xVal>
          <c:yVal>
            <c:numRef>
              <c:f>Reactor6!$D$133:$M$133</c:f>
              <c:numCache>
                <c:formatCode>0</c:formatCode>
                <c:ptCount val="10"/>
                <c:pt idx="1">
                  <c:v>0</c:v>
                </c:pt>
                <c:pt idx="2">
                  <c:v>4810.9369102951932</c:v>
                </c:pt>
                <c:pt idx="3">
                  <c:v>4683.7720716305894</c:v>
                </c:pt>
                <c:pt idx="4">
                  <c:v>4595.4731191811225</c:v>
                </c:pt>
                <c:pt idx="5">
                  <c:v>4596.1637860707633</c:v>
                </c:pt>
                <c:pt idx="7">
                  <c:v>4545.963032896776</c:v>
                </c:pt>
                <c:pt idx="8">
                  <c:v>4497.5909086269467</c:v>
                </c:pt>
                <c:pt idx="9">
                  <c:v>4455.6499604599767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9A-41E2-8BF5-B585B045B48E}"/>
            </c:ext>
          </c:extLst>
        </c:ser>
        <c:ser>
          <c:idx val="5"/>
          <c:order val="5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Reactor7!$D$110:$V$110</c:f>
              <c:numCache>
                <c:formatCode>0.00</c:formatCode>
                <c:ptCount val="19"/>
                <c:pt idx="0">
                  <c:v>85.236597561107786</c:v>
                </c:pt>
                <c:pt idx="1">
                  <c:v>69.948330051261792</c:v>
                </c:pt>
                <c:pt idx="2">
                  <c:v>67.351474035393977</c:v>
                </c:pt>
                <c:pt idx="3">
                  <c:v>70.110470681361662</c:v>
                </c:pt>
                <c:pt idx="4">
                  <c:v>69.900343771786993</c:v>
                </c:pt>
                <c:pt idx="5">
                  <c:v>69.591370232765513</c:v>
                </c:pt>
                <c:pt idx="6">
                  <c:v>73.35983369276363</c:v>
                </c:pt>
                <c:pt idx="7">
                  <c:v>73.333467434979781</c:v>
                </c:pt>
                <c:pt idx="8">
                  <c:v>78.343293282600541</c:v>
                </c:pt>
                <c:pt idx="9">
                  <c:v>81.796365534975649</c:v>
                </c:pt>
                <c:pt idx="10">
                  <c:v>81.287032109003007</c:v>
                </c:pt>
                <c:pt idx="11">
                  <c:v>81.425659311126424</c:v>
                </c:pt>
                <c:pt idx="13">
                  <c:v>73.247917962850622</c:v>
                </c:pt>
                <c:pt idx="14">
                  <c:v>73.215402188749664</c:v>
                </c:pt>
                <c:pt idx="15">
                  <c:v>73.247093055150216</c:v>
                </c:pt>
                <c:pt idx="16">
                  <c:v>73.37366948975793</c:v>
                </c:pt>
                <c:pt idx="17">
                  <c:v>87.476906875800807</c:v>
                </c:pt>
                <c:pt idx="18">
                  <c:v>0</c:v>
                </c:pt>
              </c:numCache>
            </c:numRef>
          </c:xVal>
          <c:yVal>
            <c:numRef>
              <c:f>Reactor7!$D$133:$U$133</c:f>
              <c:numCache>
                <c:formatCode>0</c:formatCode>
                <c:ptCount val="18"/>
                <c:pt idx="1">
                  <c:v>4553.6362863371423</c:v>
                </c:pt>
                <c:pt idx="2">
                  <c:v>4384.580959704148</c:v>
                </c:pt>
                <c:pt idx="3">
                  <c:v>4395.9265117213763</c:v>
                </c:pt>
                <c:pt idx="4">
                  <c:v>4389.7415888682226</c:v>
                </c:pt>
                <c:pt idx="5">
                  <c:v>0</c:v>
                </c:pt>
                <c:pt idx="7">
                  <c:v>0</c:v>
                </c:pt>
                <c:pt idx="8">
                  <c:v>4481.2363757647508</c:v>
                </c:pt>
                <c:pt idx="9">
                  <c:v>4523.339014084153</c:v>
                </c:pt>
                <c:pt idx="10">
                  <c:v>4527.6876884714675</c:v>
                </c:pt>
                <c:pt idx="13">
                  <c:v>4438.8238285487478</c:v>
                </c:pt>
                <c:pt idx="14">
                  <c:v>0</c:v>
                </c:pt>
                <c:pt idx="15">
                  <c:v>4438.7738391421035</c:v>
                </c:pt>
                <c:pt idx="17">
                  <c:v>4531.3037761664818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9A-41E2-8BF5-B585B045B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R1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Reactor1!$D$24:$Z$24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210.1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220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215</c:v>
                      </c:pt>
                      <c:pt idx="8">
                        <c:v>210</c:v>
                      </c:pt>
                      <c:pt idx="9" formatCode="General">
                        <c:v>205</c:v>
                      </c:pt>
                      <c:pt idx="10" formatCode="General">
                        <c:v>205</c:v>
                      </c:pt>
                      <c:pt idx="11" formatCode="General">
                        <c:v>200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Reactor1!$D$110:$Z$110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97.72848104177335</c:v>
                      </c:pt>
                      <c:pt idx="1">
                        <c:v>96.881258978468452</c:v>
                      </c:pt>
                      <c:pt idx="2">
                        <c:v>96.882478606216097</c:v>
                      </c:pt>
                      <c:pt idx="3">
                        <c:v>96.846169522640523</c:v>
                      </c:pt>
                      <c:pt idx="4">
                        <c:v>96.849353947658642</c:v>
                      </c:pt>
                      <c:pt idx="5">
                        <c:v>97.283906856055154</c:v>
                      </c:pt>
                      <c:pt idx="6">
                        <c:v>97.30677011299008</c:v>
                      </c:pt>
                      <c:pt idx="7">
                        <c:v>97.309692693388854</c:v>
                      </c:pt>
                      <c:pt idx="8">
                        <c:v>97.641423589641789</c:v>
                      </c:pt>
                      <c:pt idx="9">
                        <c:v>97.84253294779495</c:v>
                      </c:pt>
                      <c:pt idx="10">
                        <c:v>97.836222436835186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029A-41E2-8BF5-B585B045B48E}"/>
                  </c:ext>
                </c:extLst>
              </c15:ser>
            </c15:filteredScatterSeries>
            <c15:filteredScatterSeries>
              <c15:ser>
                <c:idx val="4"/>
                <c:order val="1"/>
                <c:tx>
                  <c:v>R3 (ATHOS-3)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220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214.9</c:v>
                      </c:pt>
                      <c:pt idx="4">
                        <c:v>215.1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205</c:v>
                      </c:pt>
                      <c:pt idx="8" formatCode="General">
                        <c:v>200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69.982379608038855</c:v>
                      </c:pt>
                      <c:pt idx="1">
                        <c:v>67.7908294888651</c:v>
                      </c:pt>
                      <c:pt idx="2">
                        <c:v>66.646383237470587</c:v>
                      </c:pt>
                      <c:pt idx="3">
                        <c:v>69.803511653968144</c:v>
                      </c:pt>
                      <c:pt idx="4">
                        <c:v>69.353342210613363</c:v>
                      </c:pt>
                      <c:pt idx="5">
                        <c:v>69.456723541661546</c:v>
                      </c:pt>
                      <c:pt idx="6">
                        <c:v>73.364487620791806</c:v>
                      </c:pt>
                      <c:pt idx="7">
                        <c:v>77.709511603127169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9A-41E2-8BF5-B585B045B48E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R2 (ATHOS-1)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>
                        <c:v>205</c:v>
                      </c:pt>
                      <c:pt idx="10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94.214051404765215</c:v>
                      </c:pt>
                      <c:pt idx="1">
                        <c:v>88.470507926680824</c:v>
                      </c:pt>
                      <c:pt idx="2">
                        <c:v>85.009422414884099</c:v>
                      </c:pt>
                      <c:pt idx="3">
                        <c:v>84.564524079799952</c:v>
                      </c:pt>
                      <c:pt idx="4">
                        <c:v>88.066401395370846</c:v>
                      </c:pt>
                      <c:pt idx="5">
                        <c:v>87.973764291405516</c:v>
                      </c:pt>
                      <c:pt idx="6">
                        <c:v>88.017330179592392</c:v>
                      </c:pt>
                      <c:pt idx="7">
                        <c:v>90.984965081382015</c:v>
                      </c:pt>
                      <c:pt idx="8">
                        <c:v>93.597152160670021</c:v>
                      </c:pt>
                      <c:pt idx="9">
                        <c:v>93.512183472967209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9A-41E2-8BF5-B585B045B48E}"/>
                  </c:ext>
                </c:extLst>
              </c15:ser>
            </c15:filteredScatterSeries>
          </c:ext>
        </c:extLst>
      </c:scatterChart>
      <c:valAx>
        <c:axId val="2015652768"/>
        <c:scaling>
          <c:orientation val="minMax"/>
          <c:max val="10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C5+ Yield, wof%</a:t>
                </a: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5"/>
      </c:valAx>
      <c:valAx>
        <c:axId val="2015650848"/>
        <c:scaling>
          <c:orientation val="minMax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 baseline="0">
                    <a:latin typeface="Aptos" panose="020B0004020202020204" pitchFamily="34" charset="0"/>
                  </a:rPr>
                  <a:t>Octatonne (C5+ Yield x RON)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1594895668035026E-2"/>
              <c:y val="0.24833808933102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  <c:majorUnit val="250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5495609449845499"/>
          <c:y val="0.12376939567911292"/>
          <c:w val="0.78831853457575607"/>
          <c:h val="6.5883338522183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1"/>
          <c:order val="3"/>
          <c:tx>
            <c:v>R5 (Z700-A)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Reactor5!$D$24:$L$24</c:f>
              <c:numCache>
                <c:formatCode>0</c:formatCode>
                <c:ptCount val="9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</c:numCache>
            </c:numRef>
          </c:xVal>
          <c:yVal>
            <c:numRef>
              <c:f>Reactor5!$D$114:$L$114</c:f>
              <c:numCache>
                <c:formatCode>0.0</c:formatCode>
                <c:ptCount val="9"/>
                <c:pt idx="1">
                  <c:v>47.8</c:v>
                </c:pt>
                <c:pt idx="4">
                  <c:v>46.5</c:v>
                </c:pt>
                <c:pt idx="6">
                  <c:v>45.6</c:v>
                </c:pt>
                <c:pt idx="8">
                  <c:v>44.9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1F-4EAF-824F-6109D3C910BD}"/>
            </c:ext>
          </c:extLst>
        </c:ser>
        <c:ser>
          <c:idx val="3"/>
          <c:order val="4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Reactor6!$D$24:$Z$24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209.9</c:v>
                </c:pt>
                <c:pt idx="7">
                  <c:v>210</c:v>
                </c:pt>
                <c:pt idx="8">
                  <c:v>205</c:v>
                </c:pt>
                <c:pt idx="9" formatCode="General">
                  <c:v>200</c:v>
                </c:pt>
              </c:numCache>
            </c:numRef>
          </c:xVal>
          <c:yVal>
            <c:numRef>
              <c:f>Reactor6!$D$114:$M$114</c:f>
              <c:numCache>
                <c:formatCode>0.0</c:formatCode>
                <c:ptCount val="10"/>
                <c:pt idx="2">
                  <c:v>56.6</c:v>
                </c:pt>
                <c:pt idx="3">
                  <c:v>52.9</c:v>
                </c:pt>
                <c:pt idx="4">
                  <c:v>52.2</c:v>
                </c:pt>
                <c:pt idx="5">
                  <c:v>52.3</c:v>
                </c:pt>
                <c:pt idx="7">
                  <c:v>50.1</c:v>
                </c:pt>
                <c:pt idx="8">
                  <c:v>48.2</c:v>
                </c:pt>
                <c:pt idx="9">
                  <c:v>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1F-4EAF-824F-6109D3C910BD}"/>
            </c:ext>
          </c:extLst>
        </c:ser>
        <c:ser>
          <c:idx val="5"/>
          <c:order val="5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Reactor7!$E$24:$U$24</c:f>
              <c:numCache>
                <c:formatCode>0</c:formatCode>
                <c:ptCount val="17"/>
                <c:pt idx="0">
                  <c:v>220</c:v>
                </c:pt>
                <c:pt idx="1">
                  <c:v>220</c:v>
                </c:pt>
                <c:pt idx="2">
                  <c:v>215</c:v>
                </c:pt>
                <c:pt idx="3">
                  <c:v>215</c:v>
                </c:pt>
                <c:pt idx="4">
                  <c:v>215</c:v>
                </c:pt>
                <c:pt idx="5">
                  <c:v>210</c:v>
                </c:pt>
                <c:pt idx="6">
                  <c:v>210</c:v>
                </c:pt>
                <c:pt idx="7">
                  <c:v>205</c:v>
                </c:pt>
                <c:pt idx="8">
                  <c:v>200</c:v>
                </c:pt>
                <c:pt idx="9" formatCode="General">
                  <c:v>200</c:v>
                </c:pt>
                <c:pt idx="10" formatCode="General">
                  <c:v>200</c:v>
                </c:pt>
                <c:pt idx="11" formatCode="General">
                  <c:v>210</c:v>
                </c:pt>
                <c:pt idx="12" formatCode="General">
                  <c:v>210</c:v>
                </c:pt>
                <c:pt idx="13" formatCode="General">
                  <c:v>210.1</c:v>
                </c:pt>
                <c:pt idx="14" formatCode="General">
                  <c:v>210</c:v>
                </c:pt>
                <c:pt idx="15" formatCode="General">
                  <c:v>210</c:v>
                </c:pt>
                <c:pt idx="16" formatCode="General">
                  <c:v>190.2</c:v>
                </c:pt>
              </c:numCache>
            </c:numRef>
          </c:xVal>
          <c:yVal>
            <c:numRef>
              <c:f>Reactor7!$E$114:$V$114</c:f>
              <c:numCache>
                <c:formatCode>0.0</c:formatCode>
                <c:ptCount val="18"/>
                <c:pt idx="0">
                  <c:v>65.099999999999994</c:v>
                </c:pt>
                <c:pt idx="1">
                  <c:v>65.099999999999994</c:v>
                </c:pt>
                <c:pt idx="2">
                  <c:v>62.7</c:v>
                </c:pt>
                <c:pt idx="3">
                  <c:v>62.8</c:v>
                </c:pt>
                <c:pt idx="5">
                  <c:v>60.6</c:v>
                </c:pt>
                <c:pt idx="7">
                  <c:v>57.2</c:v>
                </c:pt>
                <c:pt idx="8">
                  <c:v>55.3</c:v>
                </c:pt>
                <c:pt idx="9" formatCode="General">
                  <c:v>55.7</c:v>
                </c:pt>
                <c:pt idx="12" formatCode="General">
                  <c:v>60.6</c:v>
                </c:pt>
                <c:pt idx="14" formatCode="General">
                  <c:v>60.6</c:v>
                </c:pt>
                <c:pt idx="16" formatCode="General">
                  <c:v>51.8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31F-4EAF-824F-6109D3C91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R1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Reactor1!$D$24:$Z$24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210.1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220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215</c:v>
                      </c:pt>
                      <c:pt idx="8">
                        <c:v>210</c:v>
                      </c:pt>
                      <c:pt idx="9" formatCode="General">
                        <c:v>205</c:v>
                      </c:pt>
                      <c:pt idx="10" formatCode="General">
                        <c:v>205</c:v>
                      </c:pt>
                      <c:pt idx="11" formatCode="General">
                        <c:v>200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Reactor1!$D$110:$Z$110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97.72848104177335</c:v>
                      </c:pt>
                      <c:pt idx="1">
                        <c:v>96.881258978468452</c:v>
                      </c:pt>
                      <c:pt idx="2">
                        <c:v>96.882478606216097</c:v>
                      </c:pt>
                      <c:pt idx="3">
                        <c:v>96.846169522640523</c:v>
                      </c:pt>
                      <c:pt idx="4">
                        <c:v>96.849353947658642</c:v>
                      </c:pt>
                      <c:pt idx="5">
                        <c:v>97.283906856055154</c:v>
                      </c:pt>
                      <c:pt idx="6">
                        <c:v>97.30677011299008</c:v>
                      </c:pt>
                      <c:pt idx="7">
                        <c:v>97.309692693388854</c:v>
                      </c:pt>
                      <c:pt idx="8">
                        <c:v>97.641423589641789</c:v>
                      </c:pt>
                      <c:pt idx="9">
                        <c:v>97.84253294779495</c:v>
                      </c:pt>
                      <c:pt idx="10">
                        <c:v>97.836222436835186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031F-4EAF-824F-6109D3C910BD}"/>
                  </c:ext>
                </c:extLst>
              </c15:ser>
            </c15:filteredScatterSeries>
            <c15:filteredScatterSeries>
              <c15:ser>
                <c:idx val="4"/>
                <c:order val="1"/>
                <c:tx>
                  <c:v>R3 (ATHOS-3)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220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214.9</c:v>
                      </c:pt>
                      <c:pt idx="4">
                        <c:v>215.1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205</c:v>
                      </c:pt>
                      <c:pt idx="8" formatCode="General">
                        <c:v>200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69.982379608038855</c:v>
                      </c:pt>
                      <c:pt idx="1">
                        <c:v>67.7908294888651</c:v>
                      </c:pt>
                      <c:pt idx="2">
                        <c:v>66.646383237470587</c:v>
                      </c:pt>
                      <c:pt idx="3">
                        <c:v>69.803511653968144</c:v>
                      </c:pt>
                      <c:pt idx="4">
                        <c:v>69.353342210613363</c:v>
                      </c:pt>
                      <c:pt idx="5">
                        <c:v>69.456723541661546</c:v>
                      </c:pt>
                      <c:pt idx="6">
                        <c:v>73.364487620791806</c:v>
                      </c:pt>
                      <c:pt idx="7">
                        <c:v>77.709511603127169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31F-4EAF-824F-6109D3C910B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R2 (ATHOS-1)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>
                        <c:v>205</c:v>
                      </c:pt>
                      <c:pt idx="10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94.214051404765215</c:v>
                      </c:pt>
                      <c:pt idx="1">
                        <c:v>88.470507926680824</c:v>
                      </c:pt>
                      <c:pt idx="2">
                        <c:v>85.009422414884099</c:v>
                      </c:pt>
                      <c:pt idx="3">
                        <c:v>84.564524079799952</c:v>
                      </c:pt>
                      <c:pt idx="4">
                        <c:v>88.066401395370846</c:v>
                      </c:pt>
                      <c:pt idx="5">
                        <c:v>87.973764291405516</c:v>
                      </c:pt>
                      <c:pt idx="6">
                        <c:v>88.017330179592392</c:v>
                      </c:pt>
                      <c:pt idx="7">
                        <c:v>90.984965081382015</c:v>
                      </c:pt>
                      <c:pt idx="8">
                        <c:v>93.597152160670021</c:v>
                      </c:pt>
                      <c:pt idx="9">
                        <c:v>93.512183472967209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31F-4EAF-824F-6109D3C910BD}"/>
                  </c:ext>
                </c:extLst>
              </c15:ser>
            </c15:filteredScatterSeries>
          </c:ext>
        </c:extLst>
      </c:scatterChart>
      <c:valAx>
        <c:axId val="2015652768"/>
        <c:scaling>
          <c:orientation val="minMax"/>
          <c:max val="230"/>
          <c:min val="1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Rx Temperature, </a:t>
                </a:r>
                <a:r>
                  <a:rPr lang="en-IN" sz="1200" b="1" baseline="30000">
                    <a:latin typeface="Aptos" panose="020B0004020202020204" pitchFamily="34" charset="0"/>
                  </a:rPr>
                  <a:t>o</a:t>
                </a:r>
                <a:r>
                  <a:rPr lang="en-IN" sz="1200" b="1">
                    <a:latin typeface="Aptos" panose="020B0004020202020204" pitchFamily="34" charset="0"/>
                  </a:rPr>
                  <a:t>C</a:t>
                </a: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5"/>
      </c:valAx>
      <c:valAx>
        <c:axId val="2015650848"/>
        <c:scaling>
          <c:orientation val="minMax"/>
          <c:max val="7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 baseline="0">
                    <a:latin typeface="Aptos" panose="020B0004020202020204" pitchFamily="34" charset="0"/>
                  </a:rPr>
                  <a:t>RON (C5+), Estimated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2.3354967391495583E-2"/>
              <c:y val="0.309797731639133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  <c:majorUnit val="5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4085158359595323"/>
          <c:y val="0.11352612196109492"/>
          <c:w val="0.81928190692717373"/>
          <c:h val="9.31987351035645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1"/>
          <c:order val="1"/>
          <c:tx>
            <c:v>R5 (Z-700A)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Reactor5!$D$24:$Z$24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  <c:pt idx="9" formatCode="General">
                  <c:v>200</c:v>
                </c:pt>
              </c:numCache>
            </c:numRef>
          </c:xVal>
          <c:yVal>
            <c:numRef>
              <c:f>Reactor5!$D$110:$Z$110</c:f>
              <c:numCache>
                <c:formatCode>0.00</c:formatCode>
                <c:ptCount val="23"/>
                <c:pt idx="0">
                  <c:v>97.268017363458597</c:v>
                </c:pt>
                <c:pt idx="1">
                  <c:v>95.822064622456182</c:v>
                </c:pt>
                <c:pt idx="2">
                  <c:v>95.839348974857913</c:v>
                </c:pt>
                <c:pt idx="3">
                  <c:v>95.849168740156983</c:v>
                </c:pt>
                <c:pt idx="4">
                  <c:v>96.592703378279367</c:v>
                </c:pt>
                <c:pt idx="5">
                  <c:v>96.552375170864337</c:v>
                </c:pt>
                <c:pt idx="6">
                  <c:v>97.089626527890147</c:v>
                </c:pt>
                <c:pt idx="7">
                  <c:v>97.098951460587116</c:v>
                </c:pt>
                <c:pt idx="8">
                  <c:v>97.503537946657417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64-4380-9D74-089440856590}"/>
            </c:ext>
          </c:extLst>
        </c:ser>
        <c:ser>
          <c:idx val="3"/>
          <c:order val="3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209.9</c:v>
                </c:pt>
                <c:pt idx="7">
                  <c:v>210</c:v>
                </c:pt>
                <c:pt idx="8">
                  <c:v>205</c:v>
                </c:pt>
                <c:pt idx="9" formatCode="General">
                  <c:v>200</c:v>
                </c:pt>
              </c:numCache>
            </c:numRef>
          </c:xVal>
          <c:yVal>
            <c:numRef>
              <c:f>Reactor6!$D$110:$Z$110</c:f>
              <c:numCache>
                <c:formatCode>0.00</c:formatCode>
                <c:ptCount val="23"/>
                <c:pt idx="0">
                  <c:v>93.572645992029351</c:v>
                </c:pt>
                <c:pt idx="1">
                  <c:v>85.725888653170244</c:v>
                </c:pt>
                <c:pt idx="2">
                  <c:v>84.998885340904465</c:v>
                </c:pt>
                <c:pt idx="3">
                  <c:v>88.540114775625511</c:v>
                </c:pt>
                <c:pt idx="4">
                  <c:v>88.035883509216902</c:v>
                </c:pt>
                <c:pt idx="5">
                  <c:v>87.880760727930465</c:v>
                </c:pt>
                <c:pt idx="6">
                  <c:v>90.81900288653739</c:v>
                </c:pt>
                <c:pt idx="7">
                  <c:v>90.737785087759988</c:v>
                </c:pt>
                <c:pt idx="8">
                  <c:v>93.31101470180387</c:v>
                </c:pt>
                <c:pt idx="9">
                  <c:v>94.801062988510139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64-4380-9D74-089440856590}"/>
            </c:ext>
          </c:extLst>
        </c:ser>
        <c:ser>
          <c:idx val="5"/>
          <c:order val="4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Reactor7!$D$24:$Z$24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  <c:pt idx="9">
                  <c:v>200</c:v>
                </c:pt>
                <c:pt idx="10" formatCode="General">
                  <c:v>200</c:v>
                </c:pt>
                <c:pt idx="11" formatCode="General">
                  <c:v>200</c:v>
                </c:pt>
                <c:pt idx="12" formatCode="General">
                  <c:v>210</c:v>
                </c:pt>
                <c:pt idx="13" formatCode="General">
                  <c:v>210</c:v>
                </c:pt>
                <c:pt idx="14" formatCode="General">
                  <c:v>210.1</c:v>
                </c:pt>
                <c:pt idx="15" formatCode="General">
                  <c:v>210</c:v>
                </c:pt>
                <c:pt idx="16" formatCode="General">
                  <c:v>210</c:v>
                </c:pt>
                <c:pt idx="17" formatCode="General">
                  <c:v>190.2</c:v>
                </c:pt>
              </c:numCache>
            </c:numRef>
          </c:xVal>
          <c:yVal>
            <c:numRef>
              <c:f>Reactor7!$D$110:$Z$110</c:f>
              <c:numCache>
                <c:formatCode>0.00</c:formatCode>
                <c:ptCount val="23"/>
                <c:pt idx="0">
                  <c:v>85.236597561107786</c:v>
                </c:pt>
                <c:pt idx="1">
                  <c:v>69.948330051261792</c:v>
                </c:pt>
                <c:pt idx="2">
                  <c:v>67.351474035393977</c:v>
                </c:pt>
                <c:pt idx="3">
                  <c:v>70.110470681361662</c:v>
                </c:pt>
                <c:pt idx="4">
                  <c:v>69.900343771786993</c:v>
                </c:pt>
                <c:pt idx="5">
                  <c:v>69.591370232765513</c:v>
                </c:pt>
                <c:pt idx="6">
                  <c:v>73.35983369276363</c:v>
                </c:pt>
                <c:pt idx="7">
                  <c:v>73.333467434979781</c:v>
                </c:pt>
                <c:pt idx="8">
                  <c:v>78.343293282600541</c:v>
                </c:pt>
                <c:pt idx="9">
                  <c:v>81.796365534975649</c:v>
                </c:pt>
                <c:pt idx="10">
                  <c:v>81.287032109003007</c:v>
                </c:pt>
                <c:pt idx="11">
                  <c:v>81.425659311126424</c:v>
                </c:pt>
                <c:pt idx="13">
                  <c:v>73.247917962850622</c:v>
                </c:pt>
                <c:pt idx="14">
                  <c:v>73.215402188749664</c:v>
                </c:pt>
                <c:pt idx="15">
                  <c:v>73.247093055150216</c:v>
                </c:pt>
                <c:pt idx="16">
                  <c:v>73.37366948975793</c:v>
                </c:pt>
                <c:pt idx="17">
                  <c:v>87.476906875800807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64-4380-9D74-089440856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R1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Reactor1!$D$24:$Z$24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210.1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220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215</c:v>
                      </c:pt>
                      <c:pt idx="8">
                        <c:v>210</c:v>
                      </c:pt>
                      <c:pt idx="9" formatCode="General">
                        <c:v>205</c:v>
                      </c:pt>
                      <c:pt idx="10" formatCode="General">
                        <c:v>205</c:v>
                      </c:pt>
                      <c:pt idx="11" formatCode="General">
                        <c:v>200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Reactor1!$D$110:$Z$110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97.72848104177335</c:v>
                      </c:pt>
                      <c:pt idx="1">
                        <c:v>96.881258978468452</c:v>
                      </c:pt>
                      <c:pt idx="2">
                        <c:v>96.882478606216097</c:v>
                      </c:pt>
                      <c:pt idx="3">
                        <c:v>96.846169522640523</c:v>
                      </c:pt>
                      <c:pt idx="4">
                        <c:v>96.849353947658642</c:v>
                      </c:pt>
                      <c:pt idx="5">
                        <c:v>97.283906856055154</c:v>
                      </c:pt>
                      <c:pt idx="6">
                        <c:v>97.30677011299008</c:v>
                      </c:pt>
                      <c:pt idx="7">
                        <c:v>97.309692693388854</c:v>
                      </c:pt>
                      <c:pt idx="8">
                        <c:v>97.641423589641789</c:v>
                      </c:pt>
                      <c:pt idx="9">
                        <c:v>97.84253294779495</c:v>
                      </c:pt>
                      <c:pt idx="10">
                        <c:v>97.836222436835186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3C64-4380-9D74-089440856590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R2 (ATHOS-1)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>
                        <c:v>205</c:v>
                      </c:pt>
                      <c:pt idx="10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94.214051404765215</c:v>
                      </c:pt>
                      <c:pt idx="1">
                        <c:v>88.470507926680824</c:v>
                      </c:pt>
                      <c:pt idx="2">
                        <c:v>85.009422414884099</c:v>
                      </c:pt>
                      <c:pt idx="3">
                        <c:v>84.564524079799952</c:v>
                      </c:pt>
                      <c:pt idx="4">
                        <c:v>88.066401395370846</c:v>
                      </c:pt>
                      <c:pt idx="5">
                        <c:v>87.973764291405516</c:v>
                      </c:pt>
                      <c:pt idx="6">
                        <c:v>88.017330179592392</c:v>
                      </c:pt>
                      <c:pt idx="7">
                        <c:v>90.984965081382015</c:v>
                      </c:pt>
                      <c:pt idx="8">
                        <c:v>93.597152160670021</c:v>
                      </c:pt>
                      <c:pt idx="9">
                        <c:v>93.512183472967209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C64-4380-9D74-089440856590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v>R3 (ATHOS-3)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rgbClr val="FF0000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220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214.9</c:v>
                      </c:pt>
                      <c:pt idx="4">
                        <c:v>215.1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205</c:v>
                      </c:pt>
                      <c:pt idx="8" formatCode="General">
                        <c:v>200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69.982379608038855</c:v>
                      </c:pt>
                      <c:pt idx="1">
                        <c:v>67.7908294888651</c:v>
                      </c:pt>
                      <c:pt idx="2">
                        <c:v>66.646383237470587</c:v>
                      </c:pt>
                      <c:pt idx="3">
                        <c:v>69.803511653968144</c:v>
                      </c:pt>
                      <c:pt idx="4">
                        <c:v>69.353342210613363</c:v>
                      </c:pt>
                      <c:pt idx="5">
                        <c:v>69.456723541661546</c:v>
                      </c:pt>
                      <c:pt idx="6">
                        <c:v>73.364487620791806</c:v>
                      </c:pt>
                      <c:pt idx="7">
                        <c:v>77.709511603127169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C64-4380-9D74-089440856590}"/>
                  </c:ext>
                </c:extLst>
              </c15:ser>
            </c15:filteredScatterSeries>
          </c:ext>
        </c:extLst>
      </c:scatterChart>
      <c:valAx>
        <c:axId val="2015652768"/>
        <c:scaling>
          <c:orientation val="minMax"/>
          <c:max val="230"/>
          <c:min val="1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Rx Temperature,</a:t>
                </a:r>
                <a:r>
                  <a:rPr lang="en-IN" sz="1200" b="1" baseline="0">
                    <a:latin typeface="Aptos" panose="020B0004020202020204" pitchFamily="34" charset="0"/>
                  </a:rPr>
                  <a:t> oC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5"/>
      </c:valAx>
      <c:valAx>
        <c:axId val="2015650848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Isomerate</a:t>
                </a:r>
                <a:r>
                  <a:rPr lang="en-IN" sz="1200" b="1" baseline="0">
                    <a:latin typeface="Aptos" panose="020B0004020202020204" pitchFamily="34" charset="0"/>
                  </a:rPr>
                  <a:t> Yield (C5+), wof%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7426945490230797E-2"/>
              <c:y val="0.255166938476370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908411910738907"/>
          <c:y val="9.9868423670404258E-2"/>
          <c:w val="0.81472656202638793"/>
          <c:h val="0.102744068176648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1"/>
          <c:order val="3"/>
          <c:tx>
            <c:v>R5 (Z700-A)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Reactor5!$D$24:$L$24</c:f>
              <c:numCache>
                <c:formatCode>0</c:formatCode>
                <c:ptCount val="9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</c:numCache>
            </c:numRef>
          </c:xVal>
          <c:yVal>
            <c:numRef>
              <c:f>Reactor5!$D$137:$L$137</c:f>
              <c:numCache>
                <c:formatCode>0</c:formatCode>
                <c:ptCount val="9"/>
                <c:pt idx="1">
                  <c:v>52.899874554342183</c:v>
                </c:pt>
                <c:pt idx="2">
                  <c:v>52.805750748979122</c:v>
                </c:pt>
                <c:pt idx="3">
                  <c:v>52.628685916863461</c:v>
                </c:pt>
                <c:pt idx="4">
                  <c:v>50.964099377854687</c:v>
                </c:pt>
                <c:pt idx="5">
                  <c:v>50.968972084547438</c:v>
                </c:pt>
                <c:pt idx="6">
                  <c:v>49.949158169280544</c:v>
                </c:pt>
                <c:pt idx="7">
                  <c:v>49.944058104382918</c:v>
                </c:pt>
                <c:pt idx="8">
                  <c:v>49.290146547092434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B80E-4A0A-B0C0-8A964B16EBAA}"/>
            </c:ext>
          </c:extLst>
        </c:ser>
        <c:ser>
          <c:idx val="3"/>
          <c:order val="4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Reactor6!$D$24:$M$24</c:f>
              <c:numCache>
                <c:formatCode>0</c:formatCode>
                <c:ptCount val="10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209.9</c:v>
                </c:pt>
                <c:pt idx="7">
                  <c:v>210</c:v>
                </c:pt>
                <c:pt idx="8">
                  <c:v>205</c:v>
                </c:pt>
                <c:pt idx="9" formatCode="General">
                  <c:v>200</c:v>
                </c:pt>
              </c:numCache>
            </c:numRef>
          </c:xVal>
          <c:yVal>
            <c:numRef>
              <c:f>Reactor6!$D$137:$M$137</c:f>
              <c:numCache>
                <c:formatCode>0</c:formatCode>
                <c:ptCount val="10"/>
                <c:pt idx="1">
                  <c:v>73.343401557426446</c:v>
                </c:pt>
                <c:pt idx="2">
                  <c:v>70.018472762124489</c:v>
                </c:pt>
                <c:pt idx="3">
                  <c:v>62.229089387915273</c:v>
                </c:pt>
                <c:pt idx="4">
                  <c:v>58.98478605933537</c:v>
                </c:pt>
                <c:pt idx="5">
                  <c:v>59.050992233112929</c:v>
                </c:pt>
                <c:pt idx="6">
                  <c:v>56.221061011089311</c:v>
                </c:pt>
                <c:pt idx="7">
                  <c:v>56.301997363809029</c:v>
                </c:pt>
                <c:pt idx="8">
                  <c:v>54.000335374303823</c:v>
                </c:pt>
                <c:pt idx="9">
                  <c:v>52.244630362868591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0E-4A0A-B0C0-8A964B16EBAA}"/>
            </c:ext>
          </c:extLst>
        </c:ser>
        <c:ser>
          <c:idx val="5"/>
          <c:order val="5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Reactor7!$D$24:$CZ$24</c:f>
              <c:numCache>
                <c:formatCode>0</c:formatCode>
                <c:ptCount val="101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  <c:pt idx="9">
                  <c:v>200</c:v>
                </c:pt>
                <c:pt idx="10" formatCode="General">
                  <c:v>200</c:v>
                </c:pt>
                <c:pt idx="11" formatCode="General">
                  <c:v>200</c:v>
                </c:pt>
                <c:pt idx="12" formatCode="General">
                  <c:v>210</c:v>
                </c:pt>
                <c:pt idx="13" formatCode="General">
                  <c:v>210</c:v>
                </c:pt>
                <c:pt idx="14" formatCode="General">
                  <c:v>210.1</c:v>
                </c:pt>
                <c:pt idx="15" formatCode="General">
                  <c:v>210</c:v>
                </c:pt>
                <c:pt idx="16" formatCode="General">
                  <c:v>210</c:v>
                </c:pt>
                <c:pt idx="17" formatCode="General">
                  <c:v>190.2</c:v>
                </c:pt>
              </c:numCache>
            </c:numRef>
          </c:xVal>
          <c:yVal>
            <c:numRef>
              <c:f>Reactor7!$D$137:$CZ$137</c:f>
              <c:numCache>
                <c:formatCode>0</c:formatCode>
                <c:ptCount val="101"/>
                <c:pt idx="1">
                  <c:v>78.56836761360745</c:v>
                </c:pt>
                <c:pt idx="2">
                  <c:v>75.273951657453821</c:v>
                </c:pt>
                <c:pt idx="3">
                  <c:v>67.925776991389768</c:v>
                </c:pt>
                <c:pt idx="4">
                  <c:v>68.060737041089567</c:v>
                </c:pt>
                <c:pt idx="5">
                  <c:v>68.333297168931409</c:v>
                </c:pt>
                <c:pt idx="6">
                  <c:v>65.60381172157372</c:v>
                </c:pt>
                <c:pt idx="7">
                  <c:v>65.638568501715682</c:v>
                </c:pt>
                <c:pt idx="8">
                  <c:v>61.622950143214993</c:v>
                </c:pt>
                <c:pt idx="9">
                  <c:v>59.967523441649327</c:v>
                </c:pt>
                <c:pt idx="10">
                  <c:v>60.311577741822134</c:v>
                </c:pt>
                <c:pt idx="11">
                  <c:v>60.248199924677635</c:v>
                </c:pt>
                <c:pt idx="12">
                  <c:v>65.711356216960155</c:v>
                </c:pt>
                <c:pt idx="13">
                  <c:v>65.797360543396906</c:v>
                </c:pt>
                <c:pt idx="14">
                  <c:v>65.837295923678056</c:v>
                </c:pt>
                <c:pt idx="15">
                  <c:v>65.820626837504193</c:v>
                </c:pt>
                <c:pt idx="16">
                  <c:v>65.715521684557558</c:v>
                </c:pt>
                <c:pt idx="17">
                  <c:v>56.325099394640787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80E-4A0A-B0C0-8A964B16E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R1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Reactor1!$D$24:$Z$24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210.1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220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215</c:v>
                      </c:pt>
                      <c:pt idx="8">
                        <c:v>210</c:v>
                      </c:pt>
                      <c:pt idx="9" formatCode="General">
                        <c:v>205</c:v>
                      </c:pt>
                      <c:pt idx="10" formatCode="General">
                        <c:v>205</c:v>
                      </c:pt>
                      <c:pt idx="11" formatCode="General">
                        <c:v>200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Reactor1!$D$110:$Z$110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97.72848104177335</c:v>
                      </c:pt>
                      <c:pt idx="1">
                        <c:v>96.881258978468452</c:v>
                      </c:pt>
                      <c:pt idx="2">
                        <c:v>96.882478606216097</c:v>
                      </c:pt>
                      <c:pt idx="3">
                        <c:v>96.846169522640523</c:v>
                      </c:pt>
                      <c:pt idx="4">
                        <c:v>96.849353947658642</c:v>
                      </c:pt>
                      <c:pt idx="5">
                        <c:v>97.283906856055154</c:v>
                      </c:pt>
                      <c:pt idx="6">
                        <c:v>97.30677011299008</c:v>
                      </c:pt>
                      <c:pt idx="7">
                        <c:v>97.309692693388854</c:v>
                      </c:pt>
                      <c:pt idx="8">
                        <c:v>97.641423589641789</c:v>
                      </c:pt>
                      <c:pt idx="9">
                        <c:v>97.84253294779495</c:v>
                      </c:pt>
                      <c:pt idx="10">
                        <c:v>97.836222436835186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B80E-4A0A-B0C0-8A964B16EBAA}"/>
                  </c:ext>
                </c:extLst>
              </c15:ser>
            </c15:filteredScatterSeries>
            <c15:filteredScatterSeries>
              <c15:ser>
                <c:idx val="4"/>
                <c:order val="1"/>
                <c:tx>
                  <c:v>R3 (ATHOS-3)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220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214.9</c:v>
                      </c:pt>
                      <c:pt idx="4">
                        <c:v>215.1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205</c:v>
                      </c:pt>
                      <c:pt idx="8" formatCode="General">
                        <c:v>200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69.982379608038855</c:v>
                      </c:pt>
                      <c:pt idx="1">
                        <c:v>67.7908294888651</c:v>
                      </c:pt>
                      <c:pt idx="2">
                        <c:v>66.646383237470587</c:v>
                      </c:pt>
                      <c:pt idx="3">
                        <c:v>69.803511653968144</c:v>
                      </c:pt>
                      <c:pt idx="4">
                        <c:v>69.353342210613363</c:v>
                      </c:pt>
                      <c:pt idx="5">
                        <c:v>69.456723541661546</c:v>
                      </c:pt>
                      <c:pt idx="6">
                        <c:v>73.364487620791806</c:v>
                      </c:pt>
                      <c:pt idx="7">
                        <c:v>77.709511603127169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80E-4A0A-B0C0-8A964B16EBAA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R2 (ATHOS-1)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>
                        <c:v>205</c:v>
                      </c:pt>
                      <c:pt idx="10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94.214051404765215</c:v>
                      </c:pt>
                      <c:pt idx="1">
                        <c:v>88.470507926680824</c:v>
                      </c:pt>
                      <c:pt idx="2">
                        <c:v>85.009422414884099</c:v>
                      </c:pt>
                      <c:pt idx="3">
                        <c:v>84.564524079799952</c:v>
                      </c:pt>
                      <c:pt idx="4">
                        <c:v>88.066401395370846</c:v>
                      </c:pt>
                      <c:pt idx="5">
                        <c:v>87.973764291405516</c:v>
                      </c:pt>
                      <c:pt idx="6">
                        <c:v>88.017330179592392</c:v>
                      </c:pt>
                      <c:pt idx="7">
                        <c:v>90.984965081382015</c:v>
                      </c:pt>
                      <c:pt idx="8">
                        <c:v>93.597152160670021</c:v>
                      </c:pt>
                      <c:pt idx="9">
                        <c:v>93.512183472967209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0E-4A0A-B0C0-8A964B16EBAA}"/>
                  </c:ext>
                </c:extLst>
              </c15:ser>
            </c15:filteredScatterSeries>
          </c:ext>
        </c:extLst>
      </c:scatterChart>
      <c:valAx>
        <c:axId val="201565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Temperature,</a:t>
                </a:r>
                <a:r>
                  <a:rPr lang="en-IN" sz="1200" b="1" baseline="0">
                    <a:latin typeface="Aptos" panose="020B0004020202020204" pitchFamily="34" charset="0"/>
                  </a:rPr>
                  <a:t> </a:t>
                </a:r>
                <a:r>
                  <a:rPr lang="en-IN" sz="1200" b="1" baseline="30000">
                    <a:latin typeface="Aptos" panose="020B0004020202020204" pitchFamily="34" charset="0"/>
                  </a:rPr>
                  <a:t>o</a:t>
                </a:r>
                <a:r>
                  <a:rPr lang="en-IN" sz="1200" b="1" baseline="0">
                    <a:latin typeface="Aptos" panose="020B0004020202020204" pitchFamily="34" charset="0"/>
                  </a:rPr>
                  <a:t>C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5"/>
      </c:valAx>
      <c:valAx>
        <c:axId val="2015650848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(iC7/(iC7+nC7),</a:t>
                </a:r>
                <a:r>
                  <a:rPr lang="en-IN" sz="1200" b="1" baseline="0">
                    <a:latin typeface="Aptos" panose="020B0004020202020204" pitchFamily="34" charset="0"/>
                  </a:rPr>
                  <a:t> wt%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8634463282050335E-2"/>
              <c:y val="0.302968882493788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5495609449845499"/>
          <c:y val="0.12376939567911292"/>
          <c:w val="0.7733185497511702"/>
          <c:h val="6.5883338522183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1"/>
          <c:order val="3"/>
          <c:tx>
            <c:v>R5 (Z700-A)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Reactor5!$D$140:$L$140</c:f>
              <c:numCache>
                <c:formatCode>0.00</c:formatCode>
                <c:ptCount val="9"/>
                <c:pt idx="1">
                  <c:v>43.501232873629498</c:v>
                </c:pt>
                <c:pt idx="2">
                  <c:v>43.440938835942625</c:v>
                </c:pt>
                <c:pt idx="3">
                  <c:v>43.499292253090843</c:v>
                </c:pt>
                <c:pt idx="4">
                  <c:v>44.516943922009318</c:v>
                </c:pt>
                <c:pt idx="5">
                  <c:v>44.360281534066708</c:v>
                </c:pt>
                <c:pt idx="6">
                  <c:v>45.086857009667739</c:v>
                </c:pt>
                <c:pt idx="7">
                  <c:v>45.102407386187835</c:v>
                </c:pt>
                <c:pt idx="8">
                  <c:v>45.675327375041263</c:v>
                </c:pt>
              </c:numCache>
            </c:numRef>
          </c:xVal>
          <c:yVal>
            <c:numRef>
              <c:f>Reactor5!$D$137:$L$137</c:f>
              <c:numCache>
                <c:formatCode>0</c:formatCode>
                <c:ptCount val="9"/>
                <c:pt idx="1">
                  <c:v>52.899874554342183</c:v>
                </c:pt>
                <c:pt idx="2">
                  <c:v>52.805750748979122</c:v>
                </c:pt>
                <c:pt idx="3">
                  <c:v>52.628685916863461</c:v>
                </c:pt>
                <c:pt idx="4">
                  <c:v>50.964099377854687</c:v>
                </c:pt>
                <c:pt idx="5">
                  <c:v>50.968972084547438</c:v>
                </c:pt>
                <c:pt idx="6">
                  <c:v>49.949158169280544</c:v>
                </c:pt>
                <c:pt idx="7">
                  <c:v>49.944058104382918</c:v>
                </c:pt>
                <c:pt idx="8">
                  <c:v>49.290146547092434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9ACD-41C9-9635-70247B6DC9AB}"/>
            </c:ext>
          </c:extLst>
        </c:ser>
        <c:ser>
          <c:idx val="3"/>
          <c:order val="4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Reactor6!$D$140:$M$140</c:f>
              <c:numCache>
                <c:formatCode>0.00</c:formatCode>
                <c:ptCount val="10"/>
                <c:pt idx="1">
                  <c:v>31.917304778663997</c:v>
                </c:pt>
                <c:pt idx="2">
                  <c:v>31.098055877591804</c:v>
                </c:pt>
                <c:pt idx="3">
                  <c:v>35.045306925793142</c:v>
                </c:pt>
                <c:pt idx="4">
                  <c:v>34.500641508452929</c:v>
                </c:pt>
                <c:pt idx="5">
                  <c:v>34.323065624730241</c:v>
                </c:pt>
                <c:pt idx="6">
                  <c:v>37.825465581866347</c:v>
                </c:pt>
                <c:pt idx="7">
                  <c:v>37.620898542869547</c:v>
                </c:pt>
                <c:pt idx="8">
                  <c:v>40.58914067292158</c:v>
                </c:pt>
                <c:pt idx="9">
                  <c:v>42.388835817497522</c:v>
                </c:pt>
              </c:numCache>
            </c:numRef>
          </c:xVal>
          <c:yVal>
            <c:numRef>
              <c:f>Reactor6!$D$137:$M$137</c:f>
              <c:numCache>
                <c:formatCode>0</c:formatCode>
                <c:ptCount val="10"/>
                <c:pt idx="1">
                  <c:v>73.343401557426446</c:v>
                </c:pt>
                <c:pt idx="2">
                  <c:v>70.018472762124489</c:v>
                </c:pt>
                <c:pt idx="3">
                  <c:v>62.229089387915273</c:v>
                </c:pt>
                <c:pt idx="4">
                  <c:v>58.98478605933537</c:v>
                </c:pt>
                <c:pt idx="5">
                  <c:v>59.050992233112929</c:v>
                </c:pt>
                <c:pt idx="6">
                  <c:v>56.221061011089311</c:v>
                </c:pt>
                <c:pt idx="7">
                  <c:v>56.301997363809029</c:v>
                </c:pt>
                <c:pt idx="8">
                  <c:v>54.000335374303823</c:v>
                </c:pt>
                <c:pt idx="9">
                  <c:v>52.244630362868591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CD-41C9-9635-70247B6DC9AB}"/>
            </c:ext>
          </c:extLst>
        </c:ser>
        <c:ser>
          <c:idx val="5"/>
          <c:order val="5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Reactor7!$D$140:$CZ$140</c:f>
              <c:numCache>
                <c:formatCode>0.00</c:formatCode>
                <c:ptCount val="101"/>
                <c:pt idx="1">
                  <c:v>15.026156372781747</c:v>
                </c:pt>
                <c:pt idx="2">
                  <c:v>12.449293556063907</c:v>
                </c:pt>
                <c:pt idx="3">
                  <c:v>15.307043107274822</c:v>
                </c:pt>
                <c:pt idx="4">
                  <c:v>15.109691192997895</c:v>
                </c:pt>
                <c:pt idx="5">
                  <c:v>14.79347637029556</c:v>
                </c:pt>
                <c:pt idx="6">
                  <c:v>18.781199083164999</c:v>
                </c:pt>
                <c:pt idx="7">
                  <c:v>18.734518083765199</c:v>
                </c:pt>
                <c:pt idx="8">
                  <c:v>24.082200543344875</c:v>
                </c:pt>
                <c:pt idx="9">
                  <c:v>27.747267067967112</c:v>
                </c:pt>
                <c:pt idx="10">
                  <c:v>27.123318160450243</c:v>
                </c:pt>
                <c:pt idx="11">
                  <c:v>27.305294667719732</c:v>
                </c:pt>
                <c:pt idx="12">
                  <c:v>18.683892737636466</c:v>
                </c:pt>
                <c:pt idx="13">
                  <c:v>18.647703152539094</c:v>
                </c:pt>
                <c:pt idx="14">
                  <c:v>18.615420345316508</c:v>
                </c:pt>
                <c:pt idx="15">
                  <c:v>18.669708453072893</c:v>
                </c:pt>
                <c:pt idx="16">
                  <c:v>18.701723292860716</c:v>
                </c:pt>
                <c:pt idx="17">
                  <c:v>34.06279275647077</c:v>
                </c:pt>
              </c:numCache>
            </c:numRef>
          </c:xVal>
          <c:yVal>
            <c:numRef>
              <c:f>Reactor7!$D$137:$CZ$137</c:f>
              <c:numCache>
                <c:formatCode>0</c:formatCode>
                <c:ptCount val="101"/>
                <c:pt idx="1">
                  <c:v>78.56836761360745</c:v>
                </c:pt>
                <c:pt idx="2">
                  <c:v>75.273951657453821</c:v>
                </c:pt>
                <c:pt idx="3">
                  <c:v>67.925776991389768</c:v>
                </c:pt>
                <c:pt idx="4">
                  <c:v>68.060737041089567</c:v>
                </c:pt>
                <c:pt idx="5">
                  <c:v>68.333297168931409</c:v>
                </c:pt>
                <c:pt idx="6">
                  <c:v>65.60381172157372</c:v>
                </c:pt>
                <c:pt idx="7">
                  <c:v>65.638568501715682</c:v>
                </c:pt>
                <c:pt idx="8">
                  <c:v>61.622950143214993</c:v>
                </c:pt>
                <c:pt idx="9">
                  <c:v>59.967523441649327</c:v>
                </c:pt>
                <c:pt idx="10">
                  <c:v>60.311577741822134</c:v>
                </c:pt>
                <c:pt idx="11">
                  <c:v>60.248199924677635</c:v>
                </c:pt>
                <c:pt idx="12">
                  <c:v>65.711356216960155</c:v>
                </c:pt>
                <c:pt idx="13">
                  <c:v>65.797360543396906</c:v>
                </c:pt>
                <c:pt idx="14">
                  <c:v>65.837295923678056</c:v>
                </c:pt>
                <c:pt idx="15">
                  <c:v>65.820626837504193</c:v>
                </c:pt>
                <c:pt idx="16">
                  <c:v>65.715521684557558</c:v>
                </c:pt>
                <c:pt idx="17">
                  <c:v>56.325099394640787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CD-41C9-9635-70247B6DC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R1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Reactor1!$D$24:$Z$24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210.1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220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215</c:v>
                      </c:pt>
                      <c:pt idx="8">
                        <c:v>210</c:v>
                      </c:pt>
                      <c:pt idx="9" formatCode="General">
                        <c:v>205</c:v>
                      </c:pt>
                      <c:pt idx="10" formatCode="General">
                        <c:v>205</c:v>
                      </c:pt>
                      <c:pt idx="11" formatCode="General">
                        <c:v>200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Reactor1!$D$110:$Z$110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97.72848104177335</c:v>
                      </c:pt>
                      <c:pt idx="1">
                        <c:v>96.881258978468452</c:v>
                      </c:pt>
                      <c:pt idx="2">
                        <c:v>96.882478606216097</c:v>
                      </c:pt>
                      <c:pt idx="3">
                        <c:v>96.846169522640523</c:v>
                      </c:pt>
                      <c:pt idx="4">
                        <c:v>96.849353947658642</c:v>
                      </c:pt>
                      <c:pt idx="5">
                        <c:v>97.283906856055154</c:v>
                      </c:pt>
                      <c:pt idx="6">
                        <c:v>97.30677011299008</c:v>
                      </c:pt>
                      <c:pt idx="7">
                        <c:v>97.309692693388854</c:v>
                      </c:pt>
                      <c:pt idx="8">
                        <c:v>97.641423589641789</c:v>
                      </c:pt>
                      <c:pt idx="9">
                        <c:v>97.84253294779495</c:v>
                      </c:pt>
                      <c:pt idx="10">
                        <c:v>97.836222436835186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9ACD-41C9-9635-70247B6DC9AB}"/>
                  </c:ext>
                </c:extLst>
              </c15:ser>
            </c15:filteredScatterSeries>
            <c15:filteredScatterSeries>
              <c15:ser>
                <c:idx val="4"/>
                <c:order val="1"/>
                <c:tx>
                  <c:v>R3 (ATHOS-3)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220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214.9</c:v>
                      </c:pt>
                      <c:pt idx="4">
                        <c:v>215.1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205</c:v>
                      </c:pt>
                      <c:pt idx="8" formatCode="General">
                        <c:v>200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69.982379608038855</c:v>
                      </c:pt>
                      <c:pt idx="1">
                        <c:v>67.7908294888651</c:v>
                      </c:pt>
                      <c:pt idx="2">
                        <c:v>66.646383237470587</c:v>
                      </c:pt>
                      <c:pt idx="3">
                        <c:v>69.803511653968144</c:v>
                      </c:pt>
                      <c:pt idx="4">
                        <c:v>69.353342210613363</c:v>
                      </c:pt>
                      <c:pt idx="5">
                        <c:v>69.456723541661546</c:v>
                      </c:pt>
                      <c:pt idx="6">
                        <c:v>73.364487620791806</c:v>
                      </c:pt>
                      <c:pt idx="7">
                        <c:v>77.709511603127169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ACD-41C9-9635-70247B6DC9A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R2 (ATHOS-1)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>
                        <c:v>205</c:v>
                      </c:pt>
                      <c:pt idx="10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94.214051404765215</c:v>
                      </c:pt>
                      <c:pt idx="1">
                        <c:v>88.470507926680824</c:v>
                      </c:pt>
                      <c:pt idx="2">
                        <c:v>85.009422414884099</c:v>
                      </c:pt>
                      <c:pt idx="3">
                        <c:v>84.564524079799952</c:v>
                      </c:pt>
                      <c:pt idx="4">
                        <c:v>88.066401395370846</c:v>
                      </c:pt>
                      <c:pt idx="5">
                        <c:v>87.973764291405516</c:v>
                      </c:pt>
                      <c:pt idx="6">
                        <c:v>88.017330179592392</c:v>
                      </c:pt>
                      <c:pt idx="7">
                        <c:v>90.984965081382015</c:v>
                      </c:pt>
                      <c:pt idx="8">
                        <c:v>93.597152160670021</c:v>
                      </c:pt>
                      <c:pt idx="9">
                        <c:v>93.512183472967209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ACD-41C9-9635-70247B6DC9AB}"/>
                  </c:ext>
                </c:extLst>
              </c15:ser>
            </c15:filteredScatterSeries>
          </c:ext>
        </c:extLst>
      </c:scatterChart>
      <c:valAx>
        <c:axId val="201565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C7+</a:t>
                </a:r>
                <a:r>
                  <a:rPr lang="en-IN" sz="1200" b="1" baseline="0">
                    <a:latin typeface="Aptos" panose="020B0004020202020204" pitchFamily="34" charset="0"/>
                  </a:rPr>
                  <a:t> Yield, wof%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5"/>
      </c:valAx>
      <c:valAx>
        <c:axId val="2015650848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(iC7/(iC7+nC7),</a:t>
                </a:r>
                <a:r>
                  <a:rPr lang="en-IN" sz="1200" b="1" baseline="0">
                    <a:latin typeface="Aptos" panose="020B0004020202020204" pitchFamily="34" charset="0"/>
                  </a:rPr>
                  <a:t> wt%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2.3301782243641347E-2"/>
              <c:y val="0.347356401938532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5495609449845499"/>
          <c:y val="0.12376939567911292"/>
          <c:w val="0.7733185497511702"/>
          <c:h val="6.5883338522183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7874425793259"/>
          <c:y val="0.21545207250194515"/>
          <c:w val="0.80207211479890106"/>
          <c:h val="0.61639907794405402"/>
        </c:manualLayout>
      </c:layout>
      <c:scatterChart>
        <c:scatterStyle val="smoothMarker"/>
        <c:varyColors val="0"/>
        <c:ser>
          <c:idx val="1"/>
          <c:order val="3"/>
          <c:tx>
            <c:v>R5 (Z700-A)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Reactor5!$D$24:$L$24</c:f>
              <c:numCache>
                <c:formatCode>0</c:formatCode>
                <c:ptCount val="9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</c:numCache>
            </c:numRef>
          </c:xVal>
          <c:yVal>
            <c:numRef>
              <c:f>Reactor5!$D$139:$L$139</c:f>
              <c:numCache>
                <c:formatCode>0</c:formatCode>
                <c:ptCount val="9"/>
                <c:pt idx="1">
                  <c:v>2301.2097619742267</c:v>
                </c:pt>
                <c:pt idx="2">
                  <c:v>2293.9313884724334</c:v>
                </c:pt>
                <c:pt idx="3">
                  <c:v>2289.3105895937697</c:v>
                </c:pt>
                <c:pt idx="4">
                  <c:v>2268.7659540396671</c:v>
                </c:pt>
                <c:pt idx="5">
                  <c:v>2260.9979511725114</c:v>
                </c:pt>
                <c:pt idx="6">
                  <c:v>2252.050552131629</c:v>
                </c:pt>
                <c:pt idx="7">
                  <c:v>2252.5972551433147</c:v>
                </c:pt>
                <c:pt idx="8">
                  <c:v>2251.3435799022068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3AF5-4B34-806C-2FF44B46F5D4}"/>
            </c:ext>
          </c:extLst>
        </c:ser>
        <c:ser>
          <c:idx val="3"/>
          <c:order val="4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Reactor6!$D$24:$M$24</c:f>
              <c:numCache>
                <c:formatCode>0</c:formatCode>
                <c:ptCount val="10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209.9</c:v>
                </c:pt>
                <c:pt idx="7">
                  <c:v>210</c:v>
                </c:pt>
                <c:pt idx="8">
                  <c:v>205</c:v>
                </c:pt>
                <c:pt idx="9" formatCode="General">
                  <c:v>200</c:v>
                </c:pt>
              </c:numCache>
            </c:numRef>
          </c:xVal>
          <c:yVal>
            <c:numRef>
              <c:f>Reactor6!$D$139:$M$139</c:f>
              <c:numCache>
                <c:formatCode>0</c:formatCode>
                <c:ptCount val="10"/>
                <c:pt idx="1">
                  <c:v>2340.9237010123197</c:v>
                </c:pt>
                <c:pt idx="2">
                  <c:v>2177.4383784201873</c:v>
                </c:pt>
                <c:pt idx="3">
                  <c:v>2180.8375373121075</c:v>
                </c:pt>
                <c:pt idx="4">
                  <c:v>2035.0129582859215</c:v>
                </c:pt>
                <c:pt idx="5">
                  <c:v>2026.8110816225708</c:v>
                </c:pt>
                <c:pt idx="6">
                  <c:v>2126.5878082509666</c:v>
                </c:pt>
                <c:pt idx="7">
                  <c:v>2118.1317305847683</c:v>
                </c:pt>
                <c:pt idx="8">
                  <c:v>2191.8272088925614</c:v>
                </c:pt>
                <c:pt idx="9">
                  <c:v>2214.5890587974827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F5-4B34-806C-2FF44B46F5D4}"/>
            </c:ext>
          </c:extLst>
        </c:ser>
        <c:ser>
          <c:idx val="5"/>
          <c:order val="5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Reactor7!$D$24:$CZ$24</c:f>
              <c:numCache>
                <c:formatCode>0</c:formatCode>
                <c:ptCount val="101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  <c:pt idx="9">
                  <c:v>200</c:v>
                </c:pt>
                <c:pt idx="10" formatCode="General">
                  <c:v>200</c:v>
                </c:pt>
                <c:pt idx="11" formatCode="General">
                  <c:v>200</c:v>
                </c:pt>
                <c:pt idx="12" formatCode="General">
                  <c:v>210</c:v>
                </c:pt>
                <c:pt idx="13" formatCode="General">
                  <c:v>210</c:v>
                </c:pt>
                <c:pt idx="14" formatCode="General">
                  <c:v>210.1</c:v>
                </c:pt>
                <c:pt idx="15" formatCode="General">
                  <c:v>210</c:v>
                </c:pt>
                <c:pt idx="16" formatCode="General">
                  <c:v>210</c:v>
                </c:pt>
                <c:pt idx="17" formatCode="General">
                  <c:v>190.2</c:v>
                </c:pt>
              </c:numCache>
            </c:numRef>
          </c:xVal>
          <c:yVal>
            <c:numRef>
              <c:f>Reactor7!$D$139:$CZ$139</c:f>
              <c:numCache>
                <c:formatCode>0</c:formatCode>
                <c:ptCount val="101"/>
                <c:pt idx="1">
                  <c:v>1180.5805777162666</c:v>
                </c:pt>
                <c:pt idx="2">
                  <c:v>937.1075213086059</c:v>
                </c:pt>
                <c:pt idx="3">
                  <c:v>1039.7427965023394</c:v>
                </c:pt>
                <c:pt idx="4">
                  <c:v>1028.3767190586966</c:v>
                </c:pt>
                <c:pt idx="5">
                  <c:v>1010.8870169729713</c:v>
                </c:pt>
                <c:pt idx="6">
                  <c:v>1232.1182485573495</c:v>
                </c:pt>
                <c:pt idx="7">
                  <c:v>1229.7069485878533</c:v>
                </c:pt>
                <c:pt idx="8">
                  <c:v>1484.0162434214462</c:v>
                </c:pt>
                <c:pt idx="9">
                  <c:v>1663.9348883400221</c:v>
                </c:pt>
                <c:pt idx="10">
                  <c:v>1635.8501118501708</c:v>
                </c:pt>
                <c:pt idx="11">
                  <c:v>1645.0948521430125</c:v>
                </c:pt>
                <c:pt idx="12">
                  <c:v>1227.7439312023046</c:v>
                </c:pt>
                <c:pt idx="13">
                  <c:v>1226.9696476338538</c:v>
                </c:pt>
                <c:pt idx="14">
                  <c:v>1225.58893801826</c:v>
                </c:pt>
                <c:pt idx="15">
                  <c:v>1228.8519132547085</c:v>
                </c:pt>
                <c:pt idx="16">
                  <c:v>1228.9935025905836</c:v>
                </c:pt>
                <c:pt idx="17">
                  <c:v>1918.5901876672665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AF5-4B34-806C-2FF44B46F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R1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Reactor1!$D$24:$Z$24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210.1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220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215</c:v>
                      </c:pt>
                      <c:pt idx="8">
                        <c:v>210</c:v>
                      </c:pt>
                      <c:pt idx="9" formatCode="General">
                        <c:v>205</c:v>
                      </c:pt>
                      <c:pt idx="10" formatCode="General">
                        <c:v>205</c:v>
                      </c:pt>
                      <c:pt idx="11" formatCode="General">
                        <c:v>200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Reactor1!$D$110:$Z$110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97.72848104177335</c:v>
                      </c:pt>
                      <c:pt idx="1">
                        <c:v>96.881258978468452</c:v>
                      </c:pt>
                      <c:pt idx="2">
                        <c:v>96.882478606216097</c:v>
                      </c:pt>
                      <c:pt idx="3">
                        <c:v>96.846169522640523</c:v>
                      </c:pt>
                      <c:pt idx="4">
                        <c:v>96.849353947658642</c:v>
                      </c:pt>
                      <c:pt idx="5">
                        <c:v>97.283906856055154</c:v>
                      </c:pt>
                      <c:pt idx="6">
                        <c:v>97.30677011299008</c:v>
                      </c:pt>
                      <c:pt idx="7">
                        <c:v>97.309692693388854</c:v>
                      </c:pt>
                      <c:pt idx="8">
                        <c:v>97.641423589641789</c:v>
                      </c:pt>
                      <c:pt idx="9">
                        <c:v>97.84253294779495</c:v>
                      </c:pt>
                      <c:pt idx="10">
                        <c:v>97.836222436835186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3AF5-4B34-806C-2FF44B46F5D4}"/>
                  </c:ext>
                </c:extLst>
              </c15:ser>
            </c15:filteredScatterSeries>
            <c15:filteredScatterSeries>
              <c15:ser>
                <c:idx val="4"/>
                <c:order val="1"/>
                <c:tx>
                  <c:v>R3 (ATHOS-3)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220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214.9</c:v>
                      </c:pt>
                      <c:pt idx="4">
                        <c:v>215.1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205</c:v>
                      </c:pt>
                      <c:pt idx="8" formatCode="General">
                        <c:v>200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69.982379608038855</c:v>
                      </c:pt>
                      <c:pt idx="1">
                        <c:v>67.7908294888651</c:v>
                      </c:pt>
                      <c:pt idx="2">
                        <c:v>66.646383237470587</c:v>
                      </c:pt>
                      <c:pt idx="3">
                        <c:v>69.803511653968144</c:v>
                      </c:pt>
                      <c:pt idx="4">
                        <c:v>69.353342210613363</c:v>
                      </c:pt>
                      <c:pt idx="5">
                        <c:v>69.456723541661546</c:v>
                      </c:pt>
                      <c:pt idx="6">
                        <c:v>73.364487620791806</c:v>
                      </c:pt>
                      <c:pt idx="7">
                        <c:v>77.709511603127169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AF5-4B34-806C-2FF44B46F5D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R2 (ATHOS-1)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>
                        <c:v>205</c:v>
                      </c:pt>
                      <c:pt idx="10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94.214051404765215</c:v>
                      </c:pt>
                      <c:pt idx="1">
                        <c:v>88.470507926680824</c:v>
                      </c:pt>
                      <c:pt idx="2">
                        <c:v>85.009422414884099</c:v>
                      </c:pt>
                      <c:pt idx="3">
                        <c:v>84.564524079799952</c:v>
                      </c:pt>
                      <c:pt idx="4">
                        <c:v>88.066401395370846</c:v>
                      </c:pt>
                      <c:pt idx="5">
                        <c:v>87.973764291405516</c:v>
                      </c:pt>
                      <c:pt idx="6">
                        <c:v>88.017330179592392</c:v>
                      </c:pt>
                      <c:pt idx="7">
                        <c:v>90.984965081382015</c:v>
                      </c:pt>
                      <c:pt idx="8">
                        <c:v>93.597152160670021</c:v>
                      </c:pt>
                      <c:pt idx="9">
                        <c:v>93.512183472967209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AF5-4B34-806C-2FF44B46F5D4}"/>
                  </c:ext>
                </c:extLst>
              </c15:ser>
            </c15:filteredScatterSeries>
          </c:ext>
        </c:extLst>
      </c:scatterChart>
      <c:valAx>
        <c:axId val="2015652768"/>
        <c:scaling>
          <c:orientation val="minMax"/>
          <c:max val="230"/>
          <c:min val="18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Temperature,</a:t>
                </a:r>
                <a:r>
                  <a:rPr lang="en-IN" sz="1200" b="1" baseline="0">
                    <a:latin typeface="Aptos" panose="020B0004020202020204" pitchFamily="34" charset="0"/>
                  </a:rPr>
                  <a:t> oC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5"/>
      </c:valAx>
      <c:valAx>
        <c:axId val="2015650848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(iC7/(iC7+nC7)x</a:t>
                </a:r>
                <a:r>
                  <a:rPr lang="en-IN" sz="1200" b="1" baseline="0">
                    <a:latin typeface="Aptos" panose="020B0004020202020204" pitchFamily="34" charset="0"/>
                  </a:rPr>
                  <a:t> C7+</a:t>
                </a:r>
                <a:r>
                  <a:rPr lang="en-IN" sz="1200" b="1">
                    <a:latin typeface="Aptos" panose="020B0004020202020204" pitchFamily="34" charset="0"/>
                  </a:rPr>
                  <a:t>,</a:t>
                </a:r>
                <a:r>
                  <a:rPr lang="en-IN" sz="1200" b="1" baseline="0">
                    <a:latin typeface="Aptos" panose="020B0004020202020204" pitchFamily="34" charset="0"/>
                  </a:rPr>
                  <a:t> wof%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8634443161640795E-2"/>
              <c:y val="0.261995787621716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5495609449845499"/>
          <c:y val="0.12376939567911292"/>
          <c:w val="0.76631754112816941"/>
          <c:h val="6.5883338522183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1"/>
          <c:order val="3"/>
          <c:tx>
            <c:v>R5 (Z700-A)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Reactor5!$D$114:$L$114</c:f>
              <c:numCache>
                <c:formatCode>0.0</c:formatCode>
                <c:ptCount val="9"/>
                <c:pt idx="1">
                  <c:v>47.8</c:v>
                </c:pt>
                <c:pt idx="4">
                  <c:v>46.5</c:v>
                </c:pt>
                <c:pt idx="6">
                  <c:v>45.6</c:v>
                </c:pt>
                <c:pt idx="8">
                  <c:v>44.9</c:v>
                </c:pt>
              </c:numCache>
            </c:numRef>
          </c:xVal>
          <c:yVal>
            <c:numRef>
              <c:f>Reactor5!$D$110:$L$110</c:f>
              <c:numCache>
                <c:formatCode>0.00</c:formatCode>
                <c:ptCount val="9"/>
                <c:pt idx="0">
                  <c:v>97.268017363458597</c:v>
                </c:pt>
                <c:pt idx="1">
                  <c:v>95.822064622456182</c:v>
                </c:pt>
                <c:pt idx="2">
                  <c:v>95.839348974857913</c:v>
                </c:pt>
                <c:pt idx="3">
                  <c:v>95.849168740156983</c:v>
                </c:pt>
                <c:pt idx="4">
                  <c:v>96.592703378279367</c:v>
                </c:pt>
                <c:pt idx="5">
                  <c:v>96.552375170864337</c:v>
                </c:pt>
                <c:pt idx="6">
                  <c:v>97.089626527890147</c:v>
                </c:pt>
                <c:pt idx="7">
                  <c:v>97.098951460587116</c:v>
                </c:pt>
                <c:pt idx="8">
                  <c:v>97.503537946657417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E2-4D11-9865-54F5EF7A6E94}"/>
            </c:ext>
          </c:extLst>
        </c:ser>
        <c:ser>
          <c:idx val="3"/>
          <c:order val="4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Reactor6!$D$114:$Z$114</c:f>
              <c:numCache>
                <c:formatCode>0.0</c:formatCode>
                <c:ptCount val="23"/>
                <c:pt idx="2">
                  <c:v>56.6</c:v>
                </c:pt>
                <c:pt idx="3">
                  <c:v>52.9</c:v>
                </c:pt>
                <c:pt idx="4">
                  <c:v>52.2</c:v>
                </c:pt>
                <c:pt idx="5">
                  <c:v>52.3</c:v>
                </c:pt>
                <c:pt idx="7">
                  <c:v>50.1</c:v>
                </c:pt>
                <c:pt idx="8">
                  <c:v>48.2</c:v>
                </c:pt>
                <c:pt idx="9">
                  <c:v>47</c:v>
                </c:pt>
              </c:numCache>
            </c:numRef>
          </c:xVal>
          <c:yVal>
            <c:numRef>
              <c:f>Reactor6!$D$110:$Z$110</c:f>
              <c:numCache>
                <c:formatCode>0.00</c:formatCode>
                <c:ptCount val="23"/>
                <c:pt idx="0">
                  <c:v>93.572645992029351</c:v>
                </c:pt>
                <c:pt idx="1">
                  <c:v>85.725888653170244</c:v>
                </c:pt>
                <c:pt idx="2">
                  <c:v>84.998885340904465</c:v>
                </c:pt>
                <c:pt idx="3">
                  <c:v>88.540114775625511</c:v>
                </c:pt>
                <c:pt idx="4">
                  <c:v>88.035883509216902</c:v>
                </c:pt>
                <c:pt idx="5">
                  <c:v>87.880760727930465</c:v>
                </c:pt>
                <c:pt idx="6">
                  <c:v>90.81900288653739</c:v>
                </c:pt>
                <c:pt idx="7">
                  <c:v>90.737785087759988</c:v>
                </c:pt>
                <c:pt idx="8">
                  <c:v>93.31101470180387</c:v>
                </c:pt>
                <c:pt idx="9">
                  <c:v>94.801062988510139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E2-4D11-9865-54F5EF7A6E94}"/>
            </c:ext>
          </c:extLst>
        </c:ser>
        <c:ser>
          <c:idx val="5"/>
          <c:order val="5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Reactor7!$D$114:$V$114</c:f>
              <c:numCache>
                <c:formatCode>0.0</c:formatCode>
                <c:ptCount val="19"/>
                <c:pt idx="1">
                  <c:v>65.099999999999994</c:v>
                </c:pt>
                <c:pt idx="2">
                  <c:v>65.099999999999994</c:v>
                </c:pt>
                <c:pt idx="3">
                  <c:v>62.7</c:v>
                </c:pt>
                <c:pt idx="4">
                  <c:v>62.8</c:v>
                </c:pt>
                <c:pt idx="6">
                  <c:v>60.6</c:v>
                </c:pt>
                <c:pt idx="8">
                  <c:v>57.2</c:v>
                </c:pt>
                <c:pt idx="9">
                  <c:v>55.3</c:v>
                </c:pt>
                <c:pt idx="10" formatCode="General">
                  <c:v>55.7</c:v>
                </c:pt>
                <c:pt idx="13" formatCode="General">
                  <c:v>60.6</c:v>
                </c:pt>
                <c:pt idx="15" formatCode="General">
                  <c:v>60.6</c:v>
                </c:pt>
                <c:pt idx="17" formatCode="General">
                  <c:v>51.8</c:v>
                </c:pt>
              </c:numCache>
            </c:numRef>
          </c:xVal>
          <c:yVal>
            <c:numRef>
              <c:f>Reactor7!$D$110:$U$110</c:f>
              <c:numCache>
                <c:formatCode>0.00</c:formatCode>
                <c:ptCount val="18"/>
                <c:pt idx="0">
                  <c:v>85.236597561107786</c:v>
                </c:pt>
                <c:pt idx="1">
                  <c:v>69.948330051261792</c:v>
                </c:pt>
                <c:pt idx="2">
                  <c:v>67.351474035393977</c:v>
                </c:pt>
                <c:pt idx="3">
                  <c:v>70.110470681361662</c:v>
                </c:pt>
                <c:pt idx="4">
                  <c:v>69.900343771786993</c:v>
                </c:pt>
                <c:pt idx="5">
                  <c:v>69.591370232765513</c:v>
                </c:pt>
                <c:pt idx="6">
                  <c:v>73.35983369276363</c:v>
                </c:pt>
                <c:pt idx="7">
                  <c:v>73.333467434979781</c:v>
                </c:pt>
                <c:pt idx="8">
                  <c:v>78.343293282600541</c:v>
                </c:pt>
                <c:pt idx="9">
                  <c:v>81.796365534975649</c:v>
                </c:pt>
                <c:pt idx="10">
                  <c:v>81.287032109003007</c:v>
                </c:pt>
                <c:pt idx="11">
                  <c:v>81.425659311126424</c:v>
                </c:pt>
                <c:pt idx="13">
                  <c:v>73.247917962850622</c:v>
                </c:pt>
                <c:pt idx="14">
                  <c:v>73.215402188749664</c:v>
                </c:pt>
                <c:pt idx="15">
                  <c:v>73.247093055150216</c:v>
                </c:pt>
                <c:pt idx="16">
                  <c:v>73.37366948975793</c:v>
                </c:pt>
                <c:pt idx="17">
                  <c:v>87.476906875800807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E2-4D11-9865-54F5EF7A6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R1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Reactor1!$D$24:$Z$24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210.1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220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215</c:v>
                      </c:pt>
                      <c:pt idx="8">
                        <c:v>210</c:v>
                      </c:pt>
                      <c:pt idx="9" formatCode="General">
                        <c:v>205</c:v>
                      </c:pt>
                      <c:pt idx="10" formatCode="General">
                        <c:v>205</c:v>
                      </c:pt>
                      <c:pt idx="11" formatCode="General">
                        <c:v>200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Reactor1!$D$110:$Z$110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97.72848104177335</c:v>
                      </c:pt>
                      <c:pt idx="1">
                        <c:v>96.881258978468452</c:v>
                      </c:pt>
                      <c:pt idx="2">
                        <c:v>96.882478606216097</c:v>
                      </c:pt>
                      <c:pt idx="3">
                        <c:v>96.846169522640523</c:v>
                      </c:pt>
                      <c:pt idx="4">
                        <c:v>96.849353947658642</c:v>
                      </c:pt>
                      <c:pt idx="5">
                        <c:v>97.283906856055154</c:v>
                      </c:pt>
                      <c:pt idx="6">
                        <c:v>97.30677011299008</c:v>
                      </c:pt>
                      <c:pt idx="7">
                        <c:v>97.309692693388854</c:v>
                      </c:pt>
                      <c:pt idx="8">
                        <c:v>97.641423589641789</c:v>
                      </c:pt>
                      <c:pt idx="9">
                        <c:v>97.84253294779495</c:v>
                      </c:pt>
                      <c:pt idx="10">
                        <c:v>97.836222436835186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78E2-4D11-9865-54F5EF7A6E94}"/>
                  </c:ext>
                </c:extLst>
              </c15:ser>
            </c15:filteredScatterSeries>
            <c15:filteredScatterSeries>
              <c15:ser>
                <c:idx val="4"/>
                <c:order val="1"/>
                <c:tx>
                  <c:v>R3 (ATHOS-3)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220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214.9</c:v>
                      </c:pt>
                      <c:pt idx="4">
                        <c:v>215.1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205</c:v>
                      </c:pt>
                      <c:pt idx="8" formatCode="General">
                        <c:v>200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69.982379608038855</c:v>
                      </c:pt>
                      <c:pt idx="1">
                        <c:v>67.7908294888651</c:v>
                      </c:pt>
                      <c:pt idx="2">
                        <c:v>66.646383237470587</c:v>
                      </c:pt>
                      <c:pt idx="3">
                        <c:v>69.803511653968144</c:v>
                      </c:pt>
                      <c:pt idx="4">
                        <c:v>69.353342210613363</c:v>
                      </c:pt>
                      <c:pt idx="5">
                        <c:v>69.456723541661546</c:v>
                      </c:pt>
                      <c:pt idx="6">
                        <c:v>73.364487620791806</c:v>
                      </c:pt>
                      <c:pt idx="7">
                        <c:v>77.709511603127169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8E2-4D11-9865-54F5EF7A6E9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R2 (ATHOS-1)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>
                        <c:v>205</c:v>
                      </c:pt>
                      <c:pt idx="10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94.214051404765215</c:v>
                      </c:pt>
                      <c:pt idx="1">
                        <c:v>88.470507926680824</c:v>
                      </c:pt>
                      <c:pt idx="2">
                        <c:v>85.009422414884099</c:v>
                      </c:pt>
                      <c:pt idx="3">
                        <c:v>84.564524079799952</c:v>
                      </c:pt>
                      <c:pt idx="4">
                        <c:v>88.066401395370846</c:v>
                      </c:pt>
                      <c:pt idx="5">
                        <c:v>87.973764291405516</c:v>
                      </c:pt>
                      <c:pt idx="6">
                        <c:v>88.017330179592392</c:v>
                      </c:pt>
                      <c:pt idx="7">
                        <c:v>90.984965081382015</c:v>
                      </c:pt>
                      <c:pt idx="8">
                        <c:v>93.597152160670021</c:v>
                      </c:pt>
                      <c:pt idx="9">
                        <c:v>93.512183472967209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8E2-4D11-9865-54F5EF7A6E94}"/>
                  </c:ext>
                </c:extLst>
              </c15:ser>
            </c15:filteredScatterSeries>
          </c:ext>
        </c:extLst>
      </c:scatterChart>
      <c:valAx>
        <c:axId val="2015652768"/>
        <c:scaling>
          <c:orientation val="minMax"/>
          <c:max val="7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RON (Estimated)</a:t>
                </a: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2"/>
      </c:valAx>
      <c:valAx>
        <c:axId val="201565084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Isomerate</a:t>
                </a:r>
                <a:r>
                  <a:rPr lang="en-IN" sz="1200" b="1" baseline="0">
                    <a:latin typeface="Aptos" panose="020B0004020202020204" pitchFamily="34" charset="0"/>
                  </a:rPr>
                  <a:t> Yield (C5+), wof%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2.5666962672684323E-2"/>
              <c:y val="0.251752513903698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5495609449845499"/>
          <c:y val="0.12376939567911292"/>
          <c:w val="0.78831853457575607"/>
          <c:h val="6.5883338522183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0"/>
          <c:order val="0"/>
          <c:tx>
            <c:v>R1 (Z-700A)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Reactor1!$D$24:$Z$24</c:f>
              <c:numCache>
                <c:formatCode>0</c:formatCode>
                <c:ptCount val="23"/>
                <c:pt idx="0">
                  <c:v>210.1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215</c:v>
                </c:pt>
                <c:pt idx="6">
                  <c:v>215</c:v>
                </c:pt>
                <c:pt idx="7">
                  <c:v>215</c:v>
                </c:pt>
                <c:pt idx="8">
                  <c:v>210</c:v>
                </c:pt>
                <c:pt idx="9" formatCode="General">
                  <c:v>205</c:v>
                </c:pt>
                <c:pt idx="10" formatCode="General">
                  <c:v>205</c:v>
                </c:pt>
                <c:pt idx="11" formatCode="General">
                  <c:v>200</c:v>
                </c:pt>
              </c:numCache>
            </c:numRef>
          </c:xVal>
          <c:yVal>
            <c:numRef>
              <c:f>Reactor1!$D$110:$Z$110</c:f>
              <c:numCache>
                <c:formatCode>0.00</c:formatCode>
                <c:ptCount val="23"/>
                <c:pt idx="0">
                  <c:v>97.72848104177335</c:v>
                </c:pt>
                <c:pt idx="1">
                  <c:v>96.881258978468452</c:v>
                </c:pt>
                <c:pt idx="2">
                  <c:v>96.882478606216097</c:v>
                </c:pt>
                <c:pt idx="3">
                  <c:v>96.846169522640523</c:v>
                </c:pt>
                <c:pt idx="4">
                  <c:v>96.849353947658642</c:v>
                </c:pt>
                <c:pt idx="5">
                  <c:v>97.283906856055154</c:v>
                </c:pt>
                <c:pt idx="6">
                  <c:v>97.30677011299008</c:v>
                </c:pt>
                <c:pt idx="7">
                  <c:v>97.309692693388854</c:v>
                </c:pt>
                <c:pt idx="8">
                  <c:v>97.641423589641789</c:v>
                </c:pt>
                <c:pt idx="9">
                  <c:v>97.84253294779495</c:v>
                </c:pt>
                <c:pt idx="10">
                  <c:v>97.836222436835186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96-4B8D-B9A9-0A123CDAA612}"/>
            </c:ext>
          </c:extLst>
        </c:ser>
        <c:ser>
          <c:idx val="1"/>
          <c:order val="1"/>
          <c:tx>
            <c:v>R5 (Z-700A)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Reactor5!$D$24:$Z$24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  <c:pt idx="9" formatCode="General">
                  <c:v>200</c:v>
                </c:pt>
              </c:numCache>
            </c:numRef>
          </c:xVal>
          <c:yVal>
            <c:numRef>
              <c:f>Reactor5!$D$110:$Z$110</c:f>
              <c:numCache>
                <c:formatCode>0.00</c:formatCode>
                <c:ptCount val="23"/>
                <c:pt idx="0">
                  <c:v>97.268017363458597</c:v>
                </c:pt>
                <c:pt idx="1">
                  <c:v>95.822064622456182</c:v>
                </c:pt>
                <c:pt idx="2">
                  <c:v>95.839348974857913</c:v>
                </c:pt>
                <c:pt idx="3">
                  <c:v>95.849168740156983</c:v>
                </c:pt>
                <c:pt idx="4">
                  <c:v>96.592703378279367</c:v>
                </c:pt>
                <c:pt idx="5">
                  <c:v>96.552375170864337</c:v>
                </c:pt>
                <c:pt idx="6">
                  <c:v>97.089626527890147</c:v>
                </c:pt>
                <c:pt idx="7">
                  <c:v>97.098951460587116</c:v>
                </c:pt>
                <c:pt idx="8">
                  <c:v>97.503537946657417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96-4B8D-B9A9-0A123CDAA612}"/>
            </c:ext>
          </c:extLst>
        </c:ser>
        <c:ser>
          <c:idx val="2"/>
          <c:order val="2"/>
          <c:tx>
            <c:v>R2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Reactor2!$D$24:$Z$24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215</c:v>
                </c:pt>
                <c:pt idx="5">
                  <c:v>215</c:v>
                </c:pt>
                <c:pt idx="6">
                  <c:v>215</c:v>
                </c:pt>
                <c:pt idx="7">
                  <c:v>210</c:v>
                </c:pt>
                <c:pt idx="8">
                  <c:v>205</c:v>
                </c:pt>
                <c:pt idx="9">
                  <c:v>205</c:v>
                </c:pt>
                <c:pt idx="10">
                  <c:v>200</c:v>
                </c:pt>
              </c:numCache>
            </c:numRef>
          </c:xVal>
          <c:yVal>
            <c:numRef>
              <c:f>Reactor2!$D$110:$Z$110</c:f>
              <c:numCache>
                <c:formatCode>0.00</c:formatCode>
                <c:ptCount val="23"/>
                <c:pt idx="0">
                  <c:v>94.214051404765215</c:v>
                </c:pt>
                <c:pt idx="1">
                  <c:v>88.470507926680824</c:v>
                </c:pt>
                <c:pt idx="2">
                  <c:v>85.009422414884099</c:v>
                </c:pt>
                <c:pt idx="3">
                  <c:v>84.564524079799952</c:v>
                </c:pt>
                <c:pt idx="4">
                  <c:v>88.066401395370846</c:v>
                </c:pt>
                <c:pt idx="5">
                  <c:v>87.973764291405516</c:v>
                </c:pt>
                <c:pt idx="6">
                  <c:v>88.017330179592392</c:v>
                </c:pt>
                <c:pt idx="7">
                  <c:v>90.984965081382015</c:v>
                </c:pt>
                <c:pt idx="8">
                  <c:v>93.597152160670021</c:v>
                </c:pt>
                <c:pt idx="9">
                  <c:v>93.512183472967209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96-4B8D-B9A9-0A123CDAA612}"/>
            </c:ext>
          </c:extLst>
        </c:ser>
        <c:ser>
          <c:idx val="3"/>
          <c:order val="3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209.9</c:v>
                </c:pt>
                <c:pt idx="7">
                  <c:v>210</c:v>
                </c:pt>
                <c:pt idx="8">
                  <c:v>205</c:v>
                </c:pt>
                <c:pt idx="9" formatCode="General">
                  <c:v>200</c:v>
                </c:pt>
              </c:numCache>
            </c:numRef>
          </c:xVal>
          <c:yVal>
            <c:numRef>
              <c:f>Reactor6!$D$110:$Z$110</c:f>
              <c:numCache>
                <c:formatCode>0.00</c:formatCode>
                <c:ptCount val="23"/>
                <c:pt idx="0">
                  <c:v>93.572645992029351</c:v>
                </c:pt>
                <c:pt idx="1">
                  <c:v>85.725888653170244</c:v>
                </c:pt>
                <c:pt idx="2">
                  <c:v>84.998885340904465</c:v>
                </c:pt>
                <c:pt idx="3">
                  <c:v>88.540114775625511</c:v>
                </c:pt>
                <c:pt idx="4">
                  <c:v>88.035883509216902</c:v>
                </c:pt>
                <c:pt idx="5">
                  <c:v>87.880760727930465</c:v>
                </c:pt>
                <c:pt idx="6">
                  <c:v>90.81900288653739</c:v>
                </c:pt>
                <c:pt idx="7">
                  <c:v>90.737785087759988</c:v>
                </c:pt>
                <c:pt idx="8">
                  <c:v>93.31101470180387</c:v>
                </c:pt>
                <c:pt idx="9">
                  <c:v>94.801062988510139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596-4B8D-B9A9-0A123CDAA612}"/>
            </c:ext>
          </c:extLst>
        </c:ser>
        <c:ser>
          <c:idx val="5"/>
          <c:order val="4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Reactor7!$D$24:$Z$24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  <c:pt idx="9">
                  <c:v>200</c:v>
                </c:pt>
                <c:pt idx="10" formatCode="General">
                  <c:v>200</c:v>
                </c:pt>
                <c:pt idx="11" formatCode="General">
                  <c:v>200</c:v>
                </c:pt>
                <c:pt idx="12" formatCode="General">
                  <c:v>210</c:v>
                </c:pt>
                <c:pt idx="13" formatCode="General">
                  <c:v>210</c:v>
                </c:pt>
                <c:pt idx="14" formatCode="General">
                  <c:v>210.1</c:v>
                </c:pt>
                <c:pt idx="15" formatCode="General">
                  <c:v>210</c:v>
                </c:pt>
                <c:pt idx="16" formatCode="General">
                  <c:v>210</c:v>
                </c:pt>
                <c:pt idx="17" formatCode="General">
                  <c:v>190.2</c:v>
                </c:pt>
              </c:numCache>
            </c:numRef>
          </c:xVal>
          <c:yVal>
            <c:numRef>
              <c:f>Reactor7!$D$110:$Z$110</c:f>
              <c:numCache>
                <c:formatCode>0.00</c:formatCode>
                <c:ptCount val="23"/>
                <c:pt idx="0">
                  <c:v>85.236597561107786</c:v>
                </c:pt>
                <c:pt idx="1">
                  <c:v>69.948330051261792</c:v>
                </c:pt>
                <c:pt idx="2">
                  <c:v>67.351474035393977</c:v>
                </c:pt>
                <c:pt idx="3">
                  <c:v>70.110470681361662</c:v>
                </c:pt>
                <c:pt idx="4">
                  <c:v>69.900343771786993</c:v>
                </c:pt>
                <c:pt idx="5">
                  <c:v>69.591370232765513</c:v>
                </c:pt>
                <c:pt idx="6">
                  <c:v>73.35983369276363</c:v>
                </c:pt>
                <c:pt idx="7">
                  <c:v>73.333467434979781</c:v>
                </c:pt>
                <c:pt idx="8">
                  <c:v>78.343293282600541</c:v>
                </c:pt>
                <c:pt idx="9">
                  <c:v>81.796365534975649</c:v>
                </c:pt>
                <c:pt idx="10">
                  <c:v>81.287032109003007</c:v>
                </c:pt>
                <c:pt idx="11">
                  <c:v>81.425659311126424</c:v>
                </c:pt>
                <c:pt idx="13">
                  <c:v>73.247917962850622</c:v>
                </c:pt>
                <c:pt idx="14">
                  <c:v>73.215402188749664</c:v>
                </c:pt>
                <c:pt idx="15">
                  <c:v>73.247093055150216</c:v>
                </c:pt>
                <c:pt idx="16">
                  <c:v>73.37366948975793</c:v>
                </c:pt>
                <c:pt idx="17">
                  <c:v>87.476906875800807</c:v>
                </c:pt>
                <c:pt idx="1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596-4B8D-B9A9-0A123CDAA612}"/>
            </c:ext>
          </c:extLst>
        </c:ser>
        <c:ser>
          <c:idx val="4"/>
          <c:order val="5"/>
          <c:tx>
            <c:v>R3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Reactor3!$D$24:$Z$24</c:f>
              <c:numCache>
                <c:formatCode>0</c:formatCode>
                <c:ptCount val="23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214.9</c:v>
                </c:pt>
                <c:pt idx="4">
                  <c:v>215.1</c:v>
                </c:pt>
                <c:pt idx="5">
                  <c:v>215</c:v>
                </c:pt>
                <c:pt idx="6">
                  <c:v>210</c:v>
                </c:pt>
                <c:pt idx="7">
                  <c:v>205</c:v>
                </c:pt>
                <c:pt idx="8" formatCode="General">
                  <c:v>200</c:v>
                </c:pt>
                <c:pt idx="9" formatCode="General">
                  <c:v>200</c:v>
                </c:pt>
              </c:numCache>
            </c:numRef>
          </c:xVal>
          <c:yVal>
            <c:numRef>
              <c:f>Reactor3!$D$110:$Z$110</c:f>
              <c:numCache>
                <c:formatCode>0.00</c:formatCode>
                <c:ptCount val="23"/>
                <c:pt idx="0">
                  <c:v>69.982379608038855</c:v>
                </c:pt>
                <c:pt idx="1">
                  <c:v>67.7908294888651</c:v>
                </c:pt>
                <c:pt idx="2">
                  <c:v>66.646383237470587</c:v>
                </c:pt>
                <c:pt idx="3">
                  <c:v>69.803511653968144</c:v>
                </c:pt>
                <c:pt idx="4">
                  <c:v>69.353342210613363</c:v>
                </c:pt>
                <c:pt idx="5">
                  <c:v>69.456723541661546</c:v>
                </c:pt>
                <c:pt idx="6">
                  <c:v>73.364487620791806</c:v>
                </c:pt>
                <c:pt idx="7">
                  <c:v>77.709511603127169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596-4B8D-B9A9-0A123CDAA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</c:scatterChart>
      <c:valAx>
        <c:axId val="2015652768"/>
        <c:scaling>
          <c:orientation val="minMax"/>
          <c:max val="230"/>
          <c:min val="1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Rx Temperature,</a:t>
                </a:r>
                <a:r>
                  <a:rPr lang="en-IN" sz="1200" b="1" baseline="0">
                    <a:latin typeface="Aptos" panose="020B0004020202020204" pitchFamily="34" charset="0"/>
                  </a:rPr>
                  <a:t> oC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5161610915843864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5"/>
      </c:valAx>
      <c:valAx>
        <c:axId val="2015650848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Isomerate</a:t>
                </a:r>
                <a:r>
                  <a:rPr lang="en-IN" sz="1200" b="1" baseline="0">
                    <a:latin typeface="Aptos" panose="020B0004020202020204" pitchFamily="34" charset="0"/>
                  </a:rPr>
                  <a:t> Yield (C5+), wof%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7426945490230797E-2"/>
              <c:y val="0.255166938476370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908406260781133"/>
          <c:y val="5.5480904225659579E-2"/>
          <c:w val="0.81472656202638793"/>
          <c:h val="0.126645040185357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0"/>
          <c:order val="0"/>
          <c:tx>
            <c:v>R1 (A)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Reactor1!$D$24:$Z$24</c:f>
              <c:numCache>
                <c:formatCode>0</c:formatCode>
                <c:ptCount val="23"/>
                <c:pt idx="0">
                  <c:v>210.1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215</c:v>
                </c:pt>
                <c:pt idx="6">
                  <c:v>215</c:v>
                </c:pt>
                <c:pt idx="7">
                  <c:v>215</c:v>
                </c:pt>
                <c:pt idx="8">
                  <c:v>210</c:v>
                </c:pt>
                <c:pt idx="9" formatCode="General">
                  <c:v>205</c:v>
                </c:pt>
                <c:pt idx="10" formatCode="General">
                  <c:v>205</c:v>
                </c:pt>
                <c:pt idx="11" formatCode="General">
                  <c:v>200</c:v>
                </c:pt>
              </c:numCache>
            </c:numRef>
          </c:xVal>
          <c:yVal>
            <c:numRef>
              <c:f>Reactor1!$D$115:$Z$115</c:f>
              <c:numCache>
                <c:formatCode>0.0</c:formatCode>
                <c:ptCount val="23"/>
                <c:pt idx="1">
                  <c:v>1.6992636481145471</c:v>
                </c:pt>
                <c:pt idx="2">
                  <c:v>1.8550981560720161</c:v>
                </c:pt>
                <c:pt idx="3">
                  <c:v>2.0958183497341927</c:v>
                </c:pt>
                <c:pt idx="4">
                  <c:v>1.6798107848792905</c:v>
                </c:pt>
                <c:pt idx="5">
                  <c:v>1.12747897484087</c:v>
                </c:pt>
                <c:pt idx="6">
                  <c:v>1.0227806794751262</c:v>
                </c:pt>
                <c:pt idx="7">
                  <c:v>1.0101539978096157</c:v>
                </c:pt>
                <c:pt idx="8">
                  <c:v>0.62391963422884911</c:v>
                </c:pt>
                <c:pt idx="9">
                  <c:v>0.56651561427378716</c:v>
                </c:pt>
                <c:pt idx="10">
                  <c:v>0.28405163835206093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CF-44DB-A096-EDCFE31B591B}"/>
            </c:ext>
          </c:extLst>
        </c:ser>
        <c:ser>
          <c:idx val="1"/>
          <c:order val="1"/>
          <c:tx>
            <c:v>R5 (A)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Reactor5!$D$24:$Z$24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  <c:pt idx="9" formatCode="General">
                  <c:v>200</c:v>
                </c:pt>
              </c:numCache>
            </c:numRef>
          </c:xVal>
          <c:yVal>
            <c:numRef>
              <c:f>Reactor5!$D$115:$Z$115</c:f>
              <c:numCache>
                <c:formatCode>0.0</c:formatCode>
                <c:ptCount val="23"/>
                <c:pt idx="1">
                  <c:v>4.3678982438468861</c:v>
                </c:pt>
                <c:pt idx="2">
                  <c:v>4.2438089232574532</c:v>
                </c:pt>
                <c:pt idx="3">
                  <c:v>4.0979468949010416</c:v>
                </c:pt>
                <c:pt idx="4">
                  <c:v>2.9146156967131072</c:v>
                </c:pt>
                <c:pt idx="5">
                  <c:v>2.5784338892336778</c:v>
                </c:pt>
                <c:pt idx="6">
                  <c:v>1.6609568324803785</c:v>
                </c:pt>
                <c:pt idx="7">
                  <c:v>1.5688670466583028</c:v>
                </c:pt>
                <c:pt idx="8">
                  <c:v>1.026194577987956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CF-44DB-A096-EDCFE31B591B}"/>
            </c:ext>
          </c:extLst>
        </c:ser>
        <c:ser>
          <c:idx val="2"/>
          <c:order val="2"/>
          <c:tx>
            <c:v>R2 (B)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Reactor2!$D$24:$Z$24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215</c:v>
                </c:pt>
                <c:pt idx="5">
                  <c:v>215</c:v>
                </c:pt>
                <c:pt idx="6">
                  <c:v>215</c:v>
                </c:pt>
                <c:pt idx="7">
                  <c:v>210</c:v>
                </c:pt>
                <c:pt idx="8">
                  <c:v>205</c:v>
                </c:pt>
                <c:pt idx="9">
                  <c:v>205</c:v>
                </c:pt>
                <c:pt idx="10">
                  <c:v>200</c:v>
                </c:pt>
              </c:numCache>
            </c:numRef>
          </c:xVal>
          <c:yVal>
            <c:numRef>
              <c:f>Reactor2!$D$115:$Z$115</c:f>
              <c:numCache>
                <c:formatCode>0.0</c:formatCode>
                <c:ptCount val="23"/>
                <c:pt idx="2">
                  <c:v>13.608688106973457</c:v>
                </c:pt>
                <c:pt idx="4">
                  <c:v>8.9821661806291075</c:v>
                </c:pt>
                <c:pt idx="5">
                  <c:v>9.0653684356424247</c:v>
                </c:pt>
                <c:pt idx="6">
                  <c:v>8.8200533348818055</c:v>
                </c:pt>
                <c:pt idx="7">
                  <c:v>5.9166543127906044</c:v>
                </c:pt>
                <c:pt idx="8">
                  <c:v>3.5681476951242579</c:v>
                </c:pt>
                <c:pt idx="9">
                  <c:v>3.7217821792155328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CF-44DB-A096-EDCFE31B591B}"/>
            </c:ext>
          </c:extLst>
        </c:ser>
        <c:ser>
          <c:idx val="3"/>
          <c:order val="3"/>
          <c:tx>
            <c:v>R6 (B)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209.9</c:v>
                </c:pt>
                <c:pt idx="7">
                  <c:v>210</c:v>
                </c:pt>
                <c:pt idx="8">
                  <c:v>205</c:v>
                </c:pt>
                <c:pt idx="9" formatCode="General">
                  <c:v>200</c:v>
                </c:pt>
              </c:numCache>
            </c:numRef>
          </c:xVal>
          <c:yVal>
            <c:numRef>
              <c:f>Reactor6!$D$115:$Z$115</c:f>
              <c:numCache>
                <c:formatCode>0.0</c:formatCode>
                <c:ptCount val="23"/>
                <c:pt idx="2">
                  <c:v>19.87876122933006</c:v>
                </c:pt>
                <c:pt idx="3">
                  <c:v>12.052074661359027</c:v>
                </c:pt>
                <c:pt idx="4">
                  <c:v>10.49728232570128</c:v>
                </c:pt>
                <c:pt idx="5">
                  <c:v>10.580725707835462</c:v>
                </c:pt>
                <c:pt idx="7">
                  <c:v>7.1743746460954725</c:v>
                </c:pt>
                <c:pt idx="8">
                  <c:v>4.5538253768838084</c:v>
                </c:pt>
                <c:pt idx="9">
                  <c:v>3.092420251306065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CF-44DB-A096-EDCFE31B591B}"/>
            </c:ext>
          </c:extLst>
        </c:ser>
        <c:ser>
          <c:idx val="5"/>
          <c:order val="4"/>
          <c:tx>
            <c:v>R3 (C)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Reactor7!$D$24:$Z$24</c:f>
              <c:numCache>
                <c:formatCode>0</c:formatCode>
                <c:ptCount val="23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  <c:pt idx="9">
                  <c:v>200</c:v>
                </c:pt>
                <c:pt idx="10" formatCode="General">
                  <c:v>200</c:v>
                </c:pt>
                <c:pt idx="11" formatCode="General">
                  <c:v>200</c:v>
                </c:pt>
                <c:pt idx="12" formatCode="General">
                  <c:v>210</c:v>
                </c:pt>
                <c:pt idx="13" formatCode="General">
                  <c:v>210</c:v>
                </c:pt>
                <c:pt idx="14" formatCode="General">
                  <c:v>210.1</c:v>
                </c:pt>
                <c:pt idx="15" formatCode="General">
                  <c:v>210</c:v>
                </c:pt>
                <c:pt idx="16" formatCode="General">
                  <c:v>210</c:v>
                </c:pt>
                <c:pt idx="17" formatCode="General">
                  <c:v>190.2</c:v>
                </c:pt>
              </c:numCache>
            </c:numRef>
          </c:xVal>
          <c:yVal>
            <c:numRef>
              <c:f>Reactor7!$D$115:$Z$115</c:f>
              <c:numCache>
                <c:formatCode>0.0</c:formatCode>
                <c:ptCount val="23"/>
                <c:pt idx="1">
                  <c:v>39.465097692165969</c:v>
                </c:pt>
                <c:pt idx="2">
                  <c:v>38.697591407018969</c:v>
                </c:pt>
                <c:pt idx="3">
                  <c:v>30.232867756567469</c:v>
                </c:pt>
                <c:pt idx="4">
                  <c:v>30.550995836210795</c:v>
                </c:pt>
                <c:pt idx="5">
                  <c:v>31.046325524182691</c:v>
                </c:pt>
                <c:pt idx="6">
                  <c:v>25.11005718253622</c:v>
                </c:pt>
                <c:pt idx="7">
                  <c:v>25.104892679372082</c:v>
                </c:pt>
                <c:pt idx="8">
                  <c:v>17.565140520615564</c:v>
                </c:pt>
                <c:pt idx="9">
                  <c:v>13.812244907102945</c:v>
                </c:pt>
                <c:pt idx="10">
                  <c:v>14.326593588199218</c:v>
                </c:pt>
                <c:pt idx="11">
                  <c:v>14.223144617426735</c:v>
                </c:pt>
                <c:pt idx="13">
                  <c:v>25.206927890824041</c:v>
                </c:pt>
                <c:pt idx="14">
                  <c:v>25.2731777702251</c:v>
                </c:pt>
                <c:pt idx="15">
                  <c:v>25.237491099033523</c:v>
                </c:pt>
                <c:pt idx="16">
                  <c:v>25.046659364729223</c:v>
                </c:pt>
                <c:pt idx="17">
                  <c:v>7.8747119424207943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CF-44DB-A096-EDCFE31B591B}"/>
            </c:ext>
          </c:extLst>
        </c:ser>
        <c:ser>
          <c:idx val="4"/>
          <c:order val="5"/>
          <c:tx>
            <c:v>R7 (C)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Reactor7!$D$24:$CZ$24</c:f>
              <c:numCache>
                <c:formatCode>0</c:formatCode>
                <c:ptCount val="101"/>
                <c:pt idx="0">
                  <c:v>210</c:v>
                </c:pt>
                <c:pt idx="1">
                  <c:v>220</c:v>
                </c:pt>
                <c:pt idx="2">
                  <c:v>220</c:v>
                </c:pt>
                <c:pt idx="3">
                  <c:v>215</c:v>
                </c:pt>
                <c:pt idx="4">
                  <c:v>215</c:v>
                </c:pt>
                <c:pt idx="5">
                  <c:v>215</c:v>
                </c:pt>
                <c:pt idx="6">
                  <c:v>210</c:v>
                </c:pt>
                <c:pt idx="7">
                  <c:v>210</c:v>
                </c:pt>
                <c:pt idx="8">
                  <c:v>205</c:v>
                </c:pt>
                <c:pt idx="9">
                  <c:v>200</c:v>
                </c:pt>
                <c:pt idx="10" formatCode="General">
                  <c:v>200</c:v>
                </c:pt>
                <c:pt idx="11" formatCode="General">
                  <c:v>200</c:v>
                </c:pt>
                <c:pt idx="12" formatCode="General">
                  <c:v>210</c:v>
                </c:pt>
                <c:pt idx="13" formatCode="General">
                  <c:v>210</c:v>
                </c:pt>
                <c:pt idx="14" formatCode="General">
                  <c:v>210.1</c:v>
                </c:pt>
                <c:pt idx="15" formatCode="General">
                  <c:v>210</c:v>
                </c:pt>
                <c:pt idx="16" formatCode="General">
                  <c:v>210</c:v>
                </c:pt>
                <c:pt idx="17" formatCode="General">
                  <c:v>190.2</c:v>
                </c:pt>
              </c:numCache>
            </c:numRef>
          </c:xVal>
          <c:yVal>
            <c:numRef>
              <c:f>Reactor7!$D$115:$CZ$115</c:f>
              <c:numCache>
                <c:formatCode>0.0</c:formatCode>
                <c:ptCount val="101"/>
                <c:pt idx="1">
                  <c:v>39.465097692165969</c:v>
                </c:pt>
                <c:pt idx="2">
                  <c:v>38.697591407018969</c:v>
                </c:pt>
                <c:pt idx="3">
                  <c:v>30.232867756567469</c:v>
                </c:pt>
                <c:pt idx="4">
                  <c:v>30.550995836210795</c:v>
                </c:pt>
                <c:pt idx="5">
                  <c:v>31.046325524182691</c:v>
                </c:pt>
                <c:pt idx="6">
                  <c:v>25.11005718253622</c:v>
                </c:pt>
                <c:pt idx="7">
                  <c:v>25.104892679372082</c:v>
                </c:pt>
                <c:pt idx="8">
                  <c:v>17.565140520615564</c:v>
                </c:pt>
                <c:pt idx="9">
                  <c:v>13.812244907102945</c:v>
                </c:pt>
                <c:pt idx="10">
                  <c:v>14.326593588199218</c:v>
                </c:pt>
                <c:pt idx="11">
                  <c:v>14.223144617426735</c:v>
                </c:pt>
                <c:pt idx="13">
                  <c:v>25.206927890824041</c:v>
                </c:pt>
                <c:pt idx="14">
                  <c:v>25.2731777702251</c:v>
                </c:pt>
                <c:pt idx="15">
                  <c:v>25.237491099033523</c:v>
                </c:pt>
                <c:pt idx="16">
                  <c:v>25.046659364729223</c:v>
                </c:pt>
                <c:pt idx="17">
                  <c:v>7.8747119424207943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ACF-44DB-A096-EDCFE31B5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</c:scatterChart>
      <c:valAx>
        <c:axId val="2015652768"/>
        <c:scaling>
          <c:orientation val="minMax"/>
          <c:max val="230"/>
          <c:min val="19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Rx Temperature,</a:t>
                </a:r>
                <a:r>
                  <a:rPr lang="en-IN" sz="1200" b="1" baseline="0">
                    <a:latin typeface="Aptos" panose="020B0004020202020204" pitchFamily="34" charset="0"/>
                  </a:rPr>
                  <a:t> oC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4695145713799828"/>
              <c:y val="0.879026937390207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crossAx val="2015650848"/>
        <c:crosses val="autoZero"/>
        <c:crossBetween val="midCat"/>
        <c:majorUnit val="5"/>
      </c:valAx>
      <c:valAx>
        <c:axId val="201565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nC6 Converion,</a:t>
                </a:r>
                <a:r>
                  <a:rPr lang="en-IN" sz="1200" b="1" baseline="0">
                    <a:latin typeface="Aptos" panose="020B0004020202020204" pitchFamily="34" charset="0"/>
                  </a:rPr>
                  <a:t> wt%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742686578786239E-2"/>
              <c:y val="0.323455429929824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908406260781133"/>
          <c:y val="9.6453999097731585E-2"/>
          <c:w val="0.81472656202638793"/>
          <c:h val="8.567194531328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78544483118236"/>
          <c:y val="0.21545207250194515"/>
          <c:w val="0.81607404337615697"/>
          <c:h val="0.61639907794405402"/>
        </c:manualLayout>
      </c:layout>
      <c:scatterChart>
        <c:scatterStyle val="smoothMarker"/>
        <c:varyColors val="0"/>
        <c:ser>
          <c:idx val="1"/>
          <c:order val="3"/>
          <c:tx>
            <c:v>R5 (Z700-A)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Reactor5!$D$110:$L$110</c:f>
              <c:numCache>
                <c:formatCode>0.00</c:formatCode>
                <c:ptCount val="9"/>
                <c:pt idx="0">
                  <c:v>97.268017363458597</c:v>
                </c:pt>
                <c:pt idx="1">
                  <c:v>95.822064622456182</c:v>
                </c:pt>
                <c:pt idx="2">
                  <c:v>95.839348974857913</c:v>
                </c:pt>
                <c:pt idx="3">
                  <c:v>95.849168740156983</c:v>
                </c:pt>
                <c:pt idx="4">
                  <c:v>96.592703378279367</c:v>
                </c:pt>
                <c:pt idx="5">
                  <c:v>96.552375170864337</c:v>
                </c:pt>
                <c:pt idx="6">
                  <c:v>97.089626527890147</c:v>
                </c:pt>
                <c:pt idx="7">
                  <c:v>97.098951460587116</c:v>
                </c:pt>
                <c:pt idx="8">
                  <c:v>97.503537946657417</c:v>
                </c:pt>
              </c:numCache>
            </c:numRef>
          </c:xVal>
          <c:yVal>
            <c:numRef>
              <c:f>Reactor5!$D$141:$L$141</c:f>
              <c:numCache>
                <c:formatCode>0.00</c:formatCode>
                <c:ptCount val="9"/>
                <c:pt idx="1">
                  <c:v>39.231874617935176</c:v>
                </c:pt>
                <c:pt idx="2">
                  <c:v>39.203091426533454</c:v>
                </c:pt>
                <c:pt idx="3">
                  <c:v>39.116743158736668</c:v>
                </c:pt>
                <c:pt idx="4">
                  <c:v>37.955642070701693</c:v>
                </c:pt>
                <c:pt idx="5">
                  <c:v>37.973333770237026</c:v>
                </c:pt>
                <c:pt idx="6">
                  <c:v>37.2059094494956</c:v>
                </c:pt>
                <c:pt idx="7">
                  <c:v>37.206832323078821</c:v>
                </c:pt>
                <c:pt idx="8">
                  <c:v>36.60989464469867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E6-4918-B075-33718C985828}"/>
            </c:ext>
          </c:extLst>
        </c:ser>
        <c:ser>
          <c:idx val="3"/>
          <c:order val="4"/>
          <c:tx>
            <c:v>R6 (ATHOS-1)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Reactor6!$D$110:$Z$110</c:f>
              <c:numCache>
                <c:formatCode>0.00</c:formatCode>
                <c:ptCount val="23"/>
                <c:pt idx="0">
                  <c:v>93.572645992029351</c:v>
                </c:pt>
                <c:pt idx="1">
                  <c:v>85.725888653170244</c:v>
                </c:pt>
                <c:pt idx="2">
                  <c:v>84.998885340904465</c:v>
                </c:pt>
                <c:pt idx="3">
                  <c:v>88.540114775625511</c:v>
                </c:pt>
                <c:pt idx="4">
                  <c:v>88.035883509216902</c:v>
                </c:pt>
                <c:pt idx="5">
                  <c:v>87.880760727930465</c:v>
                </c:pt>
                <c:pt idx="6">
                  <c:v>90.81900288653739</c:v>
                </c:pt>
                <c:pt idx="7">
                  <c:v>90.737785087759988</c:v>
                </c:pt>
                <c:pt idx="8">
                  <c:v>93.31101470180387</c:v>
                </c:pt>
                <c:pt idx="9">
                  <c:v>94.801062988510139</c:v>
                </c:pt>
              </c:numCache>
            </c:numRef>
          </c:xVal>
          <c:yVal>
            <c:numRef>
              <c:f>Reactor6!$D$141:$M$141</c:f>
              <c:numCache>
                <c:formatCode>0.00</c:formatCode>
                <c:ptCount val="10"/>
                <c:pt idx="1">
                  <c:v>52.796954978633273</c:v>
                </c:pt>
                <c:pt idx="2">
                  <c:v>51.362365293619796</c:v>
                </c:pt>
                <c:pt idx="3">
                  <c:v>46.389754462066755</c:v>
                </c:pt>
                <c:pt idx="4">
                  <c:v>45.132120137578006</c:v>
                </c:pt>
                <c:pt idx="5">
                  <c:v>45.238468320089751</c:v>
                </c:pt>
                <c:pt idx="6">
                  <c:v>42.724510804537061</c:v>
                </c:pt>
                <c:pt idx="7">
                  <c:v>42.814127581150146</c:v>
                </c:pt>
                <c:pt idx="8">
                  <c:v>40.627971079455001</c:v>
                </c:pt>
                <c:pt idx="9">
                  <c:v>39.161827976120101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E6-4918-B075-33718C985828}"/>
            </c:ext>
          </c:extLst>
        </c:ser>
        <c:ser>
          <c:idx val="5"/>
          <c:order val="5"/>
          <c:tx>
            <c:v>R7 (ATHOS-3)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Reactor7!$D$110:$V$110</c:f>
              <c:numCache>
                <c:formatCode>0.00</c:formatCode>
                <c:ptCount val="19"/>
                <c:pt idx="0">
                  <c:v>85.236597561107786</c:v>
                </c:pt>
                <c:pt idx="1">
                  <c:v>69.948330051261792</c:v>
                </c:pt>
                <c:pt idx="2">
                  <c:v>67.351474035393977</c:v>
                </c:pt>
                <c:pt idx="3">
                  <c:v>70.110470681361662</c:v>
                </c:pt>
                <c:pt idx="4">
                  <c:v>69.900343771786993</c:v>
                </c:pt>
                <c:pt idx="5">
                  <c:v>69.591370232765513</c:v>
                </c:pt>
                <c:pt idx="6">
                  <c:v>73.35983369276363</c:v>
                </c:pt>
                <c:pt idx="7">
                  <c:v>73.333467434979781</c:v>
                </c:pt>
                <c:pt idx="8">
                  <c:v>78.343293282600541</c:v>
                </c:pt>
                <c:pt idx="9">
                  <c:v>81.796365534975649</c:v>
                </c:pt>
                <c:pt idx="10">
                  <c:v>81.287032109003007</c:v>
                </c:pt>
                <c:pt idx="11">
                  <c:v>81.425659311126424</c:v>
                </c:pt>
                <c:pt idx="13">
                  <c:v>73.247917962850622</c:v>
                </c:pt>
                <c:pt idx="14">
                  <c:v>73.215402188749664</c:v>
                </c:pt>
                <c:pt idx="15">
                  <c:v>73.247093055150216</c:v>
                </c:pt>
                <c:pt idx="16">
                  <c:v>73.37366948975793</c:v>
                </c:pt>
                <c:pt idx="17">
                  <c:v>87.476906875800807</c:v>
                </c:pt>
                <c:pt idx="18">
                  <c:v>0</c:v>
                </c:pt>
              </c:numCache>
            </c:numRef>
          </c:xVal>
          <c:yVal>
            <c:numRef>
              <c:f>Reactor7!$D$141:$U$141</c:f>
              <c:numCache>
                <c:formatCode>0.00</c:formatCode>
                <c:ptCount val="18"/>
                <c:pt idx="1">
                  <c:v>59.275647915860027</c:v>
                </c:pt>
                <c:pt idx="2">
                  <c:v>58.030146161466455</c:v>
                </c:pt>
                <c:pt idx="3">
                  <c:v>54.470328296259162</c:v>
                </c:pt>
                <c:pt idx="4">
                  <c:v>54.618110818387386</c:v>
                </c:pt>
                <c:pt idx="5">
                  <c:v>54.779355830973742</c:v>
                </c:pt>
                <c:pt idx="6">
                  <c:v>52.748332328242476</c:v>
                </c:pt>
                <c:pt idx="7">
                  <c:v>52.77932147671023</c:v>
                </c:pt>
                <c:pt idx="8">
                  <c:v>49.64131680424002</c:v>
                </c:pt>
                <c:pt idx="9">
                  <c:v>47.984278102247579</c:v>
                </c:pt>
                <c:pt idx="10">
                  <c:v>48.282343163515826</c:v>
                </c:pt>
                <c:pt idx="11">
                  <c:v>48.228181243870026</c:v>
                </c:pt>
                <c:pt idx="12">
                  <c:v>0</c:v>
                </c:pt>
                <c:pt idx="13">
                  <c:v>52.832598075231616</c:v>
                </c:pt>
                <c:pt idx="14">
                  <c:v>52.856622283626919</c:v>
                </c:pt>
                <c:pt idx="15">
                  <c:v>52.846996892626649</c:v>
                </c:pt>
                <c:pt idx="16">
                  <c:v>52.774272832011761</c:v>
                </c:pt>
                <c:pt idx="17">
                  <c:v>44.294462890972824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E6-4918-B075-33718C985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652768"/>
        <c:axId val="20156508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R1 (Z-700A)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Reactor1!$D$24:$Z$24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210.1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220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215</c:v>
                      </c:pt>
                      <c:pt idx="8">
                        <c:v>210</c:v>
                      </c:pt>
                      <c:pt idx="9" formatCode="General">
                        <c:v>205</c:v>
                      </c:pt>
                      <c:pt idx="10" formatCode="General">
                        <c:v>205</c:v>
                      </c:pt>
                      <c:pt idx="11" formatCode="General">
                        <c:v>200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Reactor1!$D$110:$Z$110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97.72848104177335</c:v>
                      </c:pt>
                      <c:pt idx="1">
                        <c:v>96.881258978468452</c:v>
                      </c:pt>
                      <c:pt idx="2">
                        <c:v>96.882478606216097</c:v>
                      </c:pt>
                      <c:pt idx="3">
                        <c:v>96.846169522640523</c:v>
                      </c:pt>
                      <c:pt idx="4">
                        <c:v>96.849353947658642</c:v>
                      </c:pt>
                      <c:pt idx="5">
                        <c:v>97.283906856055154</c:v>
                      </c:pt>
                      <c:pt idx="6">
                        <c:v>97.30677011299008</c:v>
                      </c:pt>
                      <c:pt idx="7">
                        <c:v>97.309692693388854</c:v>
                      </c:pt>
                      <c:pt idx="8">
                        <c:v>97.641423589641789</c:v>
                      </c:pt>
                      <c:pt idx="9">
                        <c:v>97.84253294779495</c:v>
                      </c:pt>
                      <c:pt idx="10">
                        <c:v>97.836222436835186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6CE6-4918-B075-33718C985828}"/>
                  </c:ext>
                </c:extLst>
              </c15:ser>
            </c15:filteredScatterSeries>
            <c15:filteredScatterSeries>
              <c15:ser>
                <c:idx val="4"/>
                <c:order val="1"/>
                <c:tx>
                  <c:v>R3 (ATHOS-3)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noFill/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220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214.9</c:v>
                      </c:pt>
                      <c:pt idx="4">
                        <c:v>215.1</c:v>
                      </c:pt>
                      <c:pt idx="5">
                        <c:v>215</c:v>
                      </c:pt>
                      <c:pt idx="6">
                        <c:v>210</c:v>
                      </c:pt>
                      <c:pt idx="7">
                        <c:v>205</c:v>
                      </c:pt>
                      <c:pt idx="8" formatCode="General">
                        <c:v>200</c:v>
                      </c:pt>
                      <c:pt idx="9" formatCode="General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Reactor3!$D$110:$Z$110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69.982379608038855</c:v>
                      </c:pt>
                      <c:pt idx="1">
                        <c:v>67.7908294888651</c:v>
                      </c:pt>
                      <c:pt idx="2">
                        <c:v>66.646383237470587</c:v>
                      </c:pt>
                      <c:pt idx="3">
                        <c:v>69.803511653968144</c:v>
                      </c:pt>
                      <c:pt idx="4">
                        <c:v>69.353342210613363</c:v>
                      </c:pt>
                      <c:pt idx="5">
                        <c:v>69.456723541661546</c:v>
                      </c:pt>
                      <c:pt idx="6">
                        <c:v>73.364487620791806</c:v>
                      </c:pt>
                      <c:pt idx="7">
                        <c:v>77.709511603127169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CE6-4918-B075-33718C985828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R2 (ATHOS-1)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9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Reactor2!$D$24:$Z$24</c15:sqref>
                        </c15:formulaRef>
                      </c:ext>
                    </c:extLst>
                    <c:numCache>
                      <c:formatCode>0</c:formatCode>
                      <c:ptCount val="23"/>
                      <c:pt idx="0">
                        <c:v>210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215</c:v>
                      </c:pt>
                      <c:pt idx="5">
                        <c:v>215</c:v>
                      </c:pt>
                      <c:pt idx="6">
                        <c:v>215</c:v>
                      </c:pt>
                      <c:pt idx="7">
                        <c:v>210</c:v>
                      </c:pt>
                      <c:pt idx="8">
                        <c:v>205</c:v>
                      </c:pt>
                      <c:pt idx="9">
                        <c:v>205</c:v>
                      </c:pt>
                      <c:pt idx="10">
                        <c:v>200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Reactor2!$D$110:$Z$110</c15:sqref>
                        </c15:formulaRef>
                      </c:ext>
                    </c:extLst>
                    <c:numCache>
                      <c:formatCode>0.00</c:formatCode>
                      <c:ptCount val="23"/>
                      <c:pt idx="0">
                        <c:v>94.214051404765215</c:v>
                      </c:pt>
                      <c:pt idx="1">
                        <c:v>88.470507926680824</c:v>
                      </c:pt>
                      <c:pt idx="2">
                        <c:v>85.009422414884099</c:v>
                      </c:pt>
                      <c:pt idx="3">
                        <c:v>84.564524079799952</c:v>
                      </c:pt>
                      <c:pt idx="4">
                        <c:v>88.066401395370846</c:v>
                      </c:pt>
                      <c:pt idx="5">
                        <c:v>87.973764291405516</c:v>
                      </c:pt>
                      <c:pt idx="6">
                        <c:v>88.017330179592392</c:v>
                      </c:pt>
                      <c:pt idx="7">
                        <c:v>90.984965081382015</c:v>
                      </c:pt>
                      <c:pt idx="8">
                        <c:v>93.597152160670021</c:v>
                      </c:pt>
                      <c:pt idx="9">
                        <c:v>93.512183472967209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CE6-4918-B075-33718C985828}"/>
                  </c:ext>
                </c:extLst>
              </c15:ser>
            </c15:filteredScatterSeries>
          </c:ext>
        </c:extLst>
      </c:scatterChart>
      <c:valAx>
        <c:axId val="2015652768"/>
        <c:scaling>
          <c:orientation val="minMax"/>
          <c:max val="10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latin typeface="Aptos" panose="020B0004020202020204" pitchFamily="34" charset="0"/>
                  </a:rPr>
                  <a:t>C5+ Yield, wof%</a:t>
                </a:r>
              </a:p>
            </c:rich>
          </c:tx>
          <c:layout>
            <c:manualLayout>
              <c:xMode val="edge"/>
              <c:yMode val="edge"/>
              <c:x val="0.44228386023942518"/>
              <c:y val="0.920000032262279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0848"/>
        <c:crosses val="autoZero"/>
        <c:crossBetween val="midCat"/>
        <c:majorUnit val="5"/>
      </c:valAx>
      <c:valAx>
        <c:axId val="2015650848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 baseline="0">
                    <a:latin typeface="Aptos" panose="020B0004020202020204" pitchFamily="34" charset="0"/>
                  </a:rPr>
                  <a:t>Isomers (C5+), %</a:t>
                </a:r>
                <a:endParaRPr lang="en-IN" sz="1200" b="1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4925263679614252E-2"/>
              <c:y val="0.33369870364784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1565276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5495609449845499"/>
          <c:y val="0.12376939567911292"/>
          <c:w val="0.78831853457575607"/>
          <c:h val="6.5883338522183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Light Naphtha (&lt;120 oC)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Analysis!$D$5:$D$43</c:f>
              <c:strCache>
                <c:ptCount val="39"/>
                <c:pt idx="0">
                  <c:v>Propane</c:v>
                </c:pt>
                <c:pt idx="1">
                  <c:v>i-Butane</c:v>
                </c:pt>
                <c:pt idx="2">
                  <c:v>n-Butane</c:v>
                </c:pt>
                <c:pt idx="3">
                  <c:v>i-Pentane</c:v>
                </c:pt>
                <c:pt idx="4">
                  <c:v>n-Pentane</c:v>
                </c:pt>
                <c:pt idx="6">
                  <c:v>2,2-Dimethylbutane</c:v>
                </c:pt>
                <c:pt idx="7">
                  <c:v>2,3-Dimethylbutane</c:v>
                </c:pt>
                <c:pt idx="8">
                  <c:v>2-Methylpentane</c:v>
                </c:pt>
                <c:pt idx="9">
                  <c:v>3-Methylpentane</c:v>
                </c:pt>
                <c:pt idx="10">
                  <c:v>n-Hexane</c:v>
                </c:pt>
                <c:pt idx="12">
                  <c:v>2,2-Dimethylpentane</c:v>
                </c:pt>
                <c:pt idx="13">
                  <c:v>2,4-Dimethylpentane</c:v>
                </c:pt>
                <c:pt idx="14">
                  <c:v>2,2,3-Trimethylbutane</c:v>
                </c:pt>
                <c:pt idx="15">
                  <c:v>3,3-Dimethylpentane</c:v>
                </c:pt>
                <c:pt idx="16">
                  <c:v>2-Methylhexane</c:v>
                </c:pt>
                <c:pt idx="17">
                  <c:v>2,3-Dimethylpentane</c:v>
                </c:pt>
                <c:pt idx="18">
                  <c:v>3-Methylhexane</c:v>
                </c:pt>
                <c:pt idx="19">
                  <c:v>3-Ethylpentane</c:v>
                </c:pt>
                <c:pt idx="20">
                  <c:v>n-Heptane</c:v>
                </c:pt>
                <c:pt idx="23">
                  <c:v>2,5-Dimethylhexane</c:v>
                </c:pt>
                <c:pt idx="24">
                  <c:v>2,4-Dimethylhexane</c:v>
                </c:pt>
                <c:pt idx="25">
                  <c:v>3,3-Dimethylhexane</c:v>
                </c:pt>
                <c:pt idx="26">
                  <c:v>2,3-Dimethylhexane</c:v>
                </c:pt>
                <c:pt idx="27">
                  <c:v>2-Methylheptane</c:v>
                </c:pt>
                <c:pt idx="28">
                  <c:v>1t,2-Dimethylcyclopentane</c:v>
                </c:pt>
                <c:pt idx="29">
                  <c:v>3-Methylheptane</c:v>
                </c:pt>
                <c:pt idx="30">
                  <c:v>4-Methylheptane</c:v>
                </c:pt>
                <c:pt idx="31">
                  <c:v>n-Octane</c:v>
                </c:pt>
                <c:pt idx="33">
                  <c:v>Methylcyclopentane</c:v>
                </c:pt>
                <c:pt idx="34">
                  <c:v>Cyclohexane</c:v>
                </c:pt>
                <c:pt idx="35">
                  <c:v>Ethylcyclopentane</c:v>
                </c:pt>
                <c:pt idx="36">
                  <c:v>1,1-Dimethylcyclohexane</c:v>
                </c:pt>
                <c:pt idx="37">
                  <c:v>Methylcyclohexane</c:v>
                </c:pt>
                <c:pt idx="38">
                  <c:v>1,1,3-Trimethylcyclopentane</c:v>
                </c:pt>
              </c:strCache>
            </c:strRef>
          </c:cat>
          <c:val>
            <c:numRef>
              <c:f>Analysis!$E$5:$E$43</c:f>
              <c:numCache>
                <c:formatCode>0.00</c:formatCode>
                <c:ptCount val="39"/>
                <c:pt idx="0">
                  <c:v>4.5288499400000001E-2</c:v>
                </c:pt>
                <c:pt idx="1">
                  <c:v>0.29705998300000003</c:v>
                </c:pt>
                <c:pt idx="2">
                  <c:v>1.6400021315</c:v>
                </c:pt>
                <c:pt idx="3">
                  <c:v>7.5930891036999997</c:v>
                </c:pt>
                <c:pt idx="4">
                  <c:v>12.88804245</c:v>
                </c:pt>
                <c:pt idx="6">
                  <c:v>1.668269E-2</c:v>
                </c:pt>
                <c:pt idx="7">
                  <c:v>0.72013217210000002</c:v>
                </c:pt>
                <c:pt idx="8">
                  <c:v>8.0209341049000002</c:v>
                </c:pt>
                <c:pt idx="9">
                  <c:v>3.685031414</c:v>
                </c:pt>
                <c:pt idx="10">
                  <c:v>17.786645889300001</c:v>
                </c:pt>
                <c:pt idx="12">
                  <c:v>2.6701515499999998E-2</c:v>
                </c:pt>
                <c:pt idx="13">
                  <c:v>0.39878648519999998</c:v>
                </c:pt>
                <c:pt idx="14">
                  <c:v>1.5251748000000001E-3</c:v>
                </c:pt>
                <c:pt idx="15">
                  <c:v>0</c:v>
                </c:pt>
                <c:pt idx="16">
                  <c:v>8.1471137999999996</c:v>
                </c:pt>
                <c:pt idx="17">
                  <c:v>0.55054795739999995</c:v>
                </c:pt>
                <c:pt idx="18">
                  <c:v>5.5198402404999998</c:v>
                </c:pt>
                <c:pt idx="19">
                  <c:v>7.2881884899999999E-2</c:v>
                </c:pt>
                <c:pt idx="20">
                  <c:v>16.036531448400002</c:v>
                </c:pt>
                <c:pt idx="23">
                  <c:v>0.80096626280000005</c:v>
                </c:pt>
                <c:pt idx="24">
                  <c:v>0.403976053</c:v>
                </c:pt>
                <c:pt idx="25">
                  <c:v>2.6944080400000001E-2</c:v>
                </c:pt>
                <c:pt idx="26">
                  <c:v>0.1535085887</c:v>
                </c:pt>
                <c:pt idx="27">
                  <c:v>4.1196584702000001</c:v>
                </c:pt>
                <c:pt idx="28">
                  <c:v>8.7559253000000004E-2</c:v>
                </c:pt>
                <c:pt idx="29">
                  <c:v>2.5940945148000001</c:v>
                </c:pt>
                <c:pt idx="30">
                  <c:v>0.79443818330000004</c:v>
                </c:pt>
                <c:pt idx="31">
                  <c:v>4.4279632568</c:v>
                </c:pt>
                <c:pt idx="33">
                  <c:v>0.66657829280000003</c:v>
                </c:pt>
                <c:pt idx="34">
                  <c:v>0.3058757782</c:v>
                </c:pt>
                <c:pt idx="35">
                  <c:v>0.17491233349999999</c:v>
                </c:pt>
                <c:pt idx="36">
                  <c:v>0.1055210754</c:v>
                </c:pt>
                <c:pt idx="37">
                  <c:v>0.45996436480000003</c:v>
                </c:pt>
                <c:pt idx="38">
                  <c:v>3.5541392900000003E-2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FD-4572-B6AB-1CAC9E4CBD08}"/>
            </c:ext>
          </c:extLst>
        </c:ser>
        <c:ser>
          <c:idx val="1"/>
          <c:order val="1"/>
          <c:tx>
            <c:v>ATHOS-3 (205 oC)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Analysis!$D$5:$D$43</c:f>
              <c:strCache>
                <c:ptCount val="39"/>
                <c:pt idx="0">
                  <c:v>Propane</c:v>
                </c:pt>
                <c:pt idx="1">
                  <c:v>i-Butane</c:v>
                </c:pt>
                <c:pt idx="2">
                  <c:v>n-Butane</c:v>
                </c:pt>
                <c:pt idx="3">
                  <c:v>i-Pentane</c:v>
                </c:pt>
                <c:pt idx="4">
                  <c:v>n-Pentane</c:v>
                </c:pt>
                <c:pt idx="6">
                  <c:v>2,2-Dimethylbutane</c:v>
                </c:pt>
                <c:pt idx="7">
                  <c:v>2,3-Dimethylbutane</c:v>
                </c:pt>
                <c:pt idx="8">
                  <c:v>2-Methylpentane</c:v>
                </c:pt>
                <c:pt idx="9">
                  <c:v>3-Methylpentane</c:v>
                </c:pt>
                <c:pt idx="10">
                  <c:v>n-Hexane</c:v>
                </c:pt>
                <c:pt idx="12">
                  <c:v>2,2-Dimethylpentane</c:v>
                </c:pt>
                <c:pt idx="13">
                  <c:v>2,4-Dimethylpentane</c:v>
                </c:pt>
                <c:pt idx="14">
                  <c:v>2,2,3-Trimethylbutane</c:v>
                </c:pt>
                <c:pt idx="15">
                  <c:v>3,3-Dimethylpentane</c:v>
                </c:pt>
                <c:pt idx="16">
                  <c:v>2-Methylhexane</c:v>
                </c:pt>
                <c:pt idx="17">
                  <c:v>2,3-Dimethylpentane</c:v>
                </c:pt>
                <c:pt idx="18">
                  <c:v>3-Methylhexane</c:v>
                </c:pt>
                <c:pt idx="19">
                  <c:v>3-Ethylpentane</c:v>
                </c:pt>
                <c:pt idx="20">
                  <c:v>n-Heptane</c:v>
                </c:pt>
                <c:pt idx="23">
                  <c:v>2,5-Dimethylhexane</c:v>
                </c:pt>
                <c:pt idx="24">
                  <c:v>2,4-Dimethylhexane</c:v>
                </c:pt>
                <c:pt idx="25">
                  <c:v>3,3-Dimethylhexane</c:v>
                </c:pt>
                <c:pt idx="26">
                  <c:v>2,3-Dimethylhexane</c:v>
                </c:pt>
                <c:pt idx="27">
                  <c:v>2-Methylheptane</c:v>
                </c:pt>
                <c:pt idx="28">
                  <c:v>1t,2-Dimethylcyclopentane</c:v>
                </c:pt>
                <c:pt idx="29">
                  <c:v>3-Methylheptane</c:v>
                </c:pt>
                <c:pt idx="30">
                  <c:v>4-Methylheptane</c:v>
                </c:pt>
                <c:pt idx="31">
                  <c:v>n-Octane</c:v>
                </c:pt>
                <c:pt idx="33">
                  <c:v>Methylcyclopentane</c:v>
                </c:pt>
                <c:pt idx="34">
                  <c:v>Cyclohexane</c:v>
                </c:pt>
                <c:pt idx="35">
                  <c:v>Ethylcyclopentane</c:v>
                </c:pt>
                <c:pt idx="36">
                  <c:v>1,1-Dimethylcyclohexane</c:v>
                </c:pt>
                <c:pt idx="37">
                  <c:v>Methylcyclohexane</c:v>
                </c:pt>
                <c:pt idx="38">
                  <c:v>1,1,3-Trimethylcyclopentane</c:v>
                </c:pt>
              </c:strCache>
            </c:strRef>
          </c:cat>
          <c:val>
            <c:numRef>
              <c:f>Analysis!$N$5:$N$43</c:f>
              <c:numCache>
                <c:formatCode>0.00</c:formatCode>
                <c:ptCount val="39"/>
                <c:pt idx="0">
                  <c:v>5.8204398155000003</c:v>
                </c:pt>
                <c:pt idx="1">
                  <c:v>12.9081420898</c:v>
                </c:pt>
                <c:pt idx="2">
                  <c:v>3.3182141780999999</c:v>
                </c:pt>
                <c:pt idx="3">
                  <c:v>10.436207771299999</c:v>
                </c:pt>
                <c:pt idx="4">
                  <c:v>12.420854568499999</c:v>
                </c:pt>
                <c:pt idx="6">
                  <c:v>0.32698377969999998</c:v>
                </c:pt>
                <c:pt idx="7">
                  <c:v>2.4536187648999999</c:v>
                </c:pt>
                <c:pt idx="8">
                  <c:v>7.9809365272999999</c:v>
                </c:pt>
                <c:pt idx="9">
                  <c:v>4.8414435387000001</c:v>
                </c:pt>
                <c:pt idx="10">
                  <c:v>14.605986595199999</c:v>
                </c:pt>
                <c:pt idx="12">
                  <c:v>0.28820621969999999</c:v>
                </c:pt>
                <c:pt idx="13">
                  <c:v>1.3065446615</c:v>
                </c:pt>
                <c:pt idx="14">
                  <c:v>0.2242764384</c:v>
                </c:pt>
                <c:pt idx="15">
                  <c:v>0.18519233169999999</c:v>
                </c:pt>
                <c:pt idx="16">
                  <c:v>4.1721038818</c:v>
                </c:pt>
                <c:pt idx="17">
                  <c:v>1.4648395777000001</c:v>
                </c:pt>
                <c:pt idx="18">
                  <c:v>4.7405576706000003</c:v>
                </c:pt>
                <c:pt idx="19">
                  <c:v>0.2373978943</c:v>
                </c:pt>
                <c:pt idx="20">
                  <c:v>7.8588352202999996</c:v>
                </c:pt>
                <c:pt idx="24">
                  <c:v>0.1092944071</c:v>
                </c:pt>
                <c:pt idx="25">
                  <c:v>6.5172225200000003E-2</c:v>
                </c:pt>
                <c:pt idx="26">
                  <c:v>7.3461465500000003E-2</c:v>
                </c:pt>
                <c:pt idx="27">
                  <c:v>0.1663868278</c:v>
                </c:pt>
                <c:pt idx="28">
                  <c:v>0.19535835090000001</c:v>
                </c:pt>
                <c:pt idx="29">
                  <c:v>0.2312459499</c:v>
                </c:pt>
                <c:pt idx="30">
                  <c:v>0</c:v>
                </c:pt>
                <c:pt idx="31">
                  <c:v>0.5486985445</c:v>
                </c:pt>
                <c:pt idx="33">
                  <c:v>0.58076274390000004</c:v>
                </c:pt>
                <c:pt idx="34">
                  <c:v>0.33831587429999999</c:v>
                </c:pt>
                <c:pt idx="35">
                  <c:v>0.17421188949999999</c:v>
                </c:pt>
                <c:pt idx="36">
                  <c:v>0.2688321769</c:v>
                </c:pt>
                <c:pt idx="37">
                  <c:v>0.54777228830000002</c:v>
                </c:pt>
                <c:pt idx="38">
                  <c:v>0.17976853249999999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FD-4572-B6AB-1CAC9E4CBD08}"/>
            </c:ext>
          </c:extLst>
        </c:ser>
        <c:ser>
          <c:idx val="2"/>
          <c:order val="2"/>
          <c:tx>
            <c:v>ATHOS-1 ( @ 220 oC)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Analysis!$D$5:$D$43</c:f>
              <c:strCache>
                <c:ptCount val="39"/>
                <c:pt idx="0">
                  <c:v>Propane</c:v>
                </c:pt>
                <c:pt idx="1">
                  <c:v>i-Butane</c:v>
                </c:pt>
                <c:pt idx="2">
                  <c:v>n-Butane</c:v>
                </c:pt>
                <c:pt idx="3">
                  <c:v>i-Pentane</c:v>
                </c:pt>
                <c:pt idx="4">
                  <c:v>n-Pentane</c:v>
                </c:pt>
                <c:pt idx="6">
                  <c:v>2,2-Dimethylbutane</c:v>
                </c:pt>
                <c:pt idx="7">
                  <c:v>2,3-Dimethylbutane</c:v>
                </c:pt>
                <c:pt idx="8">
                  <c:v>2-Methylpentane</c:v>
                </c:pt>
                <c:pt idx="9">
                  <c:v>3-Methylpentane</c:v>
                </c:pt>
                <c:pt idx="10">
                  <c:v>n-Hexane</c:v>
                </c:pt>
                <c:pt idx="12">
                  <c:v>2,2-Dimethylpentane</c:v>
                </c:pt>
                <c:pt idx="13">
                  <c:v>2,4-Dimethylpentane</c:v>
                </c:pt>
                <c:pt idx="14">
                  <c:v>2,2,3-Trimethylbutane</c:v>
                </c:pt>
                <c:pt idx="15">
                  <c:v>3,3-Dimethylpentane</c:v>
                </c:pt>
                <c:pt idx="16">
                  <c:v>2-Methylhexane</c:v>
                </c:pt>
                <c:pt idx="17">
                  <c:v>2,3-Dimethylpentane</c:v>
                </c:pt>
                <c:pt idx="18">
                  <c:v>3-Methylhexane</c:v>
                </c:pt>
                <c:pt idx="19">
                  <c:v>3-Ethylpentane</c:v>
                </c:pt>
                <c:pt idx="20">
                  <c:v>n-Heptane</c:v>
                </c:pt>
                <c:pt idx="23">
                  <c:v>2,5-Dimethylhexane</c:v>
                </c:pt>
                <c:pt idx="24">
                  <c:v>2,4-Dimethylhexane</c:v>
                </c:pt>
                <c:pt idx="25">
                  <c:v>3,3-Dimethylhexane</c:v>
                </c:pt>
                <c:pt idx="26">
                  <c:v>2,3-Dimethylhexane</c:v>
                </c:pt>
                <c:pt idx="27">
                  <c:v>2-Methylheptane</c:v>
                </c:pt>
                <c:pt idx="28">
                  <c:v>1t,2-Dimethylcyclopentane</c:v>
                </c:pt>
                <c:pt idx="29">
                  <c:v>3-Methylheptane</c:v>
                </c:pt>
                <c:pt idx="30">
                  <c:v>4-Methylheptane</c:v>
                </c:pt>
                <c:pt idx="31">
                  <c:v>n-Octane</c:v>
                </c:pt>
                <c:pt idx="33">
                  <c:v>Methylcyclopentane</c:v>
                </c:pt>
                <c:pt idx="34">
                  <c:v>Cyclohexane</c:v>
                </c:pt>
                <c:pt idx="35">
                  <c:v>Ethylcyclopentane</c:v>
                </c:pt>
                <c:pt idx="36">
                  <c:v>1,1-Dimethylcyclohexane</c:v>
                </c:pt>
                <c:pt idx="37">
                  <c:v>Methylcyclohexane</c:v>
                </c:pt>
                <c:pt idx="38">
                  <c:v>1,1,3-Trimethylcyclopentane</c:v>
                </c:pt>
              </c:strCache>
            </c:strRef>
          </c:cat>
          <c:val>
            <c:numRef>
              <c:f>Analysis!$H$5:$H$43</c:f>
              <c:numCache>
                <c:formatCode>0.00</c:formatCode>
                <c:ptCount val="39"/>
                <c:pt idx="0">
                  <c:v>3.5257878304000001</c:v>
                </c:pt>
                <c:pt idx="1">
                  <c:v>7.8659253119999999</c:v>
                </c:pt>
                <c:pt idx="2">
                  <c:v>3.1664922237000002</c:v>
                </c:pt>
                <c:pt idx="3">
                  <c:v>9.9942359924000002</c:v>
                </c:pt>
                <c:pt idx="4">
                  <c:v>12.4288473129</c:v>
                </c:pt>
                <c:pt idx="6">
                  <c:v>0.48736301059999998</c:v>
                </c:pt>
                <c:pt idx="7">
                  <c:v>1.8150695562000001</c:v>
                </c:pt>
                <c:pt idx="8">
                  <c:v>8.7503585815000005</c:v>
                </c:pt>
                <c:pt idx="9">
                  <c:v>5.339117527</c:v>
                </c:pt>
                <c:pt idx="10">
                  <c:v>13.7966556549</c:v>
                </c:pt>
                <c:pt idx="12">
                  <c:v>0.68900042770000003</c:v>
                </c:pt>
                <c:pt idx="13">
                  <c:v>1.6045118570000001</c:v>
                </c:pt>
                <c:pt idx="14">
                  <c:v>0.121020101</c:v>
                </c:pt>
                <c:pt idx="15">
                  <c:v>0.44200721380000002</c:v>
                </c:pt>
                <c:pt idx="16">
                  <c:v>6.5760564804000001</c:v>
                </c:pt>
                <c:pt idx="17">
                  <c:v>1.8189727067999999</c:v>
                </c:pt>
                <c:pt idx="18">
                  <c:v>6.9530868530000003</c:v>
                </c:pt>
                <c:pt idx="19">
                  <c:v>0.44791206719999999</c:v>
                </c:pt>
                <c:pt idx="20">
                  <c:v>6.7792601584999996</c:v>
                </c:pt>
                <c:pt idx="23">
                  <c:v>0.32336896659999997</c:v>
                </c:pt>
                <c:pt idx="24">
                  <c:v>0.4807722867</c:v>
                </c:pt>
                <c:pt idx="25">
                  <c:v>0.1565137804</c:v>
                </c:pt>
                <c:pt idx="26">
                  <c:v>0.2432661206</c:v>
                </c:pt>
                <c:pt idx="27">
                  <c:v>0.76946902279999996</c:v>
                </c:pt>
                <c:pt idx="28">
                  <c:v>0.40022647379999998</c:v>
                </c:pt>
                <c:pt idx="29">
                  <c:v>0.94401353600000004</c:v>
                </c:pt>
                <c:pt idx="30">
                  <c:v>0</c:v>
                </c:pt>
                <c:pt idx="31">
                  <c:v>0.5985250473</c:v>
                </c:pt>
                <c:pt idx="33">
                  <c:v>0.70042574410000003</c:v>
                </c:pt>
                <c:pt idx="34">
                  <c:v>0.30860477689999999</c:v>
                </c:pt>
                <c:pt idx="35">
                  <c:v>0.15076397359999999</c:v>
                </c:pt>
                <c:pt idx="36">
                  <c:v>0.2947985232</c:v>
                </c:pt>
                <c:pt idx="37">
                  <c:v>0.59342426059999998</c:v>
                </c:pt>
                <c:pt idx="38">
                  <c:v>0.312472254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FD-4572-B6AB-1CAC9E4CB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7578592"/>
        <c:axId val="1542167088"/>
      </c:barChart>
      <c:catAx>
        <c:axId val="153757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542167088"/>
        <c:crosses val="autoZero"/>
        <c:auto val="1"/>
        <c:lblAlgn val="ctr"/>
        <c:lblOffset val="100"/>
        <c:noMultiLvlLbl val="0"/>
      </c:catAx>
      <c:valAx>
        <c:axId val="154216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53757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0169859738391844E-2"/>
          <c:y val="2.0434224590899851E-2"/>
          <c:w val="0.95224609259672643"/>
          <c:h val="6.571507182281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chart" Target="../charts/chart8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21.xml"/><Relationship Id="rId18" Type="http://schemas.openxmlformats.org/officeDocument/2006/relationships/chart" Target="../charts/chart26.xml"/><Relationship Id="rId26" Type="http://schemas.openxmlformats.org/officeDocument/2006/relationships/chart" Target="../charts/chart34.xml"/><Relationship Id="rId21" Type="http://schemas.openxmlformats.org/officeDocument/2006/relationships/chart" Target="../charts/chart29.xml"/><Relationship Id="rId34" Type="http://schemas.openxmlformats.org/officeDocument/2006/relationships/chart" Target="../charts/chart42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17" Type="http://schemas.openxmlformats.org/officeDocument/2006/relationships/chart" Target="../charts/chart25.xml"/><Relationship Id="rId25" Type="http://schemas.openxmlformats.org/officeDocument/2006/relationships/chart" Target="../charts/chart33.xml"/><Relationship Id="rId33" Type="http://schemas.openxmlformats.org/officeDocument/2006/relationships/chart" Target="../charts/chart41.xml"/><Relationship Id="rId2" Type="http://schemas.openxmlformats.org/officeDocument/2006/relationships/chart" Target="../charts/chart10.xml"/><Relationship Id="rId16" Type="http://schemas.openxmlformats.org/officeDocument/2006/relationships/chart" Target="../charts/chart24.xml"/><Relationship Id="rId20" Type="http://schemas.openxmlformats.org/officeDocument/2006/relationships/chart" Target="../charts/chart28.xml"/><Relationship Id="rId29" Type="http://schemas.openxmlformats.org/officeDocument/2006/relationships/chart" Target="../charts/chart37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24" Type="http://schemas.openxmlformats.org/officeDocument/2006/relationships/chart" Target="../charts/chart32.xml"/><Relationship Id="rId32" Type="http://schemas.openxmlformats.org/officeDocument/2006/relationships/chart" Target="../charts/chart40.xml"/><Relationship Id="rId37" Type="http://schemas.openxmlformats.org/officeDocument/2006/relationships/chart" Target="../charts/chart45.xml"/><Relationship Id="rId5" Type="http://schemas.openxmlformats.org/officeDocument/2006/relationships/chart" Target="../charts/chart13.xml"/><Relationship Id="rId15" Type="http://schemas.openxmlformats.org/officeDocument/2006/relationships/chart" Target="../charts/chart23.xml"/><Relationship Id="rId23" Type="http://schemas.openxmlformats.org/officeDocument/2006/relationships/chart" Target="../charts/chart31.xml"/><Relationship Id="rId28" Type="http://schemas.openxmlformats.org/officeDocument/2006/relationships/chart" Target="../charts/chart36.xml"/><Relationship Id="rId36" Type="http://schemas.openxmlformats.org/officeDocument/2006/relationships/chart" Target="../charts/chart44.xml"/><Relationship Id="rId10" Type="http://schemas.openxmlformats.org/officeDocument/2006/relationships/chart" Target="../charts/chart18.xml"/><Relationship Id="rId19" Type="http://schemas.openxmlformats.org/officeDocument/2006/relationships/chart" Target="../charts/chart27.xml"/><Relationship Id="rId31" Type="http://schemas.openxmlformats.org/officeDocument/2006/relationships/chart" Target="../charts/chart39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Relationship Id="rId14" Type="http://schemas.openxmlformats.org/officeDocument/2006/relationships/chart" Target="../charts/chart22.xml"/><Relationship Id="rId22" Type="http://schemas.openxmlformats.org/officeDocument/2006/relationships/chart" Target="../charts/chart30.xml"/><Relationship Id="rId27" Type="http://schemas.openxmlformats.org/officeDocument/2006/relationships/chart" Target="../charts/chart35.xml"/><Relationship Id="rId30" Type="http://schemas.openxmlformats.org/officeDocument/2006/relationships/chart" Target="../charts/chart38.xml"/><Relationship Id="rId35" Type="http://schemas.openxmlformats.org/officeDocument/2006/relationships/chart" Target="../charts/chart43.xml"/><Relationship Id="rId8" Type="http://schemas.openxmlformats.org/officeDocument/2006/relationships/chart" Target="../charts/chart16.xml"/><Relationship Id="rId3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733425</xdr:colOff>
      <xdr:row>11</xdr:row>
      <xdr:rowOff>123825</xdr:rowOff>
    </xdr:from>
    <xdr:to>
      <xdr:col>32</xdr:col>
      <xdr:colOff>104974</xdr:colOff>
      <xdr:row>31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BBF5BB-CDE1-49FB-B605-12A9573DA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508363</xdr:colOff>
      <xdr:row>1</xdr:row>
      <xdr:rowOff>136923</xdr:rowOff>
    </xdr:from>
    <xdr:to>
      <xdr:col>17</xdr:col>
      <xdr:colOff>51514</xdr:colOff>
      <xdr:row>1</xdr:row>
      <xdr:rowOff>2750344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167513-5FDC-EFBE-E25C-6EB386FF9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6722" y="327423"/>
          <a:ext cx="3793683" cy="2613421"/>
        </a:xfrm>
        <a:prstGeom prst="rect">
          <a:avLst/>
        </a:prstGeom>
      </xdr:spPr>
    </xdr:pic>
    <xdr:clientData/>
  </xdr:twoCellAnchor>
  <xdr:twoCellAnchor editAs="oneCell">
    <xdr:from>
      <xdr:col>17</xdr:col>
      <xdr:colOff>1285875</xdr:colOff>
      <xdr:row>3</xdr:row>
      <xdr:rowOff>108858</xdr:rowOff>
    </xdr:from>
    <xdr:to>
      <xdr:col>24</xdr:col>
      <xdr:colOff>309780</xdr:colOff>
      <xdr:row>11</xdr:row>
      <xdr:rowOff>170116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75ACFB-00EC-9DB3-5CC3-0FB9984AA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82625" y="1068162"/>
          <a:ext cx="4269459" cy="1585258"/>
        </a:xfrm>
        <a:prstGeom prst="rect">
          <a:avLst/>
        </a:prstGeom>
      </xdr:spPr>
    </xdr:pic>
    <xdr:clientData/>
  </xdr:twoCellAnchor>
  <xdr:twoCellAnchor editAs="oneCell">
    <xdr:from>
      <xdr:col>18</xdr:col>
      <xdr:colOff>296957</xdr:colOff>
      <xdr:row>12</xdr:row>
      <xdr:rowOff>100853</xdr:rowOff>
    </xdr:from>
    <xdr:to>
      <xdr:col>36</xdr:col>
      <xdr:colOff>211633</xdr:colOff>
      <xdr:row>33</xdr:row>
      <xdr:rowOff>135530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86A8BE-E3BA-1281-F121-EEA043BB1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73736" y="5261162"/>
          <a:ext cx="10907647" cy="4067743"/>
        </a:xfrm>
        <a:prstGeom prst="rect">
          <a:avLst/>
        </a:prstGeom>
      </xdr:spPr>
    </xdr:pic>
    <xdr:clientData/>
  </xdr:twoCellAnchor>
  <xdr:twoCellAnchor editAs="oneCell">
    <xdr:from>
      <xdr:col>18</xdr:col>
      <xdr:colOff>263569</xdr:colOff>
      <xdr:row>38</xdr:row>
      <xdr:rowOff>184547</xdr:rowOff>
    </xdr:from>
    <xdr:to>
      <xdr:col>32</xdr:col>
      <xdr:colOff>21602</xdr:colOff>
      <xdr:row>57</xdr:row>
      <xdr:rowOff>65484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A8575E9-8A4B-1139-C822-3A5D8E044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14085" y="9780985"/>
          <a:ext cx="8259095" cy="35004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131990</xdr:colOff>
      <xdr:row>5</xdr:row>
      <xdr:rowOff>178254</xdr:rowOff>
    </xdr:from>
    <xdr:to>
      <xdr:col>2</xdr:col>
      <xdr:colOff>142875</xdr:colOff>
      <xdr:row>24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EBCBB67D-BEC7-4C35-BAC1-9D20AC013CF3}"/>
            </a:ext>
          </a:extLst>
        </xdr:cNvPr>
        <xdr:cNvCxnSpPr/>
      </xdr:nvCxnSpPr>
      <xdr:spPr>
        <a:xfrm>
          <a:off x="1351190" y="1130754"/>
          <a:ext cx="10885" cy="3441246"/>
        </a:xfrm>
        <a:prstGeom prst="straightConnector1">
          <a:avLst/>
        </a:prstGeom>
        <a:ln>
          <a:headEnd type="stealth"/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24492</xdr:colOff>
      <xdr:row>14</xdr:row>
      <xdr:rowOff>112940</xdr:rowOff>
    </xdr:from>
    <xdr:ext cx="651397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098265-8BE5-4B74-BFAF-EC79500ED7B4}"/>
            </a:ext>
          </a:extLst>
        </xdr:cNvPr>
        <xdr:cNvSpPr txBox="1"/>
      </xdr:nvSpPr>
      <xdr:spPr>
        <a:xfrm>
          <a:off x="634092" y="2779940"/>
          <a:ext cx="6513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050">
              <a:latin typeface="Aptos" panose="020B0004020202020204" pitchFamily="34" charset="0"/>
            </a:rPr>
            <a:t>930mm</a:t>
          </a:r>
        </a:p>
      </xdr:txBody>
    </xdr:sp>
    <xdr:clientData/>
  </xdr:oneCellAnchor>
  <xdr:twoCellAnchor>
    <xdr:from>
      <xdr:col>4</xdr:col>
      <xdr:colOff>142875</xdr:colOff>
      <xdr:row>8</xdr:row>
      <xdr:rowOff>0</xdr:rowOff>
    </xdr:from>
    <xdr:to>
      <xdr:col>4</xdr:col>
      <xdr:colOff>142875</xdr:colOff>
      <xdr:row>11</xdr:row>
      <xdr:rowOff>183696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D0EE102-FB58-4A52-8331-460BE1BE3D67}"/>
            </a:ext>
          </a:extLst>
        </xdr:cNvPr>
        <xdr:cNvCxnSpPr/>
      </xdr:nvCxnSpPr>
      <xdr:spPr>
        <a:xfrm>
          <a:off x="2581275" y="1524000"/>
          <a:ext cx="0" cy="755196"/>
        </a:xfrm>
        <a:prstGeom prst="straightConnector1">
          <a:avLst/>
        </a:prstGeom>
        <a:ln>
          <a:headEnd type="stealth"/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138794</xdr:colOff>
      <xdr:row>11</xdr:row>
      <xdr:rowOff>189139</xdr:rowOff>
    </xdr:from>
    <xdr:to>
      <xdr:col>4</xdr:col>
      <xdr:colOff>142875</xdr:colOff>
      <xdr:row>18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E394267-A8E1-47D0-B01F-4E485B9F1103}"/>
            </a:ext>
          </a:extLst>
        </xdr:cNvPr>
        <xdr:cNvCxnSpPr/>
      </xdr:nvCxnSpPr>
      <xdr:spPr>
        <a:xfrm>
          <a:off x="2577194" y="2284639"/>
          <a:ext cx="4081" cy="1144361"/>
        </a:xfrm>
        <a:prstGeom prst="straightConnector1">
          <a:avLst/>
        </a:prstGeom>
        <a:ln>
          <a:headEnd type="stealth"/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141515</xdr:colOff>
      <xdr:row>17</xdr:row>
      <xdr:rowOff>164646</xdr:rowOff>
    </xdr:from>
    <xdr:to>
      <xdr:col>4</xdr:col>
      <xdr:colOff>142875</xdr:colOff>
      <xdr:row>23</xdr:row>
      <xdr:rowOff>176893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BBE7E7C-C3B5-4DD9-B4B5-BC68B76CCAA1}"/>
            </a:ext>
          </a:extLst>
        </xdr:cNvPr>
        <xdr:cNvCxnSpPr/>
      </xdr:nvCxnSpPr>
      <xdr:spPr>
        <a:xfrm>
          <a:off x="2579915" y="3403146"/>
          <a:ext cx="1360" cy="1155247"/>
        </a:xfrm>
        <a:prstGeom prst="straightConnector1">
          <a:avLst/>
        </a:prstGeom>
        <a:ln>
          <a:headEnd type="stealth"/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26092</xdr:colOff>
      <xdr:row>14</xdr:row>
      <xdr:rowOff>112940</xdr:rowOff>
    </xdr:from>
    <xdr:ext cx="651397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AA03B6D-8C60-4876-A816-BDC53AD54CC4}"/>
            </a:ext>
          </a:extLst>
        </xdr:cNvPr>
        <xdr:cNvSpPr txBox="1"/>
      </xdr:nvSpPr>
      <xdr:spPr>
        <a:xfrm>
          <a:off x="635692" y="2779940"/>
          <a:ext cx="6513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050">
              <a:latin typeface="Aptos" panose="020B0004020202020204" pitchFamily="34" charset="0"/>
            </a:rPr>
            <a:t>930mm</a:t>
          </a:r>
        </a:p>
      </xdr:txBody>
    </xdr:sp>
    <xdr:clientData/>
  </xdr:oneCellAnchor>
  <xdr:oneCellAnchor>
    <xdr:from>
      <xdr:col>4</xdr:col>
      <xdr:colOff>122463</xdr:colOff>
      <xdr:row>20</xdr:row>
      <xdr:rowOff>58032</xdr:rowOff>
    </xdr:from>
    <xdr:ext cx="630173" cy="25673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D33EB8E-3032-402D-A6EC-9FC3EF4CFA6F}"/>
            </a:ext>
          </a:extLst>
        </xdr:cNvPr>
        <xdr:cNvSpPr txBox="1"/>
      </xdr:nvSpPr>
      <xdr:spPr>
        <a:xfrm>
          <a:off x="2560863" y="3868032"/>
          <a:ext cx="630173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050">
              <a:latin typeface="Aptos" panose="020B0004020202020204" pitchFamily="34" charset="0"/>
            </a:rPr>
            <a:t>300mm</a:t>
          </a:r>
        </a:p>
      </xdr:txBody>
    </xdr:sp>
    <xdr:clientData/>
  </xdr:oneCellAnchor>
  <xdr:oneCellAnchor>
    <xdr:from>
      <xdr:col>4</xdr:col>
      <xdr:colOff>129186</xdr:colOff>
      <xdr:row>14</xdr:row>
      <xdr:rowOff>160005</xdr:rowOff>
    </xdr:from>
    <xdr:ext cx="729495" cy="25673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30A800B-4313-460D-A57C-BF023FBC6F65}"/>
            </a:ext>
            <a:ext uri="{147F2762-F138-4A5C-976F-8EAC2B608ADB}">
              <a16:predDERef xmlns:a16="http://schemas.microsoft.com/office/drawing/2014/main" pred="{CD33EB8E-3032-402D-A6EC-9FC3EF4CFA6F}"/>
            </a:ext>
          </a:extLst>
        </xdr:cNvPr>
        <xdr:cNvSpPr txBox="1"/>
      </xdr:nvSpPr>
      <xdr:spPr>
        <a:xfrm>
          <a:off x="1824636" y="2827005"/>
          <a:ext cx="729495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050">
              <a:latin typeface="Aptos" panose="020B0004020202020204" pitchFamily="34" charset="0"/>
            </a:rPr>
            <a:t>~196</a:t>
          </a:r>
          <a:r>
            <a:rPr lang="en-IN" sz="1050" baseline="0">
              <a:latin typeface="Aptos" panose="020B0004020202020204" pitchFamily="34" charset="0"/>
            </a:rPr>
            <a:t> </a:t>
          </a:r>
          <a:r>
            <a:rPr lang="en-IN" sz="1050">
              <a:latin typeface="Aptos" panose="020B0004020202020204" pitchFamily="34" charset="0"/>
            </a:rPr>
            <a:t>mm</a:t>
          </a:r>
        </a:p>
      </xdr:txBody>
    </xdr:sp>
    <xdr:clientData/>
  </xdr:oneCellAnchor>
  <xdr:oneCellAnchor>
    <xdr:from>
      <xdr:col>4</xdr:col>
      <xdr:colOff>184335</xdr:colOff>
      <xdr:row>9</xdr:row>
      <xdr:rowOff>97892</xdr:rowOff>
    </xdr:from>
    <xdr:ext cx="630173" cy="25673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C5A8624-9A8D-4245-9A13-8752B24CDB0C}"/>
            </a:ext>
          </a:extLst>
        </xdr:cNvPr>
        <xdr:cNvSpPr txBox="1"/>
      </xdr:nvSpPr>
      <xdr:spPr>
        <a:xfrm>
          <a:off x="2622735" y="1812392"/>
          <a:ext cx="630173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050">
              <a:latin typeface="Aptos" panose="020B0004020202020204" pitchFamily="34" charset="0"/>
            </a:rPr>
            <a:t>420mm</a:t>
          </a:r>
        </a:p>
      </xdr:txBody>
    </xdr:sp>
    <xdr:clientData/>
  </xdr:oneCellAnchor>
  <xdr:twoCellAnchor>
    <xdr:from>
      <xdr:col>4</xdr:col>
      <xdr:colOff>145596</xdr:colOff>
      <xdr:row>6</xdr:row>
      <xdr:rowOff>2722</xdr:rowOff>
    </xdr:from>
    <xdr:to>
      <xdr:col>4</xdr:col>
      <xdr:colOff>145596</xdr:colOff>
      <xdr:row>8</xdr:row>
      <xdr:rowOff>17722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56B054A7-9E02-4F06-BBA9-29A32CDE87FC}"/>
            </a:ext>
          </a:extLst>
        </xdr:cNvPr>
        <xdr:cNvCxnSpPr/>
      </xdr:nvCxnSpPr>
      <xdr:spPr>
        <a:xfrm>
          <a:off x="2583996" y="1145722"/>
          <a:ext cx="0" cy="396000"/>
        </a:xfrm>
        <a:prstGeom prst="straightConnector1">
          <a:avLst/>
        </a:prstGeom>
        <a:ln>
          <a:headEnd type="stealth"/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173449</xdr:colOff>
      <xdr:row>6</xdr:row>
      <xdr:rowOff>66596</xdr:rowOff>
    </xdr:from>
    <xdr:ext cx="558230" cy="25673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F69C2E0-5364-4A80-AF05-E3E669F03B33}"/>
            </a:ext>
          </a:extLst>
        </xdr:cNvPr>
        <xdr:cNvSpPr txBox="1"/>
      </xdr:nvSpPr>
      <xdr:spPr>
        <a:xfrm>
          <a:off x="1868899" y="1209596"/>
          <a:ext cx="558230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050">
              <a:latin typeface="Aptos" panose="020B0004020202020204" pitchFamily="34" charset="0"/>
            </a:rPr>
            <a:t>50mm</a:t>
          </a:r>
        </a:p>
      </xdr:txBody>
    </xdr:sp>
    <xdr:clientData/>
  </xdr:oneCellAnchor>
  <xdr:twoCellAnchor>
    <xdr:from>
      <xdr:col>3</xdr:col>
      <xdr:colOff>15875</xdr:colOff>
      <xdr:row>23</xdr:row>
      <xdr:rowOff>103188</xdr:rowOff>
    </xdr:from>
    <xdr:to>
      <xdr:col>3</xdr:col>
      <xdr:colOff>230188</xdr:colOff>
      <xdr:row>23</xdr:row>
      <xdr:rowOff>182563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DF74128-C435-B69D-5627-D7FAD9CC2F97}"/>
            </a:ext>
          </a:extLst>
        </xdr:cNvPr>
        <xdr:cNvSpPr/>
      </xdr:nvSpPr>
      <xdr:spPr>
        <a:xfrm>
          <a:off x="1476375" y="4484688"/>
          <a:ext cx="214313" cy="7937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277811</xdr:colOff>
      <xdr:row>12</xdr:row>
      <xdr:rowOff>170088</xdr:rowOff>
    </xdr:from>
    <xdr:to>
      <xdr:col>8</xdr:col>
      <xdr:colOff>4578350</xdr:colOff>
      <xdr:row>34</xdr:row>
      <xdr:rowOff>146049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F39FBA-6BD3-46EE-AB61-87EDB0FBE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943402</xdr:colOff>
      <xdr:row>19</xdr:row>
      <xdr:rowOff>122835</xdr:rowOff>
    </xdr:from>
    <xdr:ext cx="1260047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97DBE09-A3F8-475C-B383-15FE6971D78B}"/>
            </a:ext>
          </a:extLst>
        </xdr:cNvPr>
        <xdr:cNvSpPr txBox="1"/>
      </xdr:nvSpPr>
      <xdr:spPr>
        <a:xfrm>
          <a:off x="6856840" y="3742335"/>
          <a:ext cx="126004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800">
              <a:solidFill>
                <a:schemeClr val="accent1">
                  <a:lumMod val="50000"/>
                </a:schemeClr>
              </a:solidFill>
              <a:latin typeface="Aptos" panose="020B0004020202020204" pitchFamily="34" charset="0"/>
            </a:rPr>
            <a:t>Heating</a:t>
          </a:r>
          <a:r>
            <a:rPr lang="en-IN" sz="800" baseline="0">
              <a:solidFill>
                <a:schemeClr val="accent1">
                  <a:lumMod val="50000"/>
                </a:schemeClr>
              </a:solidFill>
              <a:latin typeface="Aptos" panose="020B0004020202020204" pitchFamily="34" charset="0"/>
            </a:rPr>
            <a:t> </a:t>
          </a:r>
        </a:p>
        <a:p>
          <a:r>
            <a:rPr lang="en-IN" sz="800" baseline="0">
              <a:solidFill>
                <a:schemeClr val="accent1">
                  <a:lumMod val="50000"/>
                </a:schemeClr>
              </a:solidFill>
              <a:latin typeface="Aptos" panose="020B0004020202020204" pitchFamily="34" charset="0"/>
            </a:rPr>
            <a:t>25 to 300 </a:t>
          </a:r>
          <a:r>
            <a:rPr lang="en-IN" sz="800" baseline="30000">
              <a:solidFill>
                <a:schemeClr val="accent1">
                  <a:lumMod val="50000"/>
                </a:schemeClr>
              </a:solidFill>
              <a:latin typeface="Aptos" panose="020B0004020202020204" pitchFamily="34" charset="0"/>
            </a:rPr>
            <a:t>o</a:t>
          </a:r>
          <a:r>
            <a:rPr lang="en-IN" sz="800" baseline="0">
              <a:solidFill>
                <a:schemeClr val="accent1">
                  <a:lumMod val="50000"/>
                </a:schemeClr>
              </a:solidFill>
              <a:latin typeface="Aptos" panose="020B0004020202020204" pitchFamily="34" charset="0"/>
            </a:rPr>
            <a:t>C </a:t>
          </a:r>
          <a:r>
            <a:rPr lang="en-IN" sz="800">
              <a:solidFill>
                <a:schemeClr val="accent1">
                  <a:lumMod val="50000"/>
                </a:schemeClr>
              </a:solidFill>
              <a:latin typeface="Aptos" panose="020B0004020202020204" pitchFamily="34" charset="0"/>
            </a:rPr>
            <a:t>@ 50 </a:t>
          </a:r>
          <a:r>
            <a:rPr lang="en-IN" sz="800" baseline="30000">
              <a:solidFill>
                <a:schemeClr val="accent1">
                  <a:lumMod val="50000"/>
                </a:schemeClr>
              </a:solidFill>
              <a:latin typeface="Aptos" panose="020B0004020202020204" pitchFamily="34" charset="0"/>
            </a:rPr>
            <a:t>o</a:t>
          </a:r>
          <a:r>
            <a:rPr lang="en-IN" sz="800">
              <a:solidFill>
                <a:schemeClr val="accent1">
                  <a:lumMod val="50000"/>
                </a:schemeClr>
              </a:solidFill>
              <a:latin typeface="Aptos" panose="020B0004020202020204" pitchFamily="34" charset="0"/>
            </a:rPr>
            <a:t>C/hr</a:t>
          </a:r>
        </a:p>
      </xdr:txBody>
    </xdr:sp>
    <xdr:clientData/>
  </xdr:oneCellAnchor>
  <xdr:oneCellAnchor>
    <xdr:from>
      <xdr:col>8</xdr:col>
      <xdr:colOff>210673</xdr:colOff>
      <xdr:row>16</xdr:row>
      <xdr:rowOff>54853</xdr:rowOff>
    </xdr:from>
    <xdr:ext cx="821635" cy="217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026C369-588C-4DA6-A885-96E732D9A467}"/>
            </a:ext>
          </a:extLst>
        </xdr:cNvPr>
        <xdr:cNvSpPr txBox="1"/>
      </xdr:nvSpPr>
      <xdr:spPr>
        <a:xfrm>
          <a:off x="8084673" y="3102853"/>
          <a:ext cx="82163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800">
              <a:solidFill>
                <a:schemeClr val="accent1">
                  <a:lumMod val="50000"/>
                </a:schemeClr>
              </a:solidFill>
              <a:latin typeface="Aptos" panose="020B0004020202020204" pitchFamily="34" charset="0"/>
            </a:rPr>
            <a:t>300</a:t>
          </a:r>
          <a:r>
            <a:rPr lang="en-IN" sz="800" baseline="30000">
              <a:solidFill>
                <a:schemeClr val="accent1">
                  <a:lumMod val="50000"/>
                </a:schemeClr>
              </a:solidFill>
              <a:latin typeface="Aptos" panose="020B0004020202020204" pitchFamily="34" charset="0"/>
            </a:rPr>
            <a:t> o</a:t>
          </a:r>
          <a:r>
            <a:rPr lang="en-IN" sz="800">
              <a:solidFill>
                <a:schemeClr val="accent1">
                  <a:lumMod val="50000"/>
                </a:schemeClr>
              </a:solidFill>
              <a:latin typeface="Aptos" panose="020B0004020202020204" pitchFamily="34" charset="0"/>
            </a:rPr>
            <a:t>C</a:t>
          </a:r>
          <a:r>
            <a:rPr lang="en-IN" sz="800" baseline="0">
              <a:solidFill>
                <a:schemeClr val="accent1">
                  <a:lumMod val="50000"/>
                </a:schemeClr>
              </a:solidFill>
              <a:latin typeface="Aptos" panose="020B0004020202020204" pitchFamily="34" charset="0"/>
            </a:rPr>
            <a:t> @ 2 hrs</a:t>
          </a:r>
          <a:endParaRPr lang="en-IN" sz="800">
            <a:solidFill>
              <a:schemeClr val="accent1">
                <a:lumMod val="50000"/>
              </a:schemeClr>
            </a:solidFill>
            <a:latin typeface="Aptos" panose="020B0004020202020204" pitchFamily="34" charset="0"/>
          </a:endParaRPr>
        </a:p>
      </xdr:txBody>
    </xdr:sp>
    <xdr:clientData/>
  </xdr:oneCellAnchor>
  <xdr:oneCellAnchor>
    <xdr:from>
      <xdr:col>6</xdr:col>
      <xdr:colOff>934040</xdr:colOff>
      <xdr:row>27</xdr:row>
      <xdr:rowOff>43649</xdr:rowOff>
    </xdr:from>
    <xdr:ext cx="642163" cy="217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1AEDABD-2EAE-46CA-A713-59A7D1AD1A79}"/>
            </a:ext>
          </a:extLst>
        </xdr:cNvPr>
        <xdr:cNvSpPr txBox="1"/>
      </xdr:nvSpPr>
      <xdr:spPr>
        <a:xfrm>
          <a:off x="6847478" y="5187149"/>
          <a:ext cx="642163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800" b="0" baseline="0">
              <a:solidFill>
                <a:schemeClr val="accent1">
                  <a:lumMod val="50000"/>
                </a:schemeClr>
              </a:solidFill>
              <a:latin typeface="Aptos" panose="020B0004020202020204" pitchFamily="34" charset="0"/>
            </a:rPr>
            <a:t>N2 (100%)</a:t>
          </a:r>
          <a:endParaRPr lang="en-IN" sz="800" b="0">
            <a:solidFill>
              <a:schemeClr val="accent1">
                <a:lumMod val="50000"/>
              </a:schemeClr>
            </a:solidFill>
            <a:latin typeface="Aptos" panose="020B0004020202020204" pitchFamily="34" charset="0"/>
          </a:endParaRPr>
        </a:p>
      </xdr:txBody>
    </xdr:sp>
    <xdr:clientData/>
  </xdr:oneCellAnchor>
  <xdr:twoCellAnchor>
    <xdr:from>
      <xdr:col>7</xdr:col>
      <xdr:colOff>8617</xdr:colOff>
      <xdr:row>28</xdr:row>
      <xdr:rowOff>82550</xdr:rowOff>
    </xdr:from>
    <xdr:to>
      <xdr:col>7</xdr:col>
      <xdr:colOff>12700</xdr:colOff>
      <xdr:row>30</xdr:row>
      <xdr:rowOff>73025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B190641-A179-47D1-86CC-214F124019E7}"/>
            </a:ext>
          </a:extLst>
        </xdr:cNvPr>
        <xdr:cNvCxnSpPr/>
      </xdr:nvCxnSpPr>
      <xdr:spPr>
        <a:xfrm flipH="1">
          <a:off x="6917417" y="5416550"/>
          <a:ext cx="4083" cy="371475"/>
        </a:xfrm>
        <a:prstGeom prst="straightConnector1">
          <a:avLst/>
        </a:prstGeom>
        <a:ln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1409245</xdr:colOff>
      <xdr:row>24</xdr:row>
      <xdr:rowOff>105229</xdr:rowOff>
    </xdr:from>
    <xdr:to>
      <xdr:col>8</xdr:col>
      <xdr:colOff>1409700</xdr:colOff>
      <xdr:row>26</xdr:row>
      <xdr:rowOff>12700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2E18CA5-9CDB-428A-9B34-9FF40BF26CCF}"/>
            </a:ext>
          </a:extLst>
        </xdr:cNvPr>
        <xdr:cNvCxnSpPr/>
      </xdr:nvCxnSpPr>
      <xdr:spPr>
        <a:xfrm flipH="1" flipV="1">
          <a:off x="9289595" y="4677229"/>
          <a:ext cx="455" cy="288471"/>
        </a:xfrm>
        <a:prstGeom prst="straightConnector1">
          <a:avLst/>
        </a:prstGeom>
        <a:ln>
          <a:solidFill>
            <a:schemeClr val="accent2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1070402</xdr:colOff>
      <xdr:row>19</xdr:row>
      <xdr:rowOff>103785</xdr:rowOff>
    </xdr:from>
    <xdr:ext cx="1334661" cy="34278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2957337-C939-4F18-A20C-7EDD11E985A0}"/>
            </a:ext>
          </a:extLst>
        </xdr:cNvPr>
        <xdr:cNvSpPr txBox="1"/>
      </xdr:nvSpPr>
      <xdr:spPr>
        <a:xfrm>
          <a:off x="8944402" y="3723285"/>
          <a:ext cx="133466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800">
              <a:solidFill>
                <a:schemeClr val="accent1">
                  <a:lumMod val="50000"/>
                </a:schemeClr>
              </a:solidFill>
              <a:latin typeface="Aptos" panose="020B0004020202020204" pitchFamily="34" charset="0"/>
            </a:rPr>
            <a:t>Cooling</a:t>
          </a:r>
          <a:endParaRPr lang="en-IN" sz="800" baseline="0">
            <a:solidFill>
              <a:schemeClr val="accent1">
                <a:lumMod val="50000"/>
              </a:schemeClr>
            </a:solidFill>
            <a:latin typeface="Aptos" panose="020B0004020202020204" pitchFamily="34" charset="0"/>
          </a:endParaRPr>
        </a:p>
        <a:p>
          <a:r>
            <a:rPr lang="en-IN" sz="800" baseline="0">
              <a:solidFill>
                <a:schemeClr val="accent1">
                  <a:lumMod val="50000"/>
                </a:schemeClr>
              </a:solidFill>
              <a:latin typeface="Aptos" panose="020B0004020202020204" pitchFamily="34" charset="0"/>
            </a:rPr>
            <a:t>300 to 150 </a:t>
          </a:r>
          <a:r>
            <a:rPr lang="en-IN" sz="800" baseline="30000">
              <a:solidFill>
                <a:schemeClr val="accent1">
                  <a:lumMod val="50000"/>
                </a:schemeClr>
              </a:solidFill>
              <a:latin typeface="Aptos" panose="020B0004020202020204" pitchFamily="34" charset="0"/>
            </a:rPr>
            <a:t>o</a:t>
          </a:r>
          <a:r>
            <a:rPr lang="en-IN" sz="800" baseline="0">
              <a:solidFill>
                <a:schemeClr val="accent1">
                  <a:lumMod val="50000"/>
                </a:schemeClr>
              </a:solidFill>
              <a:latin typeface="Aptos" panose="020B0004020202020204" pitchFamily="34" charset="0"/>
            </a:rPr>
            <a:t>C </a:t>
          </a:r>
          <a:r>
            <a:rPr lang="en-IN" sz="800">
              <a:solidFill>
                <a:schemeClr val="accent1">
                  <a:lumMod val="50000"/>
                </a:schemeClr>
              </a:solidFill>
              <a:latin typeface="Aptos" panose="020B0004020202020204" pitchFamily="34" charset="0"/>
            </a:rPr>
            <a:t>@ 50 </a:t>
          </a:r>
          <a:r>
            <a:rPr lang="en-IN" sz="800" baseline="30000">
              <a:solidFill>
                <a:schemeClr val="accent1">
                  <a:lumMod val="50000"/>
                </a:schemeClr>
              </a:solidFill>
              <a:latin typeface="Aptos" panose="020B0004020202020204" pitchFamily="34" charset="0"/>
            </a:rPr>
            <a:t>o</a:t>
          </a:r>
          <a:r>
            <a:rPr lang="en-IN" sz="800">
              <a:solidFill>
                <a:schemeClr val="accent1">
                  <a:lumMod val="50000"/>
                </a:schemeClr>
              </a:solidFill>
              <a:latin typeface="Aptos" panose="020B0004020202020204" pitchFamily="34" charset="0"/>
            </a:rPr>
            <a:t>C/hr</a:t>
          </a:r>
        </a:p>
      </xdr:txBody>
    </xdr:sp>
    <xdr:clientData/>
  </xdr:oneCellAnchor>
  <xdr:oneCellAnchor>
    <xdr:from>
      <xdr:col>8</xdr:col>
      <xdr:colOff>1207090</xdr:colOff>
      <xdr:row>26</xdr:row>
      <xdr:rowOff>43649</xdr:rowOff>
    </xdr:from>
    <xdr:ext cx="642227" cy="217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54782EB-53E0-4D16-A2CB-CE6CDA878DC6}"/>
            </a:ext>
          </a:extLst>
        </xdr:cNvPr>
        <xdr:cNvSpPr txBox="1"/>
      </xdr:nvSpPr>
      <xdr:spPr>
        <a:xfrm>
          <a:off x="9081090" y="4996649"/>
          <a:ext cx="642227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800" b="0" baseline="0">
              <a:solidFill>
                <a:schemeClr val="accent2"/>
              </a:solidFill>
              <a:latin typeface="Aptos" panose="020B0004020202020204" pitchFamily="34" charset="0"/>
            </a:rPr>
            <a:t>H2 (100%)</a:t>
          </a:r>
          <a:endParaRPr lang="en-IN" sz="800" b="0">
            <a:solidFill>
              <a:schemeClr val="accent2"/>
            </a:solidFill>
            <a:latin typeface="Aptos" panose="020B0004020202020204" pitchFamily="34" charset="0"/>
          </a:endParaRPr>
        </a:p>
      </xdr:txBody>
    </xdr:sp>
    <xdr:clientData/>
  </xdr:oneCellAnchor>
  <xdr:oneCellAnchor>
    <xdr:from>
      <xdr:col>8</xdr:col>
      <xdr:colOff>2105452</xdr:colOff>
      <xdr:row>21</xdr:row>
      <xdr:rowOff>97435</xdr:rowOff>
    </xdr:from>
    <xdr:ext cx="1363236" cy="34278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D152098-6C0C-4E5F-A2BC-BBA425E2693F}"/>
            </a:ext>
          </a:extLst>
        </xdr:cNvPr>
        <xdr:cNvSpPr txBox="1"/>
      </xdr:nvSpPr>
      <xdr:spPr>
        <a:xfrm>
          <a:off x="9979452" y="4097935"/>
          <a:ext cx="1363236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800">
              <a:solidFill>
                <a:schemeClr val="accent2"/>
              </a:solidFill>
              <a:latin typeface="Aptos" panose="020B0004020202020204" pitchFamily="34" charset="0"/>
            </a:rPr>
            <a:t>Heating</a:t>
          </a:r>
          <a:r>
            <a:rPr lang="en-IN" sz="800" baseline="0">
              <a:solidFill>
                <a:schemeClr val="accent2"/>
              </a:solidFill>
              <a:latin typeface="Aptos" panose="020B0004020202020204" pitchFamily="34" charset="0"/>
            </a:rPr>
            <a:t> </a:t>
          </a:r>
        </a:p>
        <a:p>
          <a:r>
            <a:rPr lang="en-IN" sz="800" baseline="0">
              <a:solidFill>
                <a:schemeClr val="accent2"/>
              </a:solidFill>
              <a:latin typeface="Aptos" panose="020B0004020202020204" pitchFamily="34" charset="0"/>
            </a:rPr>
            <a:t>150 to 300 </a:t>
          </a:r>
          <a:r>
            <a:rPr lang="en-IN" sz="800" baseline="30000">
              <a:solidFill>
                <a:schemeClr val="accent2"/>
              </a:solidFill>
              <a:latin typeface="Aptos" panose="020B0004020202020204" pitchFamily="34" charset="0"/>
            </a:rPr>
            <a:t>o</a:t>
          </a:r>
          <a:r>
            <a:rPr lang="en-IN" sz="800" baseline="0">
              <a:solidFill>
                <a:schemeClr val="accent2"/>
              </a:solidFill>
              <a:latin typeface="Aptos" panose="020B0004020202020204" pitchFamily="34" charset="0"/>
            </a:rPr>
            <a:t>C </a:t>
          </a:r>
          <a:r>
            <a:rPr lang="en-IN" sz="800">
              <a:solidFill>
                <a:schemeClr val="accent2"/>
              </a:solidFill>
              <a:latin typeface="Aptos" panose="020B0004020202020204" pitchFamily="34" charset="0"/>
            </a:rPr>
            <a:t>@ 50 </a:t>
          </a:r>
          <a:r>
            <a:rPr lang="en-IN" sz="800" baseline="30000">
              <a:solidFill>
                <a:schemeClr val="accent2"/>
              </a:solidFill>
              <a:latin typeface="Aptos" panose="020B0004020202020204" pitchFamily="34" charset="0"/>
            </a:rPr>
            <a:t>o</a:t>
          </a:r>
          <a:r>
            <a:rPr lang="en-IN" sz="800">
              <a:solidFill>
                <a:schemeClr val="accent2"/>
              </a:solidFill>
              <a:latin typeface="Aptos" panose="020B0004020202020204" pitchFamily="34" charset="0"/>
            </a:rPr>
            <a:t>C/hr</a:t>
          </a:r>
        </a:p>
      </xdr:txBody>
    </xdr:sp>
    <xdr:clientData/>
  </xdr:oneCellAnchor>
  <xdr:oneCellAnchor>
    <xdr:from>
      <xdr:col>8</xdr:col>
      <xdr:colOff>2439523</xdr:colOff>
      <xdr:row>16</xdr:row>
      <xdr:rowOff>61203</xdr:rowOff>
    </xdr:from>
    <xdr:ext cx="828560" cy="217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09DE9A8-7431-4821-8F5B-9244411FD02C}"/>
            </a:ext>
          </a:extLst>
        </xdr:cNvPr>
        <xdr:cNvSpPr txBox="1"/>
      </xdr:nvSpPr>
      <xdr:spPr>
        <a:xfrm>
          <a:off x="10313523" y="3109203"/>
          <a:ext cx="828560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r>
            <a:rPr lang="en-IN" sz="800" b="0" baseline="0">
              <a:solidFill>
                <a:schemeClr val="accent2"/>
              </a:solidFill>
              <a:latin typeface="Aptos" panose="020B0004020202020204" pitchFamily="34" charset="0"/>
              <a:ea typeface="+mn-ea"/>
              <a:cs typeface="+mn-cs"/>
            </a:rPr>
            <a:t>300 </a:t>
          </a:r>
          <a:r>
            <a:rPr lang="en-IN" sz="800" b="0" baseline="30000">
              <a:solidFill>
                <a:schemeClr val="accent2"/>
              </a:solidFill>
              <a:latin typeface="Aptos" panose="020B0004020202020204" pitchFamily="34" charset="0"/>
              <a:ea typeface="+mn-ea"/>
              <a:cs typeface="+mn-cs"/>
            </a:rPr>
            <a:t>o</a:t>
          </a:r>
          <a:r>
            <a:rPr lang="en-IN" sz="800" b="0" baseline="0">
              <a:solidFill>
                <a:schemeClr val="accent2"/>
              </a:solidFill>
              <a:latin typeface="Aptos" panose="020B0004020202020204" pitchFamily="34" charset="0"/>
              <a:ea typeface="+mn-ea"/>
              <a:cs typeface="+mn-cs"/>
            </a:rPr>
            <a:t>C @ 2 hrs</a:t>
          </a:r>
        </a:p>
      </xdr:txBody>
    </xdr:sp>
    <xdr:clientData/>
  </xdr:oneCellAnchor>
  <xdr:oneCellAnchor>
    <xdr:from>
      <xdr:col>8</xdr:col>
      <xdr:colOff>2994452</xdr:colOff>
      <xdr:row>17</xdr:row>
      <xdr:rowOff>91085</xdr:rowOff>
    </xdr:from>
    <xdr:ext cx="1347361" cy="34278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485586D-E396-4BE5-9CFD-02E9F05E729B}"/>
            </a:ext>
          </a:extLst>
        </xdr:cNvPr>
        <xdr:cNvSpPr txBox="1"/>
      </xdr:nvSpPr>
      <xdr:spPr>
        <a:xfrm>
          <a:off x="10868452" y="3329585"/>
          <a:ext cx="134736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800">
              <a:solidFill>
                <a:schemeClr val="accent2"/>
              </a:solidFill>
              <a:latin typeface="Aptos" panose="020B0004020202020204" pitchFamily="34" charset="0"/>
            </a:rPr>
            <a:t>Cooling</a:t>
          </a:r>
          <a:endParaRPr lang="en-IN" sz="800" baseline="0">
            <a:solidFill>
              <a:schemeClr val="accent2"/>
            </a:solidFill>
            <a:latin typeface="Aptos" panose="020B0004020202020204" pitchFamily="34" charset="0"/>
          </a:endParaRPr>
        </a:p>
        <a:p>
          <a:r>
            <a:rPr lang="en-IN" sz="800" baseline="0">
              <a:solidFill>
                <a:schemeClr val="accent2"/>
              </a:solidFill>
              <a:latin typeface="Aptos" panose="020B0004020202020204" pitchFamily="34" charset="0"/>
            </a:rPr>
            <a:t>300 to 210 </a:t>
          </a:r>
          <a:r>
            <a:rPr lang="en-IN" sz="800" baseline="30000">
              <a:solidFill>
                <a:schemeClr val="accent2"/>
              </a:solidFill>
              <a:latin typeface="Aptos" panose="020B0004020202020204" pitchFamily="34" charset="0"/>
            </a:rPr>
            <a:t>o</a:t>
          </a:r>
          <a:r>
            <a:rPr lang="en-IN" sz="800" baseline="0">
              <a:solidFill>
                <a:schemeClr val="accent2"/>
              </a:solidFill>
              <a:latin typeface="Aptos" panose="020B0004020202020204" pitchFamily="34" charset="0"/>
            </a:rPr>
            <a:t>C </a:t>
          </a:r>
          <a:r>
            <a:rPr lang="en-IN" sz="800">
              <a:solidFill>
                <a:schemeClr val="accent2"/>
              </a:solidFill>
              <a:latin typeface="Aptos" panose="020B0004020202020204" pitchFamily="34" charset="0"/>
            </a:rPr>
            <a:t>@ 50 </a:t>
          </a:r>
          <a:r>
            <a:rPr lang="en-IN" sz="800" baseline="30000">
              <a:solidFill>
                <a:schemeClr val="accent2"/>
              </a:solidFill>
              <a:latin typeface="Aptos" panose="020B0004020202020204" pitchFamily="34" charset="0"/>
            </a:rPr>
            <a:t>o</a:t>
          </a:r>
          <a:r>
            <a:rPr lang="en-IN" sz="800">
              <a:solidFill>
                <a:schemeClr val="accent2"/>
              </a:solidFill>
              <a:latin typeface="Aptos" panose="020B0004020202020204" pitchFamily="34" charset="0"/>
            </a:rPr>
            <a:t>C/hr</a:t>
          </a:r>
        </a:p>
      </xdr:txBody>
    </xdr:sp>
    <xdr:clientData/>
  </xdr:oneCellAnchor>
  <xdr:twoCellAnchor>
    <xdr:from>
      <xdr:col>8</xdr:col>
      <xdr:colOff>3448050</xdr:colOff>
      <xdr:row>20</xdr:row>
      <xdr:rowOff>101600</xdr:rowOff>
    </xdr:from>
    <xdr:to>
      <xdr:col>8</xdr:col>
      <xdr:colOff>3450317</xdr:colOff>
      <xdr:row>21</xdr:row>
      <xdr:rowOff>149225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A7133377-783E-47D6-89EC-EB183FF29E26}"/>
            </a:ext>
          </a:extLst>
        </xdr:cNvPr>
        <xdr:cNvCxnSpPr/>
      </xdr:nvCxnSpPr>
      <xdr:spPr>
        <a:xfrm>
          <a:off x="11328400" y="3911600"/>
          <a:ext cx="2267" cy="238125"/>
        </a:xfrm>
        <a:prstGeom prst="straightConnector1">
          <a:avLst/>
        </a:prstGeom>
        <a:ln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3251790</xdr:colOff>
      <xdr:row>19</xdr:row>
      <xdr:rowOff>119849</xdr:rowOff>
    </xdr:from>
    <xdr:ext cx="702436" cy="217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DE98BC9-90E3-410A-9BAA-48629A0FAEEA}"/>
            </a:ext>
          </a:extLst>
        </xdr:cNvPr>
        <xdr:cNvSpPr txBox="1"/>
      </xdr:nvSpPr>
      <xdr:spPr>
        <a:xfrm>
          <a:off x="11125790" y="3739349"/>
          <a:ext cx="702436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800" b="0" baseline="0">
              <a:solidFill>
                <a:schemeClr val="accent1">
                  <a:lumMod val="50000"/>
                </a:schemeClr>
              </a:solidFill>
              <a:latin typeface="Aptos" panose="020B0004020202020204" pitchFamily="34" charset="0"/>
            </a:rPr>
            <a:t>Feed Cut-in</a:t>
          </a:r>
          <a:endParaRPr lang="en-IN" sz="800" b="0">
            <a:solidFill>
              <a:schemeClr val="accent1">
                <a:lumMod val="50000"/>
              </a:schemeClr>
            </a:solidFill>
            <a:latin typeface="Aptos" panose="020B0004020202020204" pitchFamily="34" charset="0"/>
          </a:endParaRPr>
        </a:p>
      </xdr:txBody>
    </xdr:sp>
    <xdr:clientData/>
  </xdr:oneCellAnchor>
  <xdr:oneCellAnchor>
    <xdr:from>
      <xdr:col>8</xdr:col>
      <xdr:colOff>73452</xdr:colOff>
      <xdr:row>30</xdr:row>
      <xdr:rowOff>14885</xdr:rowOff>
    </xdr:from>
    <xdr:ext cx="1260047" cy="217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512362D-17FD-4C6D-BAD5-CFB2F0CB667C}"/>
            </a:ext>
          </a:extLst>
        </xdr:cNvPr>
        <xdr:cNvSpPr txBox="1"/>
      </xdr:nvSpPr>
      <xdr:spPr>
        <a:xfrm>
          <a:off x="7947452" y="5729885"/>
          <a:ext cx="1260047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800">
              <a:solidFill>
                <a:schemeClr val="tx1"/>
              </a:solidFill>
              <a:latin typeface="Aptos" panose="020B0004020202020204" pitchFamily="34" charset="0"/>
            </a:rPr>
            <a:t>1 barg</a:t>
          </a:r>
        </a:p>
      </xdr:txBody>
    </xdr:sp>
    <xdr:clientData/>
  </xdr:oneCellAnchor>
  <xdr:oneCellAnchor>
    <xdr:from>
      <xdr:col>8</xdr:col>
      <xdr:colOff>2353102</xdr:colOff>
      <xdr:row>28</xdr:row>
      <xdr:rowOff>160935</xdr:rowOff>
    </xdr:from>
    <xdr:ext cx="1260047" cy="217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23E2B36-FA0E-4386-89DD-AEBEDD29606D}"/>
            </a:ext>
          </a:extLst>
        </xdr:cNvPr>
        <xdr:cNvSpPr txBox="1"/>
      </xdr:nvSpPr>
      <xdr:spPr>
        <a:xfrm>
          <a:off x="10227102" y="5494935"/>
          <a:ext cx="1260047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800">
              <a:solidFill>
                <a:schemeClr val="tx1"/>
              </a:solidFill>
              <a:latin typeface="Aptos" panose="020B0004020202020204" pitchFamily="34" charset="0"/>
            </a:rPr>
            <a:t>5 barg</a:t>
          </a:r>
        </a:p>
      </xdr:txBody>
    </xdr:sp>
    <xdr:clientData/>
  </xdr:oneCellAnchor>
  <xdr:oneCellAnchor>
    <xdr:from>
      <xdr:col>8</xdr:col>
      <xdr:colOff>3318302</xdr:colOff>
      <xdr:row>23</xdr:row>
      <xdr:rowOff>97435</xdr:rowOff>
    </xdr:from>
    <xdr:ext cx="1260047" cy="217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F592F56-7DEA-4AC7-AF91-99CB44B12358}"/>
            </a:ext>
          </a:extLst>
        </xdr:cNvPr>
        <xdr:cNvSpPr txBox="1"/>
      </xdr:nvSpPr>
      <xdr:spPr>
        <a:xfrm>
          <a:off x="11192302" y="4478935"/>
          <a:ext cx="1260047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800">
              <a:solidFill>
                <a:schemeClr val="tx1"/>
              </a:solidFill>
              <a:latin typeface="Aptos" panose="020B0004020202020204" pitchFamily="34" charset="0"/>
            </a:rPr>
            <a:t>25 barg</a:t>
          </a:r>
        </a:p>
      </xdr:txBody>
    </xdr:sp>
    <xdr:clientData/>
  </xdr:oneCellAnchor>
  <xdr:twoCellAnchor editAs="oneCell">
    <xdr:from>
      <xdr:col>10</xdr:col>
      <xdr:colOff>579967</xdr:colOff>
      <xdr:row>22</xdr:row>
      <xdr:rowOff>169334</xdr:rowOff>
    </xdr:from>
    <xdr:to>
      <xdr:col>17</xdr:col>
      <xdr:colOff>332810</xdr:colOff>
      <xdr:row>47</xdr:row>
      <xdr:rowOff>105834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211E5D-A7EC-4C16-A909-178059C35673}"/>
            </a:ext>
            <a:ext uri="{147F2762-F138-4A5C-976F-8EAC2B608ADB}">
              <a16:predDERef xmlns:a16="http://schemas.microsoft.com/office/drawing/2014/main" pred="{FF592F56-7DEA-4AC7-AF91-99CB44B12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38967" y="4150784"/>
          <a:ext cx="7048993" cy="44608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71559</xdr:colOff>
      <xdr:row>12</xdr:row>
      <xdr:rowOff>99158</xdr:rowOff>
    </xdr:from>
    <xdr:to>
      <xdr:col>8</xdr:col>
      <xdr:colOff>178044</xdr:colOff>
      <xdr:row>26</xdr:row>
      <xdr:rowOff>175358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D3B999-DBF9-44E4-A573-641CDBFC58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95250</xdr:colOff>
      <xdr:row>28</xdr:row>
      <xdr:rowOff>16809</xdr:rowOff>
    </xdr:from>
    <xdr:to>
      <xdr:col>8</xdr:col>
      <xdr:colOff>201735</xdr:colOff>
      <xdr:row>42</xdr:row>
      <xdr:rowOff>93009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63FA30-6F77-46B6-B270-2981DE2BB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276225</xdr:colOff>
      <xdr:row>2</xdr:row>
      <xdr:rowOff>66675</xdr:rowOff>
    </xdr:from>
    <xdr:to>
      <xdr:col>36</xdr:col>
      <xdr:colOff>505963</xdr:colOff>
      <xdr:row>15</xdr:row>
      <xdr:rowOff>162311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BDA92F-B1DA-4B44-980A-D8A3D83E1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707725" y="447675"/>
          <a:ext cx="8154538" cy="2762636"/>
        </a:xfrm>
        <a:prstGeom prst="rect">
          <a:avLst/>
        </a:prstGeom>
      </xdr:spPr>
    </xdr:pic>
    <xdr:clientData/>
  </xdr:twoCellAnchor>
  <xdr:twoCellAnchor>
    <xdr:from>
      <xdr:col>15</xdr:col>
      <xdr:colOff>76200</xdr:colOff>
      <xdr:row>17</xdr:row>
      <xdr:rowOff>66674</xdr:rowOff>
    </xdr:from>
    <xdr:to>
      <xdr:col>20</xdr:col>
      <xdr:colOff>144585</xdr:colOff>
      <xdr:row>33</xdr:row>
      <xdr:rowOff>76199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CC1CD4-3579-4AD5-B387-F86366D32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19050</xdr:colOff>
      <xdr:row>34</xdr:row>
      <xdr:rowOff>114300</xdr:rowOff>
    </xdr:from>
    <xdr:to>
      <xdr:col>20</xdr:col>
      <xdr:colOff>142875</xdr:colOff>
      <xdr:row>51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E67C591-D6DF-4809-A329-61D2EF725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0</xdr:colOff>
      <xdr:row>18</xdr:row>
      <xdr:rowOff>0</xdr:rowOff>
    </xdr:from>
    <xdr:to>
      <xdr:col>28</xdr:col>
      <xdr:colOff>535110</xdr:colOff>
      <xdr:row>34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16E2459-CF65-44F4-AECE-5E7E99FB9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0</xdr:colOff>
      <xdr:row>35</xdr:row>
      <xdr:rowOff>0</xdr:rowOff>
    </xdr:from>
    <xdr:to>
      <xdr:col>28</xdr:col>
      <xdr:colOff>590550</xdr:colOff>
      <xdr:row>51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7FB625E-7873-4A69-B8CE-49000BE6A1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424296</xdr:colOff>
      <xdr:row>146</xdr:row>
      <xdr:rowOff>138546</xdr:rowOff>
    </xdr:from>
    <xdr:ext cx="9092045" cy="112569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4CA1547-7B5F-1EC8-253E-6FDFC5C05877}"/>
            </a:ext>
          </a:extLst>
        </xdr:cNvPr>
        <xdr:cNvSpPr txBox="1"/>
      </xdr:nvSpPr>
      <xdr:spPr>
        <a:xfrm>
          <a:off x="424296" y="24981478"/>
          <a:ext cx="9092045" cy="11256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just" fontAlgn="t"/>
          <a:r>
            <a:rPr lang="en-IN" sz="1100" b="0" i="0">
              <a:solidFill>
                <a:srgbClr val="FF0000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The naphtha composition obtained from the online DHA was used. Propane, isobutane, and n-butane were completely excluded from the product slate, and the remaining composition was renormalized before being input into the BTX/N model for RON determination.</a:t>
          </a:r>
          <a:r>
            <a:rPr lang="en-IN" sz="1100" b="0" i="0" baseline="0">
              <a:solidFill>
                <a:srgbClr val="FF0000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</a:p>
        <a:p>
          <a:pPr algn="just" fontAlgn="t"/>
          <a:endParaRPr lang="en-IN" sz="1100" b="0" i="0" baseline="0">
            <a:solidFill>
              <a:srgbClr val="FF0000"/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just" fontAlgn="t"/>
          <a:r>
            <a:rPr lang="en-IN" sz="1100" b="0" i="0">
              <a:solidFill>
                <a:srgbClr val="FF0000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 sensitivity check showed that including 2 wt% n-butane increases the predicted RON by approximately 2 units. However, for a conservative estimate, n-butane has been excluded from the current evaluation.</a:t>
          </a:r>
        </a:p>
        <a:p>
          <a:endParaRPr lang="en-IN" sz="1100" b="0">
            <a:solidFill>
              <a:srgbClr val="FF0000"/>
            </a:solidFill>
            <a:latin typeface="Aptos" panose="020B0004020202020204" pitchFamily="34" charset="0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1588</xdr:colOff>
      <xdr:row>5</xdr:row>
      <xdr:rowOff>6348</xdr:rowOff>
    </xdr:from>
    <xdr:to>
      <xdr:col>10</xdr:col>
      <xdr:colOff>555625</xdr:colOff>
      <xdr:row>24</xdr:row>
      <xdr:rowOff>106362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6A7DF7-B6D2-A923-4C94-FDED76D3B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547687</xdr:colOff>
      <xdr:row>47</xdr:row>
      <xdr:rowOff>158750</xdr:rowOff>
    </xdr:from>
    <xdr:to>
      <xdr:col>10</xdr:col>
      <xdr:colOff>490536</xdr:colOff>
      <xdr:row>67</xdr:row>
      <xdr:rowOff>68264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48D80C-FE4B-49D0-96EE-F8DD36D97B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349249</xdr:colOff>
      <xdr:row>4</xdr:row>
      <xdr:rowOff>149225</xdr:rowOff>
    </xdr:from>
    <xdr:to>
      <xdr:col>21</xdr:col>
      <xdr:colOff>292099</xdr:colOff>
      <xdr:row>24</xdr:row>
      <xdr:rowOff>58739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7166AB-7478-4ABD-A770-962318C7F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444501</xdr:colOff>
      <xdr:row>4</xdr:row>
      <xdr:rowOff>158750</xdr:rowOff>
    </xdr:from>
    <xdr:to>
      <xdr:col>30</xdr:col>
      <xdr:colOff>387350</xdr:colOff>
      <xdr:row>24</xdr:row>
      <xdr:rowOff>68264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0BC44B-1923-4843-A9B0-7BD955511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79375</xdr:colOff>
      <xdr:row>26</xdr:row>
      <xdr:rowOff>111125</xdr:rowOff>
    </xdr:from>
    <xdr:to>
      <xdr:col>10</xdr:col>
      <xdr:colOff>476250</xdr:colOff>
      <xdr:row>46</xdr:row>
      <xdr:rowOff>20639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DE5D0BD-62E3-4EB4-997E-EEBAA70CCC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542925</xdr:colOff>
      <xdr:row>9</xdr:row>
      <xdr:rowOff>7938</xdr:rowOff>
    </xdr:from>
    <xdr:to>
      <xdr:col>15</xdr:col>
      <xdr:colOff>85224</xdr:colOff>
      <xdr:row>21</xdr:row>
      <xdr:rowOff>15875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CF71F3F-3D1C-058A-F607-41D7B316B5E2}"/>
            </a:ext>
          </a:extLst>
        </xdr:cNvPr>
        <xdr:cNvSpPr/>
      </xdr:nvSpPr>
      <xdr:spPr>
        <a:xfrm>
          <a:off x="8493793" y="1722438"/>
          <a:ext cx="765510" cy="2293937"/>
        </a:xfrm>
        <a:prstGeom prst="rect">
          <a:avLst/>
        </a:prstGeom>
        <a:solidFill>
          <a:schemeClr val="accent1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15</xdr:col>
      <xdr:colOff>115427</xdr:colOff>
      <xdr:row>9</xdr:row>
      <xdr:rowOff>9525</xdr:rowOff>
    </xdr:from>
    <xdr:to>
      <xdr:col>16</xdr:col>
      <xdr:colOff>250659</xdr:colOff>
      <xdr:row>21</xdr:row>
      <xdr:rowOff>17462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343CB948-4F5C-495D-884C-0B459CF999E8}"/>
            </a:ext>
          </a:extLst>
        </xdr:cNvPr>
        <xdr:cNvSpPr/>
      </xdr:nvSpPr>
      <xdr:spPr>
        <a:xfrm>
          <a:off x="9289506" y="1724025"/>
          <a:ext cx="746837" cy="2293937"/>
        </a:xfrm>
        <a:prstGeom prst="rect">
          <a:avLst/>
        </a:prstGeom>
        <a:solidFill>
          <a:schemeClr val="accent4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23</xdr:col>
      <xdr:colOff>31750</xdr:colOff>
      <xdr:row>9</xdr:row>
      <xdr:rowOff>0</xdr:rowOff>
    </xdr:from>
    <xdr:to>
      <xdr:col>24</xdr:col>
      <xdr:colOff>160421</xdr:colOff>
      <xdr:row>21</xdr:row>
      <xdr:rowOff>7937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4D8F064-2C66-4C9A-9580-C070F99D7F23}"/>
            </a:ext>
          </a:extLst>
        </xdr:cNvPr>
        <xdr:cNvSpPr/>
      </xdr:nvSpPr>
      <xdr:spPr>
        <a:xfrm>
          <a:off x="14098671" y="1714500"/>
          <a:ext cx="740276" cy="2293937"/>
        </a:xfrm>
        <a:prstGeom prst="rect">
          <a:avLst/>
        </a:prstGeom>
        <a:solidFill>
          <a:schemeClr val="accent1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162927</xdr:colOff>
      <xdr:row>9</xdr:row>
      <xdr:rowOff>6685</xdr:rowOff>
    </xdr:from>
    <xdr:to>
      <xdr:col>25</xdr:col>
      <xdr:colOff>389146</xdr:colOff>
      <xdr:row>21</xdr:row>
      <xdr:rowOff>14622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D48A75B-7CAD-4B93-8619-C5ABC54A17E1}"/>
            </a:ext>
          </a:extLst>
        </xdr:cNvPr>
        <xdr:cNvSpPr/>
      </xdr:nvSpPr>
      <xdr:spPr>
        <a:xfrm>
          <a:off x="14841453" y="1721185"/>
          <a:ext cx="837825" cy="2293937"/>
        </a:xfrm>
        <a:prstGeom prst="rect">
          <a:avLst/>
        </a:prstGeom>
        <a:solidFill>
          <a:schemeClr val="accent4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12</xdr:col>
      <xdr:colOff>63500</xdr:colOff>
      <xdr:row>25</xdr:row>
      <xdr:rowOff>142875</xdr:rowOff>
    </xdr:from>
    <xdr:to>
      <xdr:col>21</xdr:col>
      <xdr:colOff>6350</xdr:colOff>
      <xdr:row>45</xdr:row>
      <xdr:rowOff>52389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AD193F6-E165-4F3B-9E0B-84A24C07C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388938</xdr:colOff>
      <xdr:row>25</xdr:row>
      <xdr:rowOff>174625</xdr:rowOff>
    </xdr:from>
    <xdr:to>
      <xdr:col>30</xdr:col>
      <xdr:colOff>331787</xdr:colOff>
      <xdr:row>45</xdr:row>
      <xdr:rowOff>84139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AEF95DA-3DC6-4FFA-8B96-2290F232F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430027</xdr:colOff>
      <xdr:row>48</xdr:row>
      <xdr:rowOff>58363</xdr:rowOff>
    </xdr:from>
    <xdr:to>
      <xdr:col>30</xdr:col>
      <xdr:colOff>372876</xdr:colOff>
      <xdr:row>67</xdr:row>
      <xdr:rowOff>158377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8251015-A329-4DFB-95B7-296D4B048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0</xdr:colOff>
      <xdr:row>48</xdr:row>
      <xdr:rowOff>0</xdr:rowOff>
    </xdr:from>
    <xdr:to>
      <xdr:col>20</xdr:col>
      <xdr:colOff>554037</xdr:colOff>
      <xdr:row>67</xdr:row>
      <xdr:rowOff>100014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DA6BCD4-36F9-4514-9117-DD100F1AD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276349</xdr:colOff>
      <xdr:row>8</xdr:row>
      <xdr:rowOff>182061</xdr:rowOff>
    </xdr:from>
    <xdr:to>
      <xdr:col>17</xdr:col>
      <xdr:colOff>486276</xdr:colOff>
      <xdr:row>20</xdr:row>
      <xdr:rowOff>189998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D2CF225-CA8F-4B61-8159-4DC8EB27D53E}"/>
            </a:ext>
          </a:extLst>
        </xdr:cNvPr>
        <xdr:cNvSpPr/>
      </xdr:nvSpPr>
      <xdr:spPr>
        <a:xfrm>
          <a:off x="10062033" y="1706061"/>
          <a:ext cx="821532" cy="2293937"/>
        </a:xfrm>
        <a:prstGeom prst="rect">
          <a:avLst/>
        </a:prstGeom>
        <a:solidFill>
          <a:schemeClr val="accent1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25</xdr:col>
      <xdr:colOff>391569</xdr:colOff>
      <xdr:row>9</xdr:row>
      <xdr:rowOff>32292</xdr:rowOff>
    </xdr:from>
    <xdr:to>
      <xdr:col>26</xdr:col>
      <xdr:colOff>586539</xdr:colOff>
      <xdr:row>20</xdr:row>
      <xdr:rowOff>175461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582AC18-2597-4683-ACFB-0C2DA7F9EACB}"/>
            </a:ext>
          </a:extLst>
        </xdr:cNvPr>
        <xdr:cNvSpPr/>
      </xdr:nvSpPr>
      <xdr:spPr>
        <a:xfrm>
          <a:off x="15681701" y="1746792"/>
          <a:ext cx="806575" cy="2238669"/>
        </a:xfrm>
        <a:prstGeom prst="rect">
          <a:avLst/>
        </a:prstGeom>
        <a:solidFill>
          <a:schemeClr val="accent1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700">
            <a:solidFill>
              <a:schemeClr val="tx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26</xdr:col>
      <xdr:colOff>597317</xdr:colOff>
      <xdr:row>9</xdr:row>
      <xdr:rowOff>11028</xdr:rowOff>
    </xdr:from>
    <xdr:to>
      <xdr:col>27</xdr:col>
      <xdr:colOff>406066</xdr:colOff>
      <xdr:row>21</xdr:row>
      <xdr:rowOff>18965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E4559EE5-0CCD-4FD8-A7A6-79317A7C64AA}"/>
            </a:ext>
          </a:extLst>
        </xdr:cNvPr>
        <xdr:cNvSpPr/>
      </xdr:nvSpPr>
      <xdr:spPr>
        <a:xfrm>
          <a:off x="16499054" y="1725528"/>
          <a:ext cx="420354" cy="2293937"/>
        </a:xfrm>
        <a:prstGeom prst="rect">
          <a:avLst/>
        </a:prstGeom>
        <a:solidFill>
          <a:schemeClr val="accent4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r>
            <a:rPr lang="en-IN" sz="1000">
              <a:solidFill>
                <a:schemeClr val="tx1"/>
              </a:solidFill>
              <a:latin typeface="Aptos" panose="020B0004020202020204" pitchFamily="34" charset="0"/>
            </a:rPr>
            <a:t> </a:t>
          </a:r>
        </a:p>
      </xdr:txBody>
    </xdr:sp>
    <xdr:clientData/>
  </xdr:twoCellAnchor>
  <xdr:twoCellAnchor>
    <xdr:from>
      <xdr:col>17</xdr:col>
      <xdr:colOff>493670</xdr:colOff>
      <xdr:row>8</xdr:row>
      <xdr:rowOff>181475</xdr:rowOff>
    </xdr:from>
    <xdr:to>
      <xdr:col>18</xdr:col>
      <xdr:colOff>275723</xdr:colOff>
      <xdr:row>20</xdr:row>
      <xdr:rowOff>189412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875B3FA-0C3A-4285-8C20-8F7AB03BE146}"/>
            </a:ext>
          </a:extLst>
        </xdr:cNvPr>
        <xdr:cNvSpPr/>
      </xdr:nvSpPr>
      <xdr:spPr>
        <a:xfrm>
          <a:off x="10890959" y="1705475"/>
          <a:ext cx="393659" cy="2293937"/>
        </a:xfrm>
        <a:prstGeom prst="rect">
          <a:avLst/>
        </a:prstGeom>
        <a:solidFill>
          <a:schemeClr val="accent4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050">
            <a:solidFill>
              <a:schemeClr val="tx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8</xdr:col>
      <xdr:colOff>285750</xdr:colOff>
      <xdr:row>117</xdr:row>
      <xdr:rowOff>181841</xdr:rowOff>
    </xdr:from>
    <xdr:to>
      <xdr:col>22</xdr:col>
      <xdr:colOff>350957</xdr:colOff>
      <xdr:row>138</xdr:row>
      <xdr:rowOff>138433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A81ABD-015B-46FF-A0F8-6EAD5EA5D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400219</xdr:colOff>
      <xdr:row>9</xdr:row>
      <xdr:rowOff>9732</xdr:rowOff>
    </xdr:from>
    <xdr:to>
      <xdr:col>28</xdr:col>
      <xdr:colOff>160422</xdr:colOff>
      <xdr:row>21</xdr:row>
      <xdr:rowOff>17669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6876422-A580-494C-B5C0-C62686622CC6}"/>
            </a:ext>
          </a:extLst>
        </xdr:cNvPr>
        <xdr:cNvSpPr/>
      </xdr:nvSpPr>
      <xdr:spPr>
        <a:xfrm>
          <a:off x="16913561" y="1724232"/>
          <a:ext cx="371808" cy="2293937"/>
        </a:xfrm>
        <a:prstGeom prst="rect">
          <a:avLst/>
        </a:prstGeom>
        <a:solidFill>
          <a:schemeClr val="accent1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l"/>
          <a:endParaRPr lang="en-IN" sz="600">
            <a:solidFill>
              <a:schemeClr val="tx1"/>
            </a:solidFill>
            <a:latin typeface="Aptos" panose="020B0004020202020204" pitchFamily="34" charset="0"/>
          </a:endParaRPr>
        </a:p>
        <a:p>
          <a:pPr algn="l"/>
          <a:endParaRPr lang="en-IN" sz="600">
            <a:solidFill>
              <a:schemeClr val="tx1"/>
            </a:solidFill>
            <a:latin typeface="Aptos" panose="020B0004020202020204" pitchFamily="34" charset="0"/>
          </a:endParaRPr>
        </a:p>
        <a:p>
          <a:pPr algn="l"/>
          <a:r>
            <a:rPr lang="en-IN" sz="900">
              <a:solidFill>
                <a:schemeClr val="tx1"/>
              </a:solidFill>
              <a:latin typeface="Aptos" panose="020B0004020202020204" pitchFamily="34" charset="0"/>
            </a:rPr>
            <a:t> </a:t>
          </a:r>
        </a:p>
      </xdr:txBody>
    </xdr:sp>
    <xdr:clientData/>
  </xdr:twoCellAnchor>
  <xdr:twoCellAnchor>
    <xdr:from>
      <xdr:col>34</xdr:col>
      <xdr:colOff>333375</xdr:colOff>
      <xdr:row>70</xdr:row>
      <xdr:rowOff>47625</xdr:rowOff>
    </xdr:from>
    <xdr:to>
      <xdr:col>40</xdr:col>
      <xdr:colOff>450850</xdr:colOff>
      <xdr:row>89</xdr:row>
      <xdr:rowOff>147639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38004F-FF47-43FC-AFB9-51380C397E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34</xdr:col>
      <xdr:colOff>444500</xdr:colOff>
      <xdr:row>90</xdr:row>
      <xdr:rowOff>166687</xdr:rowOff>
    </xdr:from>
    <xdr:to>
      <xdr:col>40</xdr:col>
      <xdr:colOff>561975</xdr:colOff>
      <xdr:row>110</xdr:row>
      <xdr:rowOff>76201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249AA7CF-DAE5-4000-8627-0111F230D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41</xdr:col>
      <xdr:colOff>222250</xdr:colOff>
      <xdr:row>70</xdr:row>
      <xdr:rowOff>79375</xdr:rowOff>
    </xdr:from>
    <xdr:to>
      <xdr:col>50</xdr:col>
      <xdr:colOff>165100</xdr:colOff>
      <xdr:row>89</xdr:row>
      <xdr:rowOff>179389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B3661F75-AAA8-4098-82B7-EEAB2A50F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7327</xdr:colOff>
      <xdr:row>67</xdr:row>
      <xdr:rowOff>87923</xdr:rowOff>
    </xdr:from>
    <xdr:to>
      <xdr:col>10</xdr:col>
      <xdr:colOff>558310</xdr:colOff>
      <xdr:row>86</xdr:row>
      <xdr:rowOff>187937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8D67B23-FE59-4B1C-9AAB-B54DC3408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22</xdr:col>
      <xdr:colOff>123825</xdr:colOff>
      <xdr:row>69</xdr:row>
      <xdr:rowOff>171450</xdr:rowOff>
    </xdr:from>
    <xdr:to>
      <xdr:col>31</xdr:col>
      <xdr:colOff>68263</xdr:colOff>
      <xdr:row>89</xdr:row>
      <xdr:rowOff>80964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72783AE-7FC9-4358-7741-893F3346FC6A}"/>
            </a:ext>
          </a:extLst>
        </xdr:cNvPr>
        <xdr:cNvGrpSpPr/>
      </xdr:nvGrpSpPr>
      <xdr:grpSpPr>
        <a:xfrm>
          <a:off x="13535025" y="13315950"/>
          <a:ext cx="5430838" cy="3719514"/>
          <a:chOff x="14630400" y="14287500"/>
          <a:chExt cx="5430838" cy="3719514"/>
        </a:xfrm>
      </xdr:grpSpPr>
      <xdr:graphicFrame macro="">
        <xdr:nvGraphicFramePr>
          <xdr:cNvPr id="45" name="Chart 44">
            <a:extLst>
              <a:ext uri="{FF2B5EF4-FFF2-40B4-BE49-F238E27FC236}">
                <a16:creationId xmlns:a16="http://schemas.microsoft.com/office/drawing/2014/main" id="{FBAA1173-AD7B-4D7E-B4F3-8B7AAFF43CE3}"/>
              </a:ext>
            </a:extLst>
          </xdr:cNvPr>
          <xdr:cNvGraphicFramePr>
            <a:graphicFrameLocks/>
          </xdr:cNvGraphicFramePr>
        </xdr:nvGraphicFramePr>
        <xdr:xfrm>
          <a:off x="14630400" y="14287500"/>
          <a:ext cx="5430838" cy="371951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CEB55643-D3BE-DC1C-D9A5-CFA1F54182A2}"/>
              </a:ext>
            </a:extLst>
          </xdr:cNvPr>
          <xdr:cNvGrpSpPr/>
        </xdr:nvGrpSpPr>
        <xdr:grpSpPr>
          <a:xfrm>
            <a:off x="15438437" y="15100788"/>
            <a:ext cx="3906105" cy="1956900"/>
            <a:chOff x="15438437" y="15100788"/>
            <a:chExt cx="3906105" cy="1956900"/>
          </a:xfrm>
        </xdr:grpSpPr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01BFCB80-A1A8-BA8E-97C9-6B0204353157}"/>
                </a:ext>
              </a:extLst>
            </xdr:cNvPr>
            <xdr:cNvCxnSpPr/>
          </xdr:nvCxnSpPr>
          <xdr:spPr>
            <a:xfrm>
              <a:off x="15438437" y="15748000"/>
              <a:ext cx="3538538" cy="1309688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Straight Connector 28">
              <a:extLst>
                <a:ext uri="{FF2B5EF4-FFF2-40B4-BE49-F238E27FC236}">
                  <a16:creationId xmlns:a16="http://schemas.microsoft.com/office/drawing/2014/main" id="{63DD6CC0-B969-43A7-9A0A-CB12A15B3DAE}"/>
                </a:ext>
              </a:extLst>
            </xdr:cNvPr>
            <xdr:cNvCxnSpPr/>
          </xdr:nvCxnSpPr>
          <xdr:spPr>
            <a:xfrm>
              <a:off x="15730904" y="15100788"/>
              <a:ext cx="3613638" cy="95982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2F09EE17-CB9D-42DE-82F7-26B56DDEDCD7}"/>
                </a:ext>
              </a:extLst>
            </xdr:cNvPr>
            <xdr:cNvCxnSpPr/>
          </xdr:nvCxnSpPr>
          <xdr:spPr>
            <a:xfrm>
              <a:off x="16766930" y="15166731"/>
              <a:ext cx="2467709" cy="16851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28</xdr:col>
      <xdr:colOff>162177</xdr:colOff>
      <xdr:row>9</xdr:row>
      <xdr:rowOff>16043</xdr:rowOff>
    </xdr:from>
    <xdr:to>
      <xdr:col>29</xdr:col>
      <xdr:colOff>45118</xdr:colOff>
      <xdr:row>20</xdr:row>
      <xdr:rowOff>180475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CCAA5CAA-4675-4F2E-8DAC-51B18DD77542}"/>
            </a:ext>
          </a:extLst>
        </xdr:cNvPr>
        <xdr:cNvSpPr/>
      </xdr:nvSpPr>
      <xdr:spPr>
        <a:xfrm>
          <a:off x="17287124" y="1730543"/>
          <a:ext cx="494547" cy="2259932"/>
        </a:xfrm>
        <a:prstGeom prst="rect">
          <a:avLst/>
        </a:prstGeom>
        <a:solidFill>
          <a:schemeClr val="accent4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  <a:p>
          <a:pPr algn="l"/>
          <a:r>
            <a:rPr lang="en-IN" sz="900">
              <a:solidFill>
                <a:schemeClr val="tx1"/>
              </a:solidFill>
              <a:latin typeface="Aptos" panose="020B0004020202020204" pitchFamily="34" charset="0"/>
            </a:rPr>
            <a:t> </a:t>
          </a:r>
        </a:p>
      </xdr:txBody>
    </xdr:sp>
    <xdr:clientData/>
  </xdr:twoCellAnchor>
  <xdr:twoCellAnchor>
    <xdr:from>
      <xdr:col>29</xdr:col>
      <xdr:colOff>51304</xdr:colOff>
      <xdr:row>8</xdr:row>
      <xdr:rowOff>177173</xdr:rowOff>
    </xdr:from>
    <xdr:to>
      <xdr:col>29</xdr:col>
      <xdr:colOff>230606</xdr:colOff>
      <xdr:row>20</xdr:row>
      <xdr:rowOff>185110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39E8813-B427-45FA-8755-114505B29A36}"/>
            </a:ext>
          </a:extLst>
        </xdr:cNvPr>
        <xdr:cNvSpPr/>
      </xdr:nvSpPr>
      <xdr:spPr>
        <a:xfrm>
          <a:off x="17787857" y="1701173"/>
          <a:ext cx="179302" cy="2293937"/>
        </a:xfrm>
        <a:prstGeom prst="rect">
          <a:avLst/>
        </a:prstGeom>
        <a:solidFill>
          <a:schemeClr val="accent1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ctr"/>
          <a:endParaRPr lang="en-IN" sz="1000">
            <a:solidFill>
              <a:schemeClr val="tx1"/>
            </a:solidFill>
            <a:latin typeface="Aptos" panose="020B0004020202020204" pitchFamily="34" charset="0"/>
          </a:endParaRPr>
        </a:p>
        <a:p>
          <a:pPr algn="l"/>
          <a:endParaRPr lang="en-IN" sz="600">
            <a:solidFill>
              <a:schemeClr val="tx1"/>
            </a:solidFill>
            <a:latin typeface="Aptos" panose="020B0004020202020204" pitchFamily="34" charset="0"/>
          </a:endParaRPr>
        </a:p>
        <a:p>
          <a:pPr algn="l"/>
          <a:endParaRPr lang="en-IN" sz="600">
            <a:solidFill>
              <a:schemeClr val="tx1"/>
            </a:solidFill>
            <a:latin typeface="Aptos" panose="020B0004020202020204" pitchFamily="34" charset="0"/>
          </a:endParaRPr>
        </a:p>
        <a:p>
          <a:pPr algn="l"/>
          <a:r>
            <a:rPr lang="en-IN" sz="900">
              <a:solidFill>
                <a:schemeClr val="tx1"/>
              </a:solidFill>
              <a:latin typeface="Aptos" panose="020B0004020202020204" pitchFamily="34" charset="0"/>
            </a:rPr>
            <a:t> </a:t>
          </a:r>
        </a:p>
      </xdr:txBody>
    </xdr:sp>
    <xdr:clientData/>
  </xdr:twoCellAnchor>
  <xdr:twoCellAnchor>
    <xdr:from>
      <xdr:col>18</xdr:col>
      <xdr:colOff>283367</xdr:colOff>
      <xdr:row>9</xdr:row>
      <xdr:rowOff>8605</xdr:rowOff>
    </xdr:from>
    <xdr:to>
      <xdr:col>19</xdr:col>
      <xdr:colOff>40105</xdr:colOff>
      <xdr:row>21</xdr:row>
      <xdr:rowOff>16542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281C19E4-8045-4AA2-A01B-8C4195F72F66}"/>
            </a:ext>
          </a:extLst>
        </xdr:cNvPr>
        <xdr:cNvSpPr/>
      </xdr:nvSpPr>
      <xdr:spPr>
        <a:xfrm>
          <a:off x="11292262" y="1723105"/>
          <a:ext cx="368343" cy="2293937"/>
        </a:xfrm>
        <a:prstGeom prst="rect">
          <a:avLst/>
        </a:prstGeom>
        <a:solidFill>
          <a:schemeClr val="accent1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19</xdr:col>
      <xdr:colOff>29451</xdr:colOff>
      <xdr:row>8</xdr:row>
      <xdr:rowOff>178467</xdr:rowOff>
    </xdr:from>
    <xdr:to>
      <xdr:col>19</xdr:col>
      <xdr:colOff>526382</xdr:colOff>
      <xdr:row>20</xdr:row>
      <xdr:rowOff>186404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3BAB24E3-D1BE-4C5F-B407-E44AB082DC7D}"/>
            </a:ext>
          </a:extLst>
        </xdr:cNvPr>
        <xdr:cNvSpPr/>
      </xdr:nvSpPr>
      <xdr:spPr>
        <a:xfrm>
          <a:off x="11649951" y="1702467"/>
          <a:ext cx="496931" cy="2293937"/>
        </a:xfrm>
        <a:prstGeom prst="rect">
          <a:avLst/>
        </a:prstGeom>
        <a:solidFill>
          <a:schemeClr val="accent4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050">
            <a:solidFill>
              <a:schemeClr val="tx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19</xdr:col>
      <xdr:colOff>536408</xdr:colOff>
      <xdr:row>9</xdr:row>
      <xdr:rowOff>15623</xdr:rowOff>
    </xdr:from>
    <xdr:to>
      <xdr:col>20</xdr:col>
      <xdr:colOff>140369</xdr:colOff>
      <xdr:row>21</xdr:row>
      <xdr:rowOff>23560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5627BE69-C199-4164-92DB-16857BD66489}"/>
            </a:ext>
          </a:extLst>
        </xdr:cNvPr>
        <xdr:cNvSpPr/>
      </xdr:nvSpPr>
      <xdr:spPr>
        <a:xfrm>
          <a:off x="12156908" y="1730123"/>
          <a:ext cx="215566" cy="2293937"/>
        </a:xfrm>
        <a:prstGeom prst="rect">
          <a:avLst/>
        </a:prstGeom>
        <a:solidFill>
          <a:schemeClr val="accent1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13</xdr:col>
      <xdr:colOff>270711</xdr:colOff>
      <xdr:row>29</xdr:row>
      <xdr:rowOff>170447</xdr:rowOff>
    </xdr:from>
    <xdr:to>
      <xdr:col>14</xdr:col>
      <xdr:colOff>424615</xdr:colOff>
      <xdr:row>41</xdr:row>
      <xdr:rowOff>178384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8BBBEEC6-6FE2-4D90-8730-A4DE9F04AC00}"/>
            </a:ext>
          </a:extLst>
        </xdr:cNvPr>
        <xdr:cNvSpPr/>
      </xdr:nvSpPr>
      <xdr:spPr>
        <a:xfrm>
          <a:off x="8221579" y="5694947"/>
          <a:ext cx="765510" cy="2293937"/>
        </a:xfrm>
        <a:prstGeom prst="rect">
          <a:avLst/>
        </a:prstGeom>
        <a:solidFill>
          <a:schemeClr val="accent1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17</xdr:col>
      <xdr:colOff>205539</xdr:colOff>
      <xdr:row>29</xdr:row>
      <xdr:rowOff>185488</xdr:rowOff>
    </xdr:from>
    <xdr:to>
      <xdr:col>17</xdr:col>
      <xdr:colOff>599198</xdr:colOff>
      <xdr:row>42</xdr:row>
      <xdr:rowOff>2925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2132CAC9-3C47-4BCC-A30D-DBF55FB43A3F}"/>
            </a:ext>
          </a:extLst>
        </xdr:cNvPr>
        <xdr:cNvSpPr/>
      </xdr:nvSpPr>
      <xdr:spPr>
        <a:xfrm>
          <a:off x="10602828" y="5709988"/>
          <a:ext cx="393659" cy="2293937"/>
        </a:xfrm>
        <a:prstGeom prst="rect">
          <a:avLst/>
        </a:prstGeom>
        <a:solidFill>
          <a:schemeClr val="accent4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050">
            <a:solidFill>
              <a:schemeClr val="tx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18</xdr:col>
      <xdr:colOff>382377</xdr:colOff>
      <xdr:row>30</xdr:row>
      <xdr:rowOff>5011</xdr:rowOff>
    </xdr:from>
    <xdr:to>
      <xdr:col>19</xdr:col>
      <xdr:colOff>267703</xdr:colOff>
      <xdr:row>42</xdr:row>
      <xdr:rowOff>12948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B76A4DB3-DE94-4A22-B28D-D2D75B55F9AD}"/>
            </a:ext>
          </a:extLst>
        </xdr:cNvPr>
        <xdr:cNvSpPr/>
      </xdr:nvSpPr>
      <xdr:spPr>
        <a:xfrm>
          <a:off x="11391272" y="5720011"/>
          <a:ext cx="496931" cy="2293937"/>
        </a:xfrm>
        <a:prstGeom prst="rect">
          <a:avLst/>
        </a:prstGeom>
        <a:solidFill>
          <a:schemeClr val="accent4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050">
            <a:solidFill>
              <a:schemeClr val="tx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19</xdr:col>
      <xdr:colOff>277729</xdr:colOff>
      <xdr:row>29</xdr:row>
      <xdr:rowOff>183063</xdr:rowOff>
    </xdr:from>
    <xdr:to>
      <xdr:col>19</xdr:col>
      <xdr:colOff>493295</xdr:colOff>
      <xdr:row>42</xdr:row>
      <xdr:rowOff>500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907AA920-53AA-4B0A-9EB2-42331433ECAB}"/>
            </a:ext>
          </a:extLst>
        </xdr:cNvPr>
        <xdr:cNvSpPr/>
      </xdr:nvSpPr>
      <xdr:spPr>
        <a:xfrm>
          <a:off x="11898229" y="5707563"/>
          <a:ext cx="215566" cy="2293937"/>
        </a:xfrm>
        <a:prstGeom prst="rect">
          <a:avLst/>
        </a:prstGeom>
        <a:solidFill>
          <a:schemeClr val="accent1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14</xdr:col>
      <xdr:colOff>411079</xdr:colOff>
      <xdr:row>52</xdr:row>
      <xdr:rowOff>20053</xdr:rowOff>
    </xdr:from>
    <xdr:to>
      <xdr:col>15</xdr:col>
      <xdr:colOff>546311</xdr:colOff>
      <xdr:row>64</xdr:row>
      <xdr:rowOff>27990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1931D6C-5515-31AB-0DA5-EF4C6D09D4B5}"/>
            </a:ext>
          </a:extLst>
        </xdr:cNvPr>
        <xdr:cNvSpPr/>
      </xdr:nvSpPr>
      <xdr:spPr>
        <a:xfrm>
          <a:off x="8973553" y="9926053"/>
          <a:ext cx="746837" cy="2293937"/>
        </a:xfrm>
        <a:prstGeom prst="rect">
          <a:avLst/>
        </a:prstGeom>
        <a:solidFill>
          <a:schemeClr val="accent4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15</xdr:col>
      <xdr:colOff>556460</xdr:colOff>
      <xdr:row>52</xdr:row>
      <xdr:rowOff>30079</xdr:rowOff>
    </xdr:from>
    <xdr:to>
      <xdr:col>17</xdr:col>
      <xdr:colOff>141371</xdr:colOff>
      <xdr:row>64</xdr:row>
      <xdr:rowOff>38016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E2C28AEB-6C17-5BB1-CD98-B506F713B341}"/>
            </a:ext>
          </a:extLst>
        </xdr:cNvPr>
        <xdr:cNvSpPr/>
      </xdr:nvSpPr>
      <xdr:spPr>
        <a:xfrm>
          <a:off x="9730539" y="9936079"/>
          <a:ext cx="808121" cy="2293937"/>
        </a:xfrm>
        <a:prstGeom prst="rect">
          <a:avLst/>
        </a:prstGeom>
        <a:solidFill>
          <a:schemeClr val="accent1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17</xdr:col>
      <xdr:colOff>152400</xdr:colOff>
      <xdr:row>52</xdr:row>
      <xdr:rowOff>17046</xdr:rowOff>
    </xdr:from>
    <xdr:to>
      <xdr:col>17</xdr:col>
      <xdr:colOff>546059</xdr:colOff>
      <xdr:row>64</xdr:row>
      <xdr:rowOff>24983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9EA3177C-2B76-49EC-9406-C5E1D7E5260A}"/>
            </a:ext>
          </a:extLst>
        </xdr:cNvPr>
        <xdr:cNvSpPr/>
      </xdr:nvSpPr>
      <xdr:spPr>
        <a:xfrm>
          <a:off x="10549689" y="9923046"/>
          <a:ext cx="393659" cy="2293937"/>
        </a:xfrm>
        <a:prstGeom prst="rect">
          <a:avLst/>
        </a:prstGeom>
        <a:solidFill>
          <a:schemeClr val="accent4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050">
            <a:solidFill>
              <a:schemeClr val="tx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17</xdr:col>
      <xdr:colOff>571501</xdr:colOff>
      <xdr:row>52</xdr:row>
      <xdr:rowOff>30079</xdr:rowOff>
    </xdr:from>
    <xdr:to>
      <xdr:col>18</xdr:col>
      <xdr:colOff>328238</xdr:colOff>
      <xdr:row>64</xdr:row>
      <xdr:rowOff>38016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5A5F30E8-7295-67FD-0BCB-F552EEE7956F}"/>
            </a:ext>
          </a:extLst>
        </xdr:cNvPr>
        <xdr:cNvSpPr/>
      </xdr:nvSpPr>
      <xdr:spPr>
        <a:xfrm>
          <a:off x="10968790" y="9936079"/>
          <a:ext cx="368343" cy="2293937"/>
        </a:xfrm>
        <a:prstGeom prst="rect">
          <a:avLst/>
        </a:prstGeom>
        <a:solidFill>
          <a:schemeClr val="accent1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19</xdr:col>
      <xdr:colOff>219577</xdr:colOff>
      <xdr:row>52</xdr:row>
      <xdr:rowOff>39687</xdr:rowOff>
    </xdr:from>
    <xdr:to>
      <xdr:col>19</xdr:col>
      <xdr:colOff>435143</xdr:colOff>
      <xdr:row>64</xdr:row>
      <xdr:rowOff>47624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D08475EE-1684-41A0-9165-80DCD169332C}"/>
            </a:ext>
          </a:extLst>
        </xdr:cNvPr>
        <xdr:cNvSpPr/>
      </xdr:nvSpPr>
      <xdr:spPr>
        <a:xfrm>
          <a:off x="11840077" y="9945687"/>
          <a:ext cx="215566" cy="2293937"/>
        </a:xfrm>
        <a:prstGeom prst="rect">
          <a:avLst/>
        </a:prstGeom>
        <a:solidFill>
          <a:schemeClr val="accent1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</xdr:txBody>
    </xdr:sp>
    <xdr:clientData/>
  </xdr:twoCellAnchor>
  <xdr:oneCellAnchor>
    <xdr:from>
      <xdr:col>23</xdr:col>
      <xdr:colOff>242636</xdr:colOff>
      <xdr:row>19</xdr:row>
      <xdr:rowOff>177465</xdr:rowOff>
    </xdr:from>
    <xdr:ext cx="458395" cy="201915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3B8B2761-42E4-420B-B5DB-FA6778B58821}"/>
            </a:ext>
          </a:extLst>
        </xdr:cNvPr>
        <xdr:cNvSpPr txBox="1"/>
      </xdr:nvSpPr>
      <xdr:spPr>
        <a:xfrm>
          <a:off x="14309557" y="3796965"/>
          <a:ext cx="458395" cy="20191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700">
              <a:latin typeface="Aptos" panose="020B0004020202020204" pitchFamily="34" charset="0"/>
            </a:rPr>
            <a:t>210</a:t>
          </a:r>
          <a:r>
            <a:rPr lang="en-IN" sz="700" baseline="0">
              <a:latin typeface="Aptos" panose="020B0004020202020204" pitchFamily="34" charset="0"/>
            </a:rPr>
            <a:t> </a:t>
          </a:r>
          <a:r>
            <a:rPr lang="en-IN" sz="700" baseline="30000">
              <a:latin typeface="Aptos" panose="020B0004020202020204" pitchFamily="34" charset="0"/>
            </a:rPr>
            <a:t>o</a:t>
          </a:r>
          <a:r>
            <a:rPr lang="en-IN" sz="700" baseline="0">
              <a:latin typeface="Aptos" panose="020B0004020202020204" pitchFamily="34" charset="0"/>
            </a:rPr>
            <a:t>C</a:t>
          </a:r>
          <a:endParaRPr lang="en-IN" sz="700">
            <a:latin typeface="Aptos" panose="020B0004020202020204" pitchFamily="34" charset="0"/>
          </a:endParaRPr>
        </a:p>
      </xdr:txBody>
    </xdr:sp>
    <xdr:clientData/>
  </xdr:oneCellAnchor>
  <xdr:oneCellAnchor>
    <xdr:from>
      <xdr:col>24</xdr:col>
      <xdr:colOff>413084</xdr:colOff>
      <xdr:row>19</xdr:row>
      <xdr:rowOff>177465</xdr:rowOff>
    </xdr:from>
    <xdr:ext cx="458395" cy="201915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F4DCF7F3-9840-4A15-858D-3B4D7D7F51E4}"/>
            </a:ext>
          </a:extLst>
        </xdr:cNvPr>
        <xdr:cNvSpPr txBox="1"/>
      </xdr:nvSpPr>
      <xdr:spPr>
        <a:xfrm>
          <a:off x="15091610" y="3796965"/>
          <a:ext cx="458395" cy="20191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700">
              <a:latin typeface="Aptos" panose="020B0004020202020204" pitchFamily="34" charset="0"/>
            </a:rPr>
            <a:t>220</a:t>
          </a:r>
          <a:r>
            <a:rPr lang="en-IN" sz="700" baseline="0">
              <a:latin typeface="Aptos" panose="020B0004020202020204" pitchFamily="34" charset="0"/>
            </a:rPr>
            <a:t> </a:t>
          </a:r>
          <a:r>
            <a:rPr lang="en-IN" sz="700" baseline="30000">
              <a:latin typeface="Aptos" panose="020B0004020202020204" pitchFamily="34" charset="0"/>
            </a:rPr>
            <a:t>o</a:t>
          </a:r>
          <a:r>
            <a:rPr lang="en-IN" sz="700" baseline="0">
              <a:latin typeface="Aptos" panose="020B0004020202020204" pitchFamily="34" charset="0"/>
            </a:rPr>
            <a:t>C</a:t>
          </a:r>
          <a:endParaRPr lang="en-IN" sz="700">
            <a:latin typeface="Aptos" panose="020B0004020202020204" pitchFamily="34" charset="0"/>
          </a:endParaRPr>
        </a:p>
      </xdr:txBody>
    </xdr:sp>
    <xdr:clientData/>
  </xdr:oneCellAnchor>
  <xdr:oneCellAnchor>
    <xdr:from>
      <xdr:col>26</xdr:col>
      <xdr:colOff>4009</xdr:colOff>
      <xdr:row>19</xdr:row>
      <xdr:rowOff>179470</xdr:rowOff>
    </xdr:from>
    <xdr:ext cx="458395" cy="201915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D81CBC8-2E59-4325-B389-98F78B2667F3}"/>
            </a:ext>
          </a:extLst>
        </xdr:cNvPr>
        <xdr:cNvSpPr txBox="1"/>
      </xdr:nvSpPr>
      <xdr:spPr>
        <a:xfrm>
          <a:off x="15905746" y="3798970"/>
          <a:ext cx="458395" cy="20191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700">
              <a:latin typeface="Aptos" panose="020B0004020202020204" pitchFamily="34" charset="0"/>
            </a:rPr>
            <a:t>215</a:t>
          </a:r>
          <a:r>
            <a:rPr lang="en-IN" sz="700" baseline="0">
              <a:latin typeface="Aptos" panose="020B0004020202020204" pitchFamily="34" charset="0"/>
            </a:rPr>
            <a:t> </a:t>
          </a:r>
          <a:r>
            <a:rPr lang="en-IN" sz="700" baseline="30000">
              <a:latin typeface="Aptos" panose="020B0004020202020204" pitchFamily="34" charset="0"/>
            </a:rPr>
            <a:t>o</a:t>
          </a:r>
          <a:r>
            <a:rPr lang="en-IN" sz="700" baseline="0">
              <a:latin typeface="Aptos" panose="020B0004020202020204" pitchFamily="34" charset="0"/>
            </a:rPr>
            <a:t>C</a:t>
          </a:r>
          <a:endParaRPr lang="en-IN" sz="700">
            <a:latin typeface="Aptos" panose="020B0004020202020204" pitchFamily="34" charset="0"/>
          </a:endParaRPr>
        </a:p>
      </xdr:txBody>
    </xdr:sp>
    <xdr:clientData/>
  </xdr:oneCellAnchor>
  <xdr:oneCellAnchor>
    <xdr:from>
      <xdr:col>26</xdr:col>
      <xdr:colOff>555458</xdr:colOff>
      <xdr:row>19</xdr:row>
      <xdr:rowOff>184483</xdr:rowOff>
    </xdr:from>
    <xdr:ext cx="458395" cy="201915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71A40BD-CDC7-4FB2-BF39-BA6384AB7C8B}"/>
            </a:ext>
          </a:extLst>
        </xdr:cNvPr>
        <xdr:cNvSpPr txBox="1"/>
      </xdr:nvSpPr>
      <xdr:spPr>
        <a:xfrm>
          <a:off x="16457195" y="3803983"/>
          <a:ext cx="458395" cy="20191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700">
              <a:latin typeface="Aptos" panose="020B0004020202020204" pitchFamily="34" charset="0"/>
            </a:rPr>
            <a:t>210</a:t>
          </a:r>
          <a:r>
            <a:rPr lang="en-IN" sz="700" baseline="0">
              <a:latin typeface="Aptos" panose="020B0004020202020204" pitchFamily="34" charset="0"/>
            </a:rPr>
            <a:t> </a:t>
          </a:r>
          <a:r>
            <a:rPr lang="en-IN" sz="700" baseline="30000">
              <a:latin typeface="Aptos" panose="020B0004020202020204" pitchFamily="34" charset="0"/>
            </a:rPr>
            <a:t>o</a:t>
          </a:r>
          <a:r>
            <a:rPr lang="en-IN" sz="700" baseline="0">
              <a:latin typeface="Aptos" panose="020B0004020202020204" pitchFamily="34" charset="0"/>
            </a:rPr>
            <a:t>C</a:t>
          </a:r>
          <a:endParaRPr lang="en-IN" sz="700">
            <a:latin typeface="Aptos" panose="020B0004020202020204" pitchFamily="34" charset="0"/>
          </a:endParaRPr>
        </a:p>
      </xdr:txBody>
    </xdr:sp>
    <xdr:clientData/>
  </xdr:oneCellAnchor>
  <xdr:oneCellAnchor>
    <xdr:from>
      <xdr:col>27</xdr:col>
      <xdr:colOff>371977</xdr:colOff>
      <xdr:row>19</xdr:row>
      <xdr:rowOff>186489</xdr:rowOff>
    </xdr:from>
    <xdr:ext cx="458395" cy="201915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AD2C0F9-35D5-4120-BCBC-D971A43574B5}"/>
            </a:ext>
          </a:extLst>
        </xdr:cNvPr>
        <xdr:cNvSpPr txBox="1"/>
      </xdr:nvSpPr>
      <xdr:spPr>
        <a:xfrm>
          <a:off x="16885319" y="3805989"/>
          <a:ext cx="458395" cy="20191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700">
              <a:latin typeface="Aptos" panose="020B0004020202020204" pitchFamily="34" charset="0"/>
            </a:rPr>
            <a:t>205</a:t>
          </a:r>
          <a:r>
            <a:rPr lang="en-IN" sz="700" baseline="0">
              <a:latin typeface="Aptos" panose="020B0004020202020204" pitchFamily="34" charset="0"/>
            </a:rPr>
            <a:t> </a:t>
          </a:r>
          <a:r>
            <a:rPr lang="en-IN" sz="700" baseline="30000">
              <a:latin typeface="Aptos" panose="020B0004020202020204" pitchFamily="34" charset="0"/>
            </a:rPr>
            <a:t>o</a:t>
          </a:r>
          <a:r>
            <a:rPr lang="en-IN" sz="700" baseline="0">
              <a:latin typeface="Aptos" panose="020B0004020202020204" pitchFamily="34" charset="0"/>
            </a:rPr>
            <a:t>C</a:t>
          </a:r>
          <a:endParaRPr lang="en-IN" sz="700">
            <a:latin typeface="Aptos" panose="020B0004020202020204" pitchFamily="34" charset="0"/>
          </a:endParaRPr>
        </a:p>
      </xdr:txBody>
    </xdr:sp>
    <xdr:clientData/>
  </xdr:oneCellAnchor>
  <xdr:oneCellAnchor>
    <xdr:from>
      <xdr:col>28</xdr:col>
      <xdr:colOff>193509</xdr:colOff>
      <xdr:row>19</xdr:row>
      <xdr:rowOff>178468</xdr:rowOff>
    </xdr:from>
    <xdr:ext cx="441916" cy="201915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05D2E06-4ECB-4C05-8D23-D2D4626D089D}"/>
            </a:ext>
          </a:extLst>
        </xdr:cNvPr>
        <xdr:cNvSpPr txBox="1"/>
      </xdr:nvSpPr>
      <xdr:spPr>
        <a:xfrm>
          <a:off x="17318456" y="3797968"/>
          <a:ext cx="441916" cy="20191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700">
              <a:latin typeface="Aptos" panose="020B0004020202020204" pitchFamily="34" charset="0"/>
            </a:rPr>
            <a:t>200</a:t>
          </a:r>
          <a:r>
            <a:rPr lang="en-IN" sz="700" baseline="0">
              <a:latin typeface="Aptos" panose="020B0004020202020204" pitchFamily="34" charset="0"/>
            </a:rPr>
            <a:t> </a:t>
          </a:r>
          <a:r>
            <a:rPr lang="en-IN" sz="700" baseline="30000">
              <a:latin typeface="Aptos" panose="020B0004020202020204" pitchFamily="34" charset="0"/>
            </a:rPr>
            <a:t>o</a:t>
          </a:r>
          <a:r>
            <a:rPr lang="en-IN" sz="700" baseline="0">
              <a:latin typeface="Aptos" panose="020B0004020202020204" pitchFamily="34" charset="0"/>
            </a:rPr>
            <a:t>C</a:t>
          </a:r>
          <a:endParaRPr lang="en-IN" sz="700">
            <a:latin typeface="Aptos" panose="020B0004020202020204" pitchFamily="34" charset="0"/>
          </a:endParaRPr>
        </a:p>
      </xdr:txBody>
    </xdr:sp>
    <xdr:clientData/>
  </xdr:oneCellAnchor>
  <xdr:oneCellAnchor>
    <xdr:from>
      <xdr:col>28</xdr:col>
      <xdr:colOff>552451</xdr:colOff>
      <xdr:row>19</xdr:row>
      <xdr:rowOff>181475</xdr:rowOff>
    </xdr:from>
    <xdr:ext cx="458395" cy="201915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938DF4E-0FDE-4E4D-A662-8EB55ACCCC17}"/>
            </a:ext>
          </a:extLst>
        </xdr:cNvPr>
        <xdr:cNvSpPr txBox="1"/>
      </xdr:nvSpPr>
      <xdr:spPr>
        <a:xfrm>
          <a:off x="17677398" y="3800975"/>
          <a:ext cx="458395" cy="20191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700">
              <a:latin typeface="Aptos" panose="020B0004020202020204" pitchFamily="34" charset="0"/>
            </a:rPr>
            <a:t>210</a:t>
          </a:r>
          <a:r>
            <a:rPr lang="en-IN" sz="700" baseline="0">
              <a:latin typeface="Aptos" panose="020B0004020202020204" pitchFamily="34" charset="0"/>
            </a:rPr>
            <a:t> </a:t>
          </a:r>
          <a:r>
            <a:rPr lang="en-IN" sz="700" baseline="30000">
              <a:latin typeface="Aptos" panose="020B0004020202020204" pitchFamily="34" charset="0"/>
            </a:rPr>
            <a:t>o</a:t>
          </a:r>
          <a:r>
            <a:rPr lang="en-IN" sz="700" baseline="0">
              <a:latin typeface="Aptos" panose="020B0004020202020204" pitchFamily="34" charset="0"/>
            </a:rPr>
            <a:t>C</a:t>
          </a:r>
          <a:endParaRPr lang="en-IN" sz="700">
            <a:latin typeface="Aptos" panose="020B0004020202020204" pitchFamily="34" charset="0"/>
          </a:endParaRPr>
        </a:p>
      </xdr:txBody>
    </xdr:sp>
    <xdr:clientData/>
  </xdr:oneCellAnchor>
  <xdr:oneCellAnchor>
    <xdr:from>
      <xdr:col>29</xdr:col>
      <xdr:colOff>204535</xdr:colOff>
      <xdr:row>12</xdr:row>
      <xdr:rowOff>104274</xdr:rowOff>
    </xdr:from>
    <xdr:ext cx="458395" cy="201915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930BEF9-B212-4348-9AC9-121E5818B8EB}"/>
            </a:ext>
          </a:extLst>
        </xdr:cNvPr>
        <xdr:cNvSpPr txBox="1"/>
      </xdr:nvSpPr>
      <xdr:spPr>
        <a:xfrm>
          <a:off x="17941088" y="2390274"/>
          <a:ext cx="458395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700">
              <a:latin typeface="Aptos" panose="020B0004020202020204" pitchFamily="34" charset="0"/>
            </a:rPr>
            <a:t>190</a:t>
          </a:r>
          <a:r>
            <a:rPr lang="en-IN" sz="700" baseline="0">
              <a:latin typeface="Aptos" panose="020B0004020202020204" pitchFamily="34" charset="0"/>
            </a:rPr>
            <a:t> </a:t>
          </a:r>
          <a:r>
            <a:rPr lang="en-IN" sz="700" baseline="30000">
              <a:latin typeface="Aptos" panose="020B0004020202020204" pitchFamily="34" charset="0"/>
            </a:rPr>
            <a:t>o</a:t>
          </a:r>
          <a:r>
            <a:rPr lang="en-IN" sz="700" baseline="0">
              <a:latin typeface="Aptos" panose="020B0004020202020204" pitchFamily="34" charset="0"/>
            </a:rPr>
            <a:t>C</a:t>
          </a:r>
          <a:endParaRPr lang="en-IN" sz="700">
            <a:latin typeface="Aptos" panose="020B0004020202020204" pitchFamily="34" charset="0"/>
          </a:endParaRPr>
        </a:p>
      </xdr:txBody>
    </xdr:sp>
    <xdr:clientData/>
  </xdr:oneCellAnchor>
  <xdr:twoCellAnchor>
    <xdr:from>
      <xdr:col>7</xdr:col>
      <xdr:colOff>476249</xdr:colOff>
      <xdr:row>148</xdr:row>
      <xdr:rowOff>34637</xdr:rowOff>
    </xdr:from>
    <xdr:to>
      <xdr:col>22</xdr:col>
      <xdr:colOff>523875</xdr:colOff>
      <xdr:row>174</xdr:row>
      <xdr:rowOff>34637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6D834F3A-B90C-485D-A98E-C8CA5989AC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458931</xdr:colOff>
      <xdr:row>112</xdr:row>
      <xdr:rowOff>69272</xdr:rowOff>
    </xdr:from>
    <xdr:to>
      <xdr:col>38</xdr:col>
      <xdr:colOff>125556</xdr:colOff>
      <xdr:row>138</xdr:row>
      <xdr:rowOff>69272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7B9FA45-96D9-42E2-A4E6-0377B4CE8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190501</xdr:colOff>
      <xdr:row>70</xdr:row>
      <xdr:rowOff>8659</xdr:rowOff>
    </xdr:from>
    <xdr:to>
      <xdr:col>21</xdr:col>
      <xdr:colOff>134938</xdr:colOff>
      <xdr:row>89</xdr:row>
      <xdr:rowOff>108673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AADD9704-BA45-4B14-847F-23BF75E3B6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13</xdr:col>
      <xdr:colOff>415636</xdr:colOff>
      <xdr:row>84</xdr:row>
      <xdr:rowOff>34636</xdr:rowOff>
    </xdr:from>
    <xdr:to>
      <xdr:col>20</xdr:col>
      <xdr:colOff>528205</xdr:colOff>
      <xdr:row>84</xdr:row>
      <xdr:rowOff>43295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BB9723AD-1729-A3E3-0A00-C1FE3599B8DA}"/>
            </a:ext>
          </a:extLst>
        </xdr:cNvPr>
        <xdr:cNvCxnSpPr/>
      </xdr:nvCxnSpPr>
      <xdr:spPr>
        <a:xfrm flipV="1">
          <a:off x="8295409" y="16036636"/>
          <a:ext cx="4355523" cy="8659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450272</xdr:colOff>
      <xdr:row>83</xdr:row>
      <xdr:rowOff>0</xdr:rowOff>
    </xdr:from>
    <xdr:ext cx="1022972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15E9182-D111-5595-EB3B-CF23F9D69C48}"/>
            </a:ext>
          </a:extLst>
        </xdr:cNvPr>
        <xdr:cNvSpPr txBox="1"/>
      </xdr:nvSpPr>
      <xdr:spPr>
        <a:xfrm>
          <a:off x="8330045" y="15811500"/>
          <a:ext cx="10229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>
              <a:latin typeface="Aptos" panose="020B0004020202020204" pitchFamily="34" charset="0"/>
            </a:rPr>
            <a:t>Feed RON:</a:t>
          </a:r>
          <a:r>
            <a:rPr lang="en-IN" sz="1100" baseline="0">
              <a:latin typeface="Aptos" panose="020B0004020202020204" pitchFamily="34" charset="0"/>
            </a:rPr>
            <a:t> 45</a:t>
          </a:r>
          <a:endParaRPr lang="en-IN" sz="1100">
            <a:latin typeface="Aptos" panose="020B0004020202020204" pitchFamily="34" charset="0"/>
          </a:endParaRPr>
        </a:p>
      </xdr:txBody>
    </xdr:sp>
    <xdr:clientData/>
  </xdr:oneCellAnchor>
  <xdr:twoCellAnchor>
    <xdr:from>
      <xdr:col>10</xdr:col>
      <xdr:colOff>320388</xdr:colOff>
      <xdr:row>93</xdr:row>
      <xdr:rowOff>17319</xdr:rowOff>
    </xdr:from>
    <xdr:to>
      <xdr:col>19</xdr:col>
      <xdr:colOff>264826</xdr:colOff>
      <xdr:row>112</xdr:row>
      <xdr:rowOff>117333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1D8658BA-D19D-43B3-9ADF-E13C2DD3C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13</xdr:col>
      <xdr:colOff>86591</xdr:colOff>
      <xdr:row>98</xdr:row>
      <xdr:rowOff>43295</xdr:rowOff>
    </xdr:from>
    <xdr:to>
      <xdr:col>16</xdr:col>
      <xdr:colOff>338666</xdr:colOff>
      <xdr:row>101</xdr:row>
      <xdr:rowOff>84667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9294B1D6-C33F-D905-E081-3CA4CF10651E}"/>
            </a:ext>
          </a:extLst>
        </xdr:cNvPr>
        <xdr:cNvCxnSpPr/>
      </xdr:nvCxnSpPr>
      <xdr:spPr>
        <a:xfrm>
          <a:off x="7997633" y="18712295"/>
          <a:ext cx="2077700" cy="6128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242454</xdr:colOff>
      <xdr:row>99</xdr:row>
      <xdr:rowOff>164522</xdr:rowOff>
    </xdr:from>
    <xdr:to>
      <xdr:col>18</xdr:col>
      <xdr:colOff>86590</xdr:colOff>
      <xdr:row>105</xdr:row>
      <xdr:rowOff>121227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782B7A4A-3BD4-069C-4C8E-4C52FA1085A9}"/>
            </a:ext>
          </a:extLst>
        </xdr:cNvPr>
        <xdr:cNvCxnSpPr/>
      </xdr:nvCxnSpPr>
      <xdr:spPr>
        <a:xfrm>
          <a:off x="8728363" y="19024022"/>
          <a:ext cx="2268682" cy="10997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363682</xdr:colOff>
      <xdr:row>97</xdr:row>
      <xdr:rowOff>103909</xdr:rowOff>
    </xdr:from>
    <xdr:to>
      <xdr:col>14</xdr:col>
      <xdr:colOff>112568</xdr:colOff>
      <xdr:row>98</xdr:row>
      <xdr:rowOff>86591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5589D19C-E409-12A0-0E2B-CFBA0D4764EB}"/>
            </a:ext>
          </a:extLst>
        </xdr:cNvPr>
        <xdr:cNvCxnSpPr/>
      </xdr:nvCxnSpPr>
      <xdr:spPr>
        <a:xfrm>
          <a:off x="7637318" y="18582409"/>
          <a:ext cx="961159" cy="17318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554183</xdr:colOff>
      <xdr:row>92</xdr:row>
      <xdr:rowOff>155864</xdr:rowOff>
    </xdr:from>
    <xdr:to>
      <xdr:col>29</xdr:col>
      <xdr:colOff>498620</xdr:colOff>
      <xdr:row>112</xdr:row>
      <xdr:rowOff>65378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5BB126F-2315-41A5-B80B-246F599D92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26</xdr:col>
      <xdr:colOff>0</xdr:colOff>
      <xdr:row>143</xdr:row>
      <xdr:rowOff>0</xdr:rowOff>
    </xdr:from>
    <xdr:to>
      <xdr:col>34</xdr:col>
      <xdr:colOff>550574</xdr:colOff>
      <xdr:row>162</xdr:row>
      <xdr:rowOff>100014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863F9E53-6A7E-49BA-9C91-18E7855651F5}"/>
            </a:ext>
          </a:extLst>
        </xdr:cNvPr>
        <xdr:cNvGrpSpPr/>
      </xdr:nvGrpSpPr>
      <xdr:grpSpPr>
        <a:xfrm>
          <a:off x="15849600" y="27241500"/>
          <a:ext cx="5427374" cy="3719514"/>
          <a:chOff x="14630400" y="14287500"/>
          <a:chExt cx="5430838" cy="3719514"/>
        </a:xfrm>
      </xdr:grpSpPr>
      <xdr:graphicFrame macro="">
        <xdr:nvGraphicFramePr>
          <xdr:cNvPr id="61" name="Chart 60">
            <a:extLst>
              <a:ext uri="{FF2B5EF4-FFF2-40B4-BE49-F238E27FC236}">
                <a16:creationId xmlns:a16="http://schemas.microsoft.com/office/drawing/2014/main" id="{0395C44C-ED15-3BA1-70A7-6FEC084A94DE}"/>
              </a:ext>
            </a:extLst>
          </xdr:cNvPr>
          <xdr:cNvGraphicFramePr>
            <a:graphicFrameLocks/>
          </xdr:cNvGraphicFramePr>
        </xdr:nvGraphicFramePr>
        <xdr:xfrm>
          <a:off x="14630400" y="14287500"/>
          <a:ext cx="5430838" cy="371951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1"/>
          </a:graphicData>
        </a:graphic>
      </xdr:graphicFrame>
      <xdr:grpSp>
        <xdr:nvGrpSpPr>
          <xdr:cNvPr id="63" name="Group 62">
            <a:extLst>
              <a:ext uri="{FF2B5EF4-FFF2-40B4-BE49-F238E27FC236}">
                <a16:creationId xmlns:a16="http://schemas.microsoft.com/office/drawing/2014/main" id="{9DF7A41C-1349-B726-0D60-8D8DBE27B729}"/>
              </a:ext>
            </a:extLst>
          </xdr:cNvPr>
          <xdr:cNvGrpSpPr/>
        </xdr:nvGrpSpPr>
        <xdr:grpSpPr>
          <a:xfrm>
            <a:off x="15438437" y="15100788"/>
            <a:ext cx="3906105" cy="1956900"/>
            <a:chOff x="15438437" y="15100788"/>
            <a:chExt cx="3906105" cy="1956900"/>
          </a:xfrm>
        </xdr:grpSpPr>
        <xdr:cxnSp macro="">
          <xdr:nvCxnSpPr>
            <xdr:cNvPr id="65" name="Straight Connector 64">
              <a:extLst>
                <a:ext uri="{FF2B5EF4-FFF2-40B4-BE49-F238E27FC236}">
                  <a16:creationId xmlns:a16="http://schemas.microsoft.com/office/drawing/2014/main" id="{C8D0E20D-3D55-31D6-6876-1E46DFC1C1C3}"/>
                </a:ext>
              </a:extLst>
            </xdr:cNvPr>
            <xdr:cNvCxnSpPr/>
          </xdr:nvCxnSpPr>
          <xdr:spPr>
            <a:xfrm>
              <a:off x="15438437" y="15748000"/>
              <a:ext cx="3538538" cy="1309688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7" name="Straight Connector 66">
              <a:extLst>
                <a:ext uri="{FF2B5EF4-FFF2-40B4-BE49-F238E27FC236}">
                  <a16:creationId xmlns:a16="http://schemas.microsoft.com/office/drawing/2014/main" id="{339E35B0-E197-A207-1C9E-22B98AFFA9C3}"/>
                </a:ext>
              </a:extLst>
            </xdr:cNvPr>
            <xdr:cNvCxnSpPr/>
          </xdr:nvCxnSpPr>
          <xdr:spPr>
            <a:xfrm>
              <a:off x="15730904" y="15100788"/>
              <a:ext cx="3613638" cy="95982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8" name="Straight Connector 67">
              <a:extLst>
                <a:ext uri="{FF2B5EF4-FFF2-40B4-BE49-F238E27FC236}">
                  <a16:creationId xmlns:a16="http://schemas.microsoft.com/office/drawing/2014/main" id="{478E851F-F4AD-3CEE-692B-C7F3AADA128B}"/>
                </a:ext>
              </a:extLst>
            </xdr:cNvPr>
            <xdr:cNvCxnSpPr/>
          </xdr:nvCxnSpPr>
          <xdr:spPr>
            <a:xfrm>
              <a:off x="16766930" y="15166731"/>
              <a:ext cx="2467709" cy="16851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8</xdr:col>
      <xdr:colOff>147205</xdr:colOff>
      <xdr:row>173</xdr:row>
      <xdr:rowOff>103909</xdr:rowOff>
    </xdr:from>
    <xdr:to>
      <xdr:col>25</xdr:col>
      <xdr:colOff>372341</xdr:colOff>
      <xdr:row>199</xdr:row>
      <xdr:rowOff>103909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05EF66C6-A255-41C9-A001-98FDAADF6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26</xdr:col>
      <xdr:colOff>556846</xdr:colOff>
      <xdr:row>174</xdr:row>
      <xdr:rowOff>14654</xdr:rowOff>
    </xdr:from>
    <xdr:to>
      <xdr:col>35</xdr:col>
      <xdr:colOff>501283</xdr:colOff>
      <xdr:row>193</xdr:row>
      <xdr:rowOff>114668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2BA73297-2434-428B-9761-02759CF13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26</xdr:col>
      <xdr:colOff>603250</xdr:colOff>
      <xdr:row>194</xdr:row>
      <xdr:rowOff>44450</xdr:rowOff>
    </xdr:from>
    <xdr:to>
      <xdr:col>35</xdr:col>
      <xdr:colOff>547687</xdr:colOff>
      <xdr:row>213</xdr:row>
      <xdr:rowOff>144464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B6D9F6DB-1798-4DC5-B5B6-5F42576162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8</xdr:col>
      <xdr:colOff>0</xdr:colOff>
      <xdr:row>206</xdr:row>
      <xdr:rowOff>0</xdr:rowOff>
    </xdr:from>
    <xdr:to>
      <xdr:col>16</xdr:col>
      <xdr:colOff>552573</xdr:colOff>
      <xdr:row>225</xdr:row>
      <xdr:rowOff>100014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595C8D49-C912-4D2E-B65B-4DA61C48E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18</xdr:col>
      <xdr:colOff>158749</xdr:colOff>
      <xdr:row>205</xdr:row>
      <xdr:rowOff>174625</xdr:rowOff>
    </xdr:from>
    <xdr:to>
      <xdr:col>27</xdr:col>
      <xdr:colOff>103187</xdr:colOff>
      <xdr:row>225</xdr:row>
      <xdr:rowOff>84139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5D405901-9396-496E-A833-F102B8CFE6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17</xdr:col>
      <xdr:colOff>576263</xdr:colOff>
      <xdr:row>224</xdr:row>
      <xdr:rowOff>28575</xdr:rowOff>
    </xdr:from>
    <xdr:to>
      <xdr:col>26</xdr:col>
      <xdr:colOff>520701</xdr:colOff>
      <xdr:row>243</xdr:row>
      <xdr:rowOff>128589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F23BC4D3-657F-450E-ABF3-D5DD71088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20</xdr:col>
      <xdr:colOff>428625</xdr:colOff>
      <xdr:row>233</xdr:row>
      <xdr:rowOff>154184</xdr:rowOff>
    </xdr:from>
    <xdr:to>
      <xdr:col>25</xdr:col>
      <xdr:colOff>219075</xdr:colOff>
      <xdr:row>236</xdr:row>
      <xdr:rowOff>14288</xdr:rowOff>
    </xdr:to>
    <xdr:sp macro="" textlink="">
      <xdr:nvSpPr>
        <xdr:cNvPr id="84" name="Freeform: Shape 83">
          <a:extLst>
            <a:ext uri="{FF2B5EF4-FFF2-40B4-BE49-F238E27FC236}">
              <a16:creationId xmlns:a16="http://schemas.microsoft.com/office/drawing/2014/main" id="{32DE6A6A-7D9A-A943-3D4F-408825D6D122}"/>
            </a:ext>
          </a:extLst>
        </xdr:cNvPr>
        <xdr:cNvSpPr/>
      </xdr:nvSpPr>
      <xdr:spPr>
        <a:xfrm>
          <a:off x="12620625" y="44540684"/>
          <a:ext cx="2838450" cy="431604"/>
        </a:xfrm>
        <a:custGeom>
          <a:avLst/>
          <a:gdLst>
            <a:gd name="csX0" fmla="*/ 0 w 2838450"/>
            <a:gd name="csY0" fmla="*/ 22029 h 431604"/>
            <a:gd name="csX1" fmla="*/ 890588 w 2838450"/>
            <a:gd name="csY1" fmla="*/ 45841 h 431604"/>
            <a:gd name="csX2" fmla="*/ 2838450 w 2838450"/>
            <a:gd name="csY2" fmla="*/ 431604 h 43160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2838450" h="431604">
              <a:moveTo>
                <a:pt x="0" y="22029"/>
              </a:moveTo>
              <a:cubicBezTo>
                <a:pt x="208756" y="-196"/>
                <a:pt x="417513" y="-22421"/>
                <a:pt x="890588" y="45841"/>
              </a:cubicBezTo>
              <a:cubicBezTo>
                <a:pt x="1363663" y="114103"/>
                <a:pt x="2101056" y="272853"/>
                <a:pt x="2838450" y="431604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595313</xdr:colOff>
      <xdr:row>229</xdr:row>
      <xdr:rowOff>100013</xdr:rowOff>
    </xdr:from>
    <xdr:to>
      <xdr:col>25</xdr:col>
      <xdr:colOff>161925</xdr:colOff>
      <xdr:row>235</xdr:row>
      <xdr:rowOff>19050</xdr:rowOff>
    </xdr:to>
    <xdr:sp macro="" textlink="">
      <xdr:nvSpPr>
        <xdr:cNvPr id="85" name="Freeform: Shape 84">
          <a:extLst>
            <a:ext uri="{FF2B5EF4-FFF2-40B4-BE49-F238E27FC236}">
              <a16:creationId xmlns:a16="http://schemas.microsoft.com/office/drawing/2014/main" id="{DCD35FCC-6203-C583-31E1-4AEA58448B03}"/>
            </a:ext>
          </a:extLst>
        </xdr:cNvPr>
        <xdr:cNvSpPr/>
      </xdr:nvSpPr>
      <xdr:spPr>
        <a:xfrm>
          <a:off x="13396913" y="43724513"/>
          <a:ext cx="2005012" cy="1062037"/>
        </a:xfrm>
        <a:custGeom>
          <a:avLst/>
          <a:gdLst>
            <a:gd name="csX0" fmla="*/ 0 w 1809750"/>
            <a:gd name="csY0" fmla="*/ 823912 h 823912"/>
            <a:gd name="csX1" fmla="*/ 1014412 w 1809750"/>
            <a:gd name="csY1" fmla="*/ 600075 h 823912"/>
            <a:gd name="csX2" fmla="*/ 1809750 w 1809750"/>
            <a:gd name="csY2" fmla="*/ 0 h 82391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1809750" h="823912">
              <a:moveTo>
                <a:pt x="0" y="823912"/>
              </a:moveTo>
              <a:cubicBezTo>
                <a:pt x="356393" y="780653"/>
                <a:pt x="712787" y="737394"/>
                <a:pt x="1014412" y="600075"/>
              </a:cubicBezTo>
              <a:cubicBezTo>
                <a:pt x="1316037" y="462756"/>
                <a:pt x="1675606" y="103981"/>
                <a:pt x="1809750" y="0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514350</xdr:colOff>
      <xdr:row>232</xdr:row>
      <xdr:rowOff>142875</xdr:rowOff>
    </xdr:from>
    <xdr:to>
      <xdr:col>25</xdr:col>
      <xdr:colOff>195263</xdr:colOff>
      <xdr:row>235</xdr:row>
      <xdr:rowOff>161925</xdr:rowOff>
    </xdr:to>
    <xdr:sp macro="" textlink="">
      <xdr:nvSpPr>
        <xdr:cNvPr id="86" name="Freeform: Shape 85">
          <a:extLst>
            <a:ext uri="{FF2B5EF4-FFF2-40B4-BE49-F238E27FC236}">
              <a16:creationId xmlns:a16="http://schemas.microsoft.com/office/drawing/2014/main" id="{06D9E228-E5AF-9FD7-D021-A9E3304D070D}"/>
            </a:ext>
          </a:extLst>
        </xdr:cNvPr>
        <xdr:cNvSpPr/>
      </xdr:nvSpPr>
      <xdr:spPr>
        <a:xfrm>
          <a:off x="13925550" y="44338875"/>
          <a:ext cx="1509713" cy="590550"/>
        </a:xfrm>
        <a:custGeom>
          <a:avLst/>
          <a:gdLst>
            <a:gd name="csX0" fmla="*/ 0 w 1509713"/>
            <a:gd name="csY0" fmla="*/ 590550 h 590550"/>
            <a:gd name="csX1" fmla="*/ 947738 w 1509713"/>
            <a:gd name="csY1" fmla="*/ 338138 h 590550"/>
            <a:gd name="csX2" fmla="*/ 1509713 w 1509713"/>
            <a:gd name="csY2" fmla="*/ 0 h 59055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1509713" h="590550">
              <a:moveTo>
                <a:pt x="0" y="590550"/>
              </a:moveTo>
              <a:cubicBezTo>
                <a:pt x="348059" y="513556"/>
                <a:pt x="696119" y="436563"/>
                <a:pt x="947738" y="338138"/>
              </a:cubicBezTo>
              <a:cubicBezTo>
                <a:pt x="1199357" y="239713"/>
                <a:pt x="1354535" y="119856"/>
                <a:pt x="1509713" y="0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142875</xdr:colOff>
      <xdr:row>212</xdr:row>
      <xdr:rowOff>176213</xdr:rowOff>
    </xdr:from>
    <xdr:to>
      <xdr:col>24</xdr:col>
      <xdr:colOff>76200</xdr:colOff>
      <xdr:row>215</xdr:row>
      <xdr:rowOff>38100</xdr:rowOff>
    </xdr:to>
    <xdr:sp macro="" textlink="">
      <xdr:nvSpPr>
        <xdr:cNvPr id="90" name="Freeform: Shape 89">
          <a:extLst>
            <a:ext uri="{FF2B5EF4-FFF2-40B4-BE49-F238E27FC236}">
              <a16:creationId xmlns:a16="http://schemas.microsoft.com/office/drawing/2014/main" id="{6CAE2163-19ED-BB1B-9396-09DA029EF479}"/>
            </a:ext>
          </a:extLst>
        </xdr:cNvPr>
        <xdr:cNvSpPr/>
      </xdr:nvSpPr>
      <xdr:spPr>
        <a:xfrm>
          <a:off x="12944475" y="40562213"/>
          <a:ext cx="1762125" cy="433387"/>
        </a:xfrm>
        <a:custGeom>
          <a:avLst/>
          <a:gdLst>
            <a:gd name="csX0" fmla="*/ 0 w 1762125"/>
            <a:gd name="csY0" fmla="*/ 433387 h 433387"/>
            <a:gd name="csX1" fmla="*/ 1762125 w 1762125"/>
            <a:gd name="csY1" fmla="*/ 0 h 433387"/>
          </a:gdLst>
          <a:ahLst/>
          <a:cxnLst>
            <a:cxn ang="0">
              <a:pos x="csX0" y="csY0"/>
            </a:cxn>
            <a:cxn ang="0">
              <a:pos x="csX1" y="csY1"/>
            </a:cxn>
          </a:cxnLst>
          <a:rect l="l" t="t" r="r" b="b"/>
          <a:pathLst>
            <a:path w="1762125" h="433387">
              <a:moveTo>
                <a:pt x="0" y="433387"/>
              </a:moveTo>
              <a:lnTo>
                <a:pt x="1762125" y="0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185738</xdr:colOff>
      <xdr:row>214</xdr:row>
      <xdr:rowOff>147638</xdr:rowOff>
    </xdr:from>
    <xdr:to>
      <xdr:col>26</xdr:col>
      <xdr:colOff>161925</xdr:colOff>
      <xdr:row>215</xdr:row>
      <xdr:rowOff>128588</xdr:rowOff>
    </xdr:to>
    <xdr:sp macro="" textlink="">
      <xdr:nvSpPr>
        <xdr:cNvPr id="91" name="Freeform: Shape 90">
          <a:extLst>
            <a:ext uri="{FF2B5EF4-FFF2-40B4-BE49-F238E27FC236}">
              <a16:creationId xmlns:a16="http://schemas.microsoft.com/office/drawing/2014/main" id="{1EC4B09F-2C49-19FC-7DEB-BD9B800B9F6B}"/>
            </a:ext>
          </a:extLst>
        </xdr:cNvPr>
        <xdr:cNvSpPr/>
      </xdr:nvSpPr>
      <xdr:spPr>
        <a:xfrm>
          <a:off x="13596938" y="40914638"/>
          <a:ext cx="2414587" cy="171450"/>
        </a:xfrm>
        <a:custGeom>
          <a:avLst/>
          <a:gdLst>
            <a:gd name="csX0" fmla="*/ 0 w 2414587"/>
            <a:gd name="csY0" fmla="*/ 0 h 171450"/>
            <a:gd name="csX1" fmla="*/ 2414587 w 2414587"/>
            <a:gd name="csY1" fmla="*/ 171450 h 171450"/>
          </a:gdLst>
          <a:ahLst/>
          <a:cxnLst>
            <a:cxn ang="0">
              <a:pos x="csX0" y="csY0"/>
            </a:cxn>
            <a:cxn ang="0">
              <a:pos x="csX1" y="csY1"/>
            </a:cxn>
          </a:cxnLst>
          <a:rect l="l" t="t" r="r" b="b"/>
          <a:pathLst>
            <a:path w="2414587" h="171450">
              <a:moveTo>
                <a:pt x="0" y="0"/>
              </a:moveTo>
              <a:lnTo>
                <a:pt x="2414587" y="171450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328613</xdr:colOff>
      <xdr:row>213</xdr:row>
      <xdr:rowOff>166688</xdr:rowOff>
    </xdr:from>
    <xdr:to>
      <xdr:col>21</xdr:col>
      <xdr:colOff>547688</xdr:colOff>
      <xdr:row>215</xdr:row>
      <xdr:rowOff>171450</xdr:rowOff>
    </xdr:to>
    <xdr:sp macro="" textlink="">
      <xdr:nvSpPr>
        <xdr:cNvPr id="92" name="Freeform: Shape 91">
          <a:extLst>
            <a:ext uri="{FF2B5EF4-FFF2-40B4-BE49-F238E27FC236}">
              <a16:creationId xmlns:a16="http://schemas.microsoft.com/office/drawing/2014/main" id="{31B6A6B7-F972-0F14-51B8-45A13E636029}"/>
            </a:ext>
          </a:extLst>
        </xdr:cNvPr>
        <xdr:cNvSpPr/>
      </xdr:nvSpPr>
      <xdr:spPr>
        <a:xfrm>
          <a:off x="12520613" y="40743188"/>
          <a:ext cx="828675" cy="385762"/>
        </a:xfrm>
        <a:custGeom>
          <a:avLst/>
          <a:gdLst>
            <a:gd name="csX0" fmla="*/ 0 w 828675"/>
            <a:gd name="csY0" fmla="*/ 385762 h 385762"/>
            <a:gd name="csX1" fmla="*/ 828675 w 828675"/>
            <a:gd name="csY1" fmla="*/ 0 h 385762"/>
          </a:gdLst>
          <a:ahLst/>
          <a:cxnLst>
            <a:cxn ang="0">
              <a:pos x="csX0" y="csY0"/>
            </a:cxn>
            <a:cxn ang="0">
              <a:pos x="csX1" y="csY1"/>
            </a:cxn>
          </a:cxnLst>
          <a:rect l="l" t="t" r="r" b="b"/>
          <a:pathLst>
            <a:path w="828675" h="385762">
              <a:moveTo>
                <a:pt x="0" y="385762"/>
              </a:moveTo>
              <a:lnTo>
                <a:pt x="828675" y="0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247</xdr:row>
      <xdr:rowOff>0</xdr:rowOff>
    </xdr:from>
    <xdr:to>
      <xdr:col>26</xdr:col>
      <xdr:colOff>554038</xdr:colOff>
      <xdr:row>266</xdr:row>
      <xdr:rowOff>100014</xdr:rowOff>
    </xdr:to>
    <xdr:graphicFrame macro="">
      <xdr:nvGraphicFramePr>
        <xdr:cNvPr id="93" name="Chart 92">
          <a:extLst>
            <a:ext uri="{FF2B5EF4-FFF2-40B4-BE49-F238E27FC236}">
              <a16:creationId xmlns:a16="http://schemas.microsoft.com/office/drawing/2014/main" id="{BBB22A9F-23B5-46DB-B41D-B79C624BB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28</xdr:col>
      <xdr:colOff>412028</xdr:colOff>
      <xdr:row>263</xdr:row>
      <xdr:rowOff>5772</xdr:rowOff>
    </xdr:from>
    <xdr:to>
      <xdr:col>36</xdr:col>
      <xdr:colOff>1079499</xdr:colOff>
      <xdr:row>282</xdr:row>
      <xdr:rowOff>105786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72CD38F3-46D6-4ECF-B7CB-4C448FA96D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28</xdr:col>
      <xdr:colOff>333375</xdr:colOff>
      <xdr:row>243</xdr:row>
      <xdr:rowOff>15875</xdr:rowOff>
    </xdr:from>
    <xdr:to>
      <xdr:col>36</xdr:col>
      <xdr:colOff>883949</xdr:colOff>
      <xdr:row>262</xdr:row>
      <xdr:rowOff>115889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7621498A-2EE5-4CB7-BDA0-98F6657D2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29</xdr:col>
      <xdr:colOff>500062</xdr:colOff>
      <xdr:row>250</xdr:row>
      <xdr:rowOff>111125</xdr:rowOff>
    </xdr:from>
    <xdr:to>
      <xdr:col>35</xdr:col>
      <xdr:colOff>579437</xdr:colOff>
      <xdr:row>257</xdr:row>
      <xdr:rowOff>150813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5CE81EE1-7DD1-2679-FAB5-3DAECED814B9}"/>
            </a:ext>
          </a:extLst>
        </xdr:cNvPr>
        <xdr:cNvCxnSpPr/>
      </xdr:nvCxnSpPr>
      <xdr:spPr>
        <a:xfrm>
          <a:off x="18224500" y="47736125"/>
          <a:ext cx="3746500" cy="13731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150812</xdr:colOff>
      <xdr:row>248</xdr:row>
      <xdr:rowOff>55563</xdr:rowOff>
    </xdr:from>
    <xdr:to>
      <xdr:col>35</xdr:col>
      <xdr:colOff>468312</xdr:colOff>
      <xdr:row>251</xdr:row>
      <xdr:rowOff>182563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F2ABFD89-CEF5-D57F-EB31-4F4355999AEA}"/>
            </a:ext>
          </a:extLst>
        </xdr:cNvPr>
        <xdr:cNvCxnSpPr/>
      </xdr:nvCxnSpPr>
      <xdr:spPr>
        <a:xfrm>
          <a:off x="19097625" y="47299563"/>
          <a:ext cx="2762250" cy="698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444500</xdr:colOff>
      <xdr:row>226</xdr:row>
      <xdr:rowOff>150812</xdr:rowOff>
    </xdr:from>
    <xdr:to>
      <xdr:col>13</xdr:col>
      <xdr:colOff>385885</xdr:colOff>
      <xdr:row>246</xdr:row>
      <xdr:rowOff>60326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3F58DCB1-FB5A-4515-8932-BC60F282E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579438</xdr:colOff>
      <xdr:row>233</xdr:row>
      <xdr:rowOff>87313</xdr:rowOff>
    </xdr:from>
    <xdr:to>
      <xdr:col>12</xdr:col>
      <xdr:colOff>301625</xdr:colOff>
      <xdr:row>237</xdr:row>
      <xdr:rowOff>142875</xdr:rowOff>
    </xdr:to>
    <xdr:sp macro="" textlink="">
      <xdr:nvSpPr>
        <xdr:cNvPr id="78" name="Freeform: Shape 77">
          <a:extLst>
            <a:ext uri="{FF2B5EF4-FFF2-40B4-BE49-F238E27FC236}">
              <a16:creationId xmlns:a16="http://schemas.microsoft.com/office/drawing/2014/main" id="{19D3C550-C174-738C-883D-7C9601DECEF4}"/>
            </a:ext>
          </a:extLst>
        </xdr:cNvPr>
        <xdr:cNvSpPr/>
      </xdr:nvSpPr>
      <xdr:spPr>
        <a:xfrm>
          <a:off x="4246563" y="44473813"/>
          <a:ext cx="3389312" cy="817562"/>
        </a:xfrm>
        <a:custGeom>
          <a:avLst/>
          <a:gdLst>
            <a:gd name="csX0" fmla="*/ 0 w 3389312"/>
            <a:gd name="csY0" fmla="*/ 817562 h 817562"/>
            <a:gd name="csX1" fmla="*/ 1682750 w 3389312"/>
            <a:gd name="csY1" fmla="*/ 611187 h 817562"/>
            <a:gd name="csX2" fmla="*/ 2778125 w 3389312"/>
            <a:gd name="csY2" fmla="*/ 373062 h 817562"/>
            <a:gd name="csX3" fmla="*/ 3389312 w 3389312"/>
            <a:gd name="csY3" fmla="*/ 0 h 81756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3389312" h="817562">
              <a:moveTo>
                <a:pt x="0" y="817562"/>
              </a:moveTo>
              <a:cubicBezTo>
                <a:pt x="609864" y="751416"/>
                <a:pt x="1219729" y="685270"/>
                <a:pt x="1682750" y="611187"/>
              </a:cubicBezTo>
              <a:cubicBezTo>
                <a:pt x="2145771" y="537104"/>
                <a:pt x="2493698" y="474926"/>
                <a:pt x="2778125" y="373062"/>
              </a:cubicBezTo>
              <a:cubicBezTo>
                <a:pt x="3062552" y="271198"/>
                <a:pt x="3225932" y="135599"/>
                <a:pt x="3389312" y="0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452438</xdr:colOff>
      <xdr:row>234</xdr:row>
      <xdr:rowOff>111125</xdr:rowOff>
    </xdr:from>
    <xdr:to>
      <xdr:col>12</xdr:col>
      <xdr:colOff>285750</xdr:colOff>
      <xdr:row>238</xdr:row>
      <xdr:rowOff>119063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DA5723BC-6BD7-71C4-0AFD-ED0AEF3EE08A}"/>
            </a:ext>
          </a:extLst>
        </xdr:cNvPr>
        <xdr:cNvSpPr/>
      </xdr:nvSpPr>
      <xdr:spPr>
        <a:xfrm>
          <a:off x="5341938" y="44688125"/>
          <a:ext cx="2278062" cy="769938"/>
        </a:xfrm>
        <a:custGeom>
          <a:avLst/>
          <a:gdLst>
            <a:gd name="csX0" fmla="*/ 0 w 2278062"/>
            <a:gd name="csY0" fmla="*/ 769938 h 769938"/>
            <a:gd name="csX1" fmla="*/ 579437 w 2278062"/>
            <a:gd name="csY1" fmla="*/ 698500 h 769938"/>
            <a:gd name="csX2" fmla="*/ 1158875 w 2278062"/>
            <a:gd name="csY2" fmla="*/ 603250 h 769938"/>
            <a:gd name="csX3" fmla="*/ 1722437 w 2278062"/>
            <a:gd name="csY3" fmla="*/ 396875 h 769938"/>
            <a:gd name="csX4" fmla="*/ 2278062 w 2278062"/>
            <a:gd name="csY4" fmla="*/ 0 h 76993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278062" h="769938">
              <a:moveTo>
                <a:pt x="0" y="769938"/>
              </a:moveTo>
              <a:cubicBezTo>
                <a:pt x="193145" y="748109"/>
                <a:pt x="386291" y="726281"/>
                <a:pt x="579437" y="698500"/>
              </a:cubicBezTo>
              <a:cubicBezTo>
                <a:pt x="772583" y="670719"/>
                <a:pt x="968375" y="653521"/>
                <a:pt x="1158875" y="603250"/>
              </a:cubicBezTo>
              <a:cubicBezTo>
                <a:pt x="1349375" y="552979"/>
                <a:pt x="1535906" y="497417"/>
                <a:pt x="1722437" y="396875"/>
              </a:cubicBezTo>
              <a:cubicBezTo>
                <a:pt x="1908968" y="296333"/>
                <a:pt x="2093515" y="148166"/>
                <a:pt x="2278062" y="0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396875</xdr:colOff>
      <xdr:row>238</xdr:row>
      <xdr:rowOff>63500</xdr:rowOff>
    </xdr:from>
    <xdr:to>
      <xdr:col>12</xdr:col>
      <xdr:colOff>301625</xdr:colOff>
      <xdr:row>239</xdr:row>
      <xdr:rowOff>15875</xdr:rowOff>
    </xdr:to>
    <xdr:sp macro="" textlink="">
      <xdr:nvSpPr>
        <xdr:cNvPr id="89" name="Freeform: Shape 88">
          <a:extLst>
            <a:ext uri="{FF2B5EF4-FFF2-40B4-BE49-F238E27FC236}">
              <a16:creationId xmlns:a16="http://schemas.microsoft.com/office/drawing/2014/main" id="{36EEB791-2003-DB7E-D505-2D134D2F18E4}"/>
            </a:ext>
          </a:extLst>
        </xdr:cNvPr>
        <xdr:cNvSpPr/>
      </xdr:nvSpPr>
      <xdr:spPr>
        <a:xfrm>
          <a:off x="5897563" y="45402500"/>
          <a:ext cx="1738312" cy="142875"/>
        </a:xfrm>
        <a:custGeom>
          <a:avLst/>
          <a:gdLst>
            <a:gd name="csX0" fmla="*/ 0 w 1738312"/>
            <a:gd name="csY0" fmla="*/ 142875 h 142875"/>
            <a:gd name="csX1" fmla="*/ 1135062 w 1738312"/>
            <a:gd name="csY1" fmla="*/ 95250 h 142875"/>
            <a:gd name="csX2" fmla="*/ 1738312 w 1738312"/>
            <a:gd name="csY2" fmla="*/ 0 h 14287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1738312" h="142875">
              <a:moveTo>
                <a:pt x="0" y="142875"/>
              </a:moveTo>
              <a:cubicBezTo>
                <a:pt x="422671" y="130968"/>
                <a:pt x="845343" y="119062"/>
                <a:pt x="1135062" y="95250"/>
              </a:cubicBezTo>
              <a:cubicBezTo>
                <a:pt x="1424781" y="71437"/>
                <a:pt x="1581546" y="35718"/>
                <a:pt x="1738312" y="0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0</xdr:colOff>
      <xdr:row>249</xdr:row>
      <xdr:rowOff>0</xdr:rowOff>
    </xdr:from>
    <xdr:to>
      <xdr:col>13</xdr:col>
      <xdr:colOff>552573</xdr:colOff>
      <xdr:row>268</xdr:row>
      <xdr:rowOff>100014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4F42093C-34E7-4A53-AA0F-CA97A96C5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10</xdr:col>
      <xdr:colOff>468313</xdr:colOff>
      <xdr:row>256</xdr:row>
      <xdr:rowOff>79375</xdr:rowOff>
    </xdr:from>
    <xdr:to>
      <xdr:col>12</xdr:col>
      <xdr:colOff>309563</xdr:colOff>
      <xdr:row>260</xdr:row>
      <xdr:rowOff>134938</xdr:rowOff>
    </xdr:to>
    <xdr:sp macro="" textlink="">
      <xdr:nvSpPr>
        <xdr:cNvPr id="87" name="Freeform: Shape 86">
          <a:extLst>
            <a:ext uri="{FF2B5EF4-FFF2-40B4-BE49-F238E27FC236}">
              <a16:creationId xmlns:a16="http://schemas.microsoft.com/office/drawing/2014/main" id="{608EEAA1-E37C-9428-8720-4504FAD546C6}"/>
            </a:ext>
          </a:extLst>
        </xdr:cNvPr>
        <xdr:cNvSpPr/>
      </xdr:nvSpPr>
      <xdr:spPr>
        <a:xfrm>
          <a:off x="6580188" y="48847375"/>
          <a:ext cx="1063625" cy="817563"/>
        </a:xfrm>
        <a:custGeom>
          <a:avLst/>
          <a:gdLst>
            <a:gd name="csX0" fmla="*/ 1063625 w 1063625"/>
            <a:gd name="csY0" fmla="*/ 817563 h 817563"/>
            <a:gd name="csX1" fmla="*/ 611187 w 1063625"/>
            <a:gd name="csY1" fmla="*/ 658813 h 817563"/>
            <a:gd name="csX2" fmla="*/ 333375 w 1063625"/>
            <a:gd name="csY2" fmla="*/ 428625 h 817563"/>
            <a:gd name="csX3" fmla="*/ 0 w 1063625"/>
            <a:gd name="csY3" fmla="*/ 0 h 81756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1063625" h="817563">
              <a:moveTo>
                <a:pt x="1063625" y="817563"/>
              </a:moveTo>
              <a:cubicBezTo>
                <a:pt x="898260" y="770599"/>
                <a:pt x="732895" y="723636"/>
                <a:pt x="611187" y="658813"/>
              </a:cubicBezTo>
              <a:cubicBezTo>
                <a:pt x="489479" y="593990"/>
                <a:pt x="435239" y="538427"/>
                <a:pt x="333375" y="428625"/>
              </a:cubicBezTo>
              <a:cubicBezTo>
                <a:pt x="231511" y="318823"/>
                <a:pt x="115755" y="159411"/>
                <a:pt x="0" y="0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260</xdr:row>
      <xdr:rowOff>15875</xdr:rowOff>
    </xdr:from>
    <xdr:to>
      <xdr:col>12</xdr:col>
      <xdr:colOff>587375</xdr:colOff>
      <xdr:row>261</xdr:row>
      <xdr:rowOff>95250</xdr:rowOff>
    </xdr:to>
    <xdr:sp macro="" textlink="">
      <xdr:nvSpPr>
        <xdr:cNvPr id="88" name="Freeform: Shape 87">
          <a:extLst>
            <a:ext uri="{FF2B5EF4-FFF2-40B4-BE49-F238E27FC236}">
              <a16:creationId xmlns:a16="http://schemas.microsoft.com/office/drawing/2014/main" id="{F4AB733A-C024-232D-057A-C8ECE4B8F68E}"/>
            </a:ext>
          </a:extLst>
        </xdr:cNvPr>
        <xdr:cNvSpPr/>
      </xdr:nvSpPr>
      <xdr:spPr>
        <a:xfrm>
          <a:off x="7612063" y="49545875"/>
          <a:ext cx="309562" cy="269875"/>
        </a:xfrm>
        <a:custGeom>
          <a:avLst/>
          <a:gdLst>
            <a:gd name="csX0" fmla="*/ 309562 w 309562"/>
            <a:gd name="csY0" fmla="*/ 269875 h 269875"/>
            <a:gd name="csX1" fmla="*/ 0 w 309562"/>
            <a:gd name="csY1" fmla="*/ 0 h 269875"/>
          </a:gdLst>
          <a:ahLst/>
          <a:cxnLst>
            <a:cxn ang="0">
              <a:pos x="csX0" y="csY0"/>
            </a:cxn>
            <a:cxn ang="0">
              <a:pos x="csX1" y="csY1"/>
            </a:cxn>
          </a:cxnLst>
          <a:rect l="l" t="t" r="r" b="b"/>
          <a:pathLst>
            <a:path w="309562" h="269875">
              <a:moveTo>
                <a:pt x="309562" y="269875"/>
              </a:moveTo>
              <a:lnTo>
                <a:pt x="0" y="0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468313</xdr:colOff>
      <xdr:row>270</xdr:row>
      <xdr:rowOff>63500</xdr:rowOff>
    </xdr:from>
    <xdr:to>
      <xdr:col>13</xdr:col>
      <xdr:colOff>409698</xdr:colOff>
      <xdr:row>289</xdr:row>
      <xdr:rowOff>163514</xdr:rowOff>
    </xdr:to>
    <xdr:graphicFrame macro="">
      <xdr:nvGraphicFramePr>
        <xdr:cNvPr id="94" name="Chart 93">
          <a:extLst>
            <a:ext uri="{FF2B5EF4-FFF2-40B4-BE49-F238E27FC236}">
              <a16:creationId xmlns:a16="http://schemas.microsoft.com/office/drawing/2014/main" id="{5AB99192-5FF1-4EAA-9A6C-773481D496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8</xdr:col>
      <xdr:colOff>285749</xdr:colOff>
      <xdr:row>276</xdr:row>
      <xdr:rowOff>7936</xdr:rowOff>
    </xdr:from>
    <xdr:to>
      <xdr:col>12</xdr:col>
      <xdr:colOff>0</xdr:colOff>
      <xdr:row>276</xdr:row>
      <xdr:rowOff>53655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4C17622E-8766-126B-F309-F06567751EAF}"/>
            </a:ext>
          </a:extLst>
        </xdr:cNvPr>
        <xdr:cNvSpPr/>
      </xdr:nvSpPr>
      <xdr:spPr>
        <a:xfrm flipV="1">
          <a:off x="5175249" y="52585936"/>
          <a:ext cx="2159001" cy="45719"/>
        </a:xfrm>
        <a:custGeom>
          <a:avLst/>
          <a:gdLst>
            <a:gd name="csX0" fmla="*/ 0 w 2262188"/>
            <a:gd name="csY0" fmla="*/ 0 h 39687"/>
            <a:gd name="csX1" fmla="*/ 2262188 w 2262188"/>
            <a:gd name="csY1" fmla="*/ 39687 h 39687"/>
          </a:gdLst>
          <a:ahLst/>
          <a:cxnLst>
            <a:cxn ang="0">
              <a:pos x="csX0" y="csY0"/>
            </a:cxn>
            <a:cxn ang="0">
              <a:pos x="csX1" y="csY1"/>
            </a:cxn>
          </a:cxnLst>
          <a:rect l="l" t="t" r="r" b="b"/>
          <a:pathLst>
            <a:path w="2262188" h="39687">
              <a:moveTo>
                <a:pt x="0" y="0"/>
              </a:moveTo>
              <a:lnTo>
                <a:pt x="2262188" y="39687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396875</xdr:colOff>
      <xdr:row>277</xdr:row>
      <xdr:rowOff>15875</xdr:rowOff>
    </xdr:from>
    <xdr:to>
      <xdr:col>12</xdr:col>
      <xdr:colOff>230188</xdr:colOff>
      <xdr:row>284</xdr:row>
      <xdr:rowOff>166688</xdr:rowOff>
    </xdr:to>
    <xdr:sp macro="" textlink="">
      <xdr:nvSpPr>
        <xdr:cNvPr id="98" name="Freeform: Shape 97">
          <a:extLst>
            <a:ext uri="{FF2B5EF4-FFF2-40B4-BE49-F238E27FC236}">
              <a16:creationId xmlns:a16="http://schemas.microsoft.com/office/drawing/2014/main" id="{88E4184C-C50D-905C-DD42-F23A285CFD3B}"/>
            </a:ext>
          </a:extLst>
        </xdr:cNvPr>
        <xdr:cNvSpPr/>
      </xdr:nvSpPr>
      <xdr:spPr>
        <a:xfrm>
          <a:off x="4064000" y="52784375"/>
          <a:ext cx="3500438" cy="1484313"/>
        </a:xfrm>
        <a:custGeom>
          <a:avLst/>
          <a:gdLst>
            <a:gd name="csX0" fmla="*/ 0 w 3500438"/>
            <a:gd name="csY0" fmla="*/ 0 h 1484313"/>
            <a:gd name="csX1" fmla="*/ 3500438 w 3500438"/>
            <a:gd name="csY1" fmla="*/ 1484313 h 1484313"/>
          </a:gdLst>
          <a:ahLst/>
          <a:cxnLst>
            <a:cxn ang="0">
              <a:pos x="csX0" y="csY0"/>
            </a:cxn>
            <a:cxn ang="0">
              <a:pos x="csX1" y="csY1"/>
            </a:cxn>
          </a:cxnLst>
          <a:rect l="l" t="t" r="r" b="b"/>
          <a:pathLst>
            <a:path w="3500438" h="1484313">
              <a:moveTo>
                <a:pt x="0" y="0"/>
              </a:moveTo>
              <a:lnTo>
                <a:pt x="3500438" y="1484313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150812</xdr:colOff>
      <xdr:row>92</xdr:row>
      <xdr:rowOff>95250</xdr:rowOff>
    </xdr:from>
    <xdr:to>
      <xdr:col>9</xdr:col>
      <xdr:colOff>95250</xdr:colOff>
      <xdr:row>112</xdr:row>
      <xdr:rowOff>4764</xdr:rowOff>
    </xdr:to>
    <xdr:graphicFrame macro="">
      <xdr:nvGraphicFramePr>
        <xdr:cNvPr id="99" name="Chart 98">
          <a:extLst>
            <a:ext uri="{FF2B5EF4-FFF2-40B4-BE49-F238E27FC236}">
              <a16:creationId xmlns:a16="http://schemas.microsoft.com/office/drawing/2014/main" id="{06D67C5A-F93F-43BD-9917-582399A0A9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55</xdr:col>
      <xdr:colOff>0</xdr:colOff>
      <xdr:row>74</xdr:row>
      <xdr:rowOff>0</xdr:rowOff>
    </xdr:from>
    <xdr:to>
      <xdr:col>63</xdr:col>
      <xdr:colOff>555626</xdr:colOff>
      <xdr:row>93</xdr:row>
      <xdr:rowOff>100014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FC63041F-3D7E-430C-A35D-CB85AAD40C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53</xdr:col>
      <xdr:colOff>0</xdr:colOff>
      <xdr:row>98</xdr:row>
      <xdr:rowOff>0</xdr:rowOff>
    </xdr:from>
    <xdr:to>
      <xdr:col>61</xdr:col>
      <xdr:colOff>555626</xdr:colOff>
      <xdr:row>117</xdr:row>
      <xdr:rowOff>100014</xdr:rowOff>
    </xdr:to>
    <xdr:graphicFrame macro="">
      <xdr:nvGraphicFramePr>
        <xdr:cNvPr id="95" name="Chart 94">
          <a:extLst>
            <a:ext uri="{FF2B5EF4-FFF2-40B4-BE49-F238E27FC236}">
              <a16:creationId xmlns:a16="http://schemas.microsoft.com/office/drawing/2014/main" id="{967F182E-7814-432B-A04D-61EFB99372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56</xdr:col>
      <xdr:colOff>63500</xdr:colOff>
      <xdr:row>109</xdr:row>
      <xdr:rowOff>150813</xdr:rowOff>
    </xdr:from>
    <xdr:to>
      <xdr:col>59</xdr:col>
      <xdr:colOff>515938</xdr:colOff>
      <xdr:row>113</xdr:row>
      <xdr:rowOff>39688</xdr:rowOff>
    </xdr:to>
    <xdr:sp macro="" textlink="">
      <xdr:nvSpPr>
        <xdr:cNvPr id="96" name="Freeform: Shape 95">
          <a:extLst>
            <a:ext uri="{FF2B5EF4-FFF2-40B4-BE49-F238E27FC236}">
              <a16:creationId xmlns:a16="http://schemas.microsoft.com/office/drawing/2014/main" id="{95E3B659-12B2-8809-564A-1F8BD004802F}"/>
            </a:ext>
          </a:extLst>
        </xdr:cNvPr>
        <xdr:cNvSpPr/>
      </xdr:nvSpPr>
      <xdr:spPr>
        <a:xfrm>
          <a:off x="35948938" y="20915313"/>
          <a:ext cx="2286000" cy="650875"/>
        </a:xfrm>
        <a:custGeom>
          <a:avLst/>
          <a:gdLst>
            <a:gd name="csX0" fmla="*/ 0 w 2286000"/>
            <a:gd name="csY0" fmla="*/ 650875 h 650875"/>
            <a:gd name="csX1" fmla="*/ 1166812 w 2286000"/>
            <a:gd name="csY1" fmla="*/ 500062 h 650875"/>
            <a:gd name="csX2" fmla="*/ 2286000 w 2286000"/>
            <a:gd name="csY2" fmla="*/ 0 h 65087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2286000" h="650875">
              <a:moveTo>
                <a:pt x="0" y="650875"/>
              </a:moveTo>
              <a:cubicBezTo>
                <a:pt x="392906" y="629708"/>
                <a:pt x="785812" y="608541"/>
                <a:pt x="1166812" y="500062"/>
              </a:cubicBezTo>
              <a:cubicBezTo>
                <a:pt x="1547812" y="391583"/>
                <a:pt x="1916906" y="195791"/>
                <a:pt x="2286000" y="0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56</xdr:col>
      <xdr:colOff>595312</xdr:colOff>
      <xdr:row>113</xdr:row>
      <xdr:rowOff>39688</xdr:rowOff>
    </xdr:from>
    <xdr:to>
      <xdr:col>59</xdr:col>
      <xdr:colOff>571500</xdr:colOff>
      <xdr:row>114</xdr:row>
      <xdr:rowOff>7938</xdr:rowOff>
    </xdr:to>
    <xdr:sp macro="" textlink="">
      <xdr:nvSpPr>
        <xdr:cNvPr id="100" name="Freeform: Shape 99">
          <a:extLst>
            <a:ext uri="{FF2B5EF4-FFF2-40B4-BE49-F238E27FC236}">
              <a16:creationId xmlns:a16="http://schemas.microsoft.com/office/drawing/2014/main" id="{63B477A7-8CE6-F453-305B-75EB7B871C04}"/>
            </a:ext>
          </a:extLst>
        </xdr:cNvPr>
        <xdr:cNvSpPr/>
      </xdr:nvSpPr>
      <xdr:spPr>
        <a:xfrm>
          <a:off x="36480750" y="21566188"/>
          <a:ext cx="1809750" cy="158750"/>
        </a:xfrm>
        <a:custGeom>
          <a:avLst/>
          <a:gdLst>
            <a:gd name="csX0" fmla="*/ 0 w 1809750"/>
            <a:gd name="csY0" fmla="*/ 158750 h 158750"/>
            <a:gd name="csX1" fmla="*/ 1190625 w 1809750"/>
            <a:gd name="csY1" fmla="*/ 71437 h 158750"/>
            <a:gd name="csX2" fmla="*/ 1809750 w 1809750"/>
            <a:gd name="csY2" fmla="*/ 0 h 15875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1809750" h="158750">
              <a:moveTo>
                <a:pt x="0" y="158750"/>
              </a:moveTo>
              <a:lnTo>
                <a:pt x="1190625" y="71437"/>
              </a:lnTo>
              <a:cubicBezTo>
                <a:pt x="1492250" y="44979"/>
                <a:pt x="1651000" y="22489"/>
                <a:pt x="1809750" y="0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273</xdr:row>
      <xdr:rowOff>0</xdr:rowOff>
    </xdr:from>
    <xdr:to>
      <xdr:col>25</xdr:col>
      <xdr:colOff>554038</xdr:colOff>
      <xdr:row>292</xdr:row>
      <xdr:rowOff>100014</xdr:rowOff>
    </xdr:to>
    <xdr:graphicFrame macro="">
      <xdr:nvGraphicFramePr>
        <xdr:cNvPr id="102" name="Chart 101">
          <a:extLst>
            <a:ext uri="{FF2B5EF4-FFF2-40B4-BE49-F238E27FC236}">
              <a16:creationId xmlns:a16="http://schemas.microsoft.com/office/drawing/2014/main" id="{CF5D6991-9271-469D-9A13-16EDDD2AC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20</xdr:col>
      <xdr:colOff>381000</xdr:colOff>
      <xdr:row>279</xdr:row>
      <xdr:rowOff>15875</xdr:rowOff>
    </xdr:from>
    <xdr:to>
      <xdr:col>23</xdr:col>
      <xdr:colOff>492125</xdr:colOff>
      <xdr:row>283</xdr:row>
      <xdr:rowOff>31750</xdr:rowOff>
    </xdr:to>
    <xdr:sp macro="" textlink="">
      <xdr:nvSpPr>
        <xdr:cNvPr id="108" name="Freeform: Shape 107">
          <a:extLst>
            <a:ext uri="{FF2B5EF4-FFF2-40B4-BE49-F238E27FC236}">
              <a16:creationId xmlns:a16="http://schemas.microsoft.com/office/drawing/2014/main" id="{66FDB868-C401-7898-98A4-510EE9F30B75}"/>
            </a:ext>
          </a:extLst>
        </xdr:cNvPr>
        <xdr:cNvSpPr/>
      </xdr:nvSpPr>
      <xdr:spPr>
        <a:xfrm>
          <a:off x="12604750" y="53165375"/>
          <a:ext cx="1944688" cy="777875"/>
        </a:xfrm>
        <a:custGeom>
          <a:avLst/>
          <a:gdLst>
            <a:gd name="csX0" fmla="*/ 1944688 w 1944688"/>
            <a:gd name="csY0" fmla="*/ 777875 h 777875"/>
            <a:gd name="csX1" fmla="*/ 0 w 1944688"/>
            <a:gd name="csY1" fmla="*/ 0 h 777875"/>
          </a:gdLst>
          <a:ahLst/>
          <a:cxnLst>
            <a:cxn ang="0">
              <a:pos x="csX0" y="csY0"/>
            </a:cxn>
            <a:cxn ang="0">
              <a:pos x="csX1" y="csY1"/>
            </a:cxn>
          </a:cxnLst>
          <a:rect l="l" t="t" r="r" b="b"/>
          <a:pathLst>
            <a:path w="1944688" h="777875">
              <a:moveTo>
                <a:pt x="1944688" y="777875"/>
              </a:moveTo>
              <a:lnTo>
                <a:pt x="0" y="0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543947</xdr:colOff>
      <xdr:row>279</xdr:row>
      <xdr:rowOff>151192</xdr:rowOff>
    </xdr:from>
    <xdr:to>
      <xdr:col>24</xdr:col>
      <xdr:colOff>523876</xdr:colOff>
      <xdr:row>284</xdr:row>
      <xdr:rowOff>174625</xdr:rowOff>
    </xdr:to>
    <xdr:sp macro="" textlink="">
      <xdr:nvSpPr>
        <xdr:cNvPr id="110" name="Freeform: Shape 109">
          <a:extLst>
            <a:ext uri="{FF2B5EF4-FFF2-40B4-BE49-F238E27FC236}">
              <a16:creationId xmlns:a16="http://schemas.microsoft.com/office/drawing/2014/main" id="{9E126D55-9400-6D6C-487D-50D448883FD7}"/>
            </a:ext>
          </a:extLst>
        </xdr:cNvPr>
        <xdr:cNvSpPr/>
      </xdr:nvSpPr>
      <xdr:spPr>
        <a:xfrm>
          <a:off x="13990072" y="53300692"/>
          <a:ext cx="1202304" cy="975933"/>
        </a:xfrm>
        <a:custGeom>
          <a:avLst/>
          <a:gdLst>
            <a:gd name="csX0" fmla="*/ 1218179 w 1218179"/>
            <a:gd name="csY0" fmla="*/ 952121 h 952121"/>
            <a:gd name="csX1" fmla="*/ 106929 w 1218179"/>
            <a:gd name="csY1" fmla="*/ 78996 h 952121"/>
            <a:gd name="csX2" fmla="*/ 106929 w 1218179"/>
            <a:gd name="csY2" fmla="*/ 94871 h 95212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1218179" h="952121">
              <a:moveTo>
                <a:pt x="1218179" y="952121"/>
              </a:moveTo>
              <a:lnTo>
                <a:pt x="106929" y="78996"/>
              </a:lnTo>
              <a:cubicBezTo>
                <a:pt x="-78279" y="-63879"/>
                <a:pt x="14325" y="15496"/>
                <a:pt x="106929" y="94871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0.2983</cdr:x>
      <cdr:y>0.21448</cdr:y>
    </cdr:from>
    <cdr:to>
      <cdr:x>0.4354</cdr:x>
      <cdr:y>0.83121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343CB948-4F5C-495D-884C-0B459CF999E8}"/>
            </a:ext>
          </a:extLst>
        </cdr:cNvPr>
        <cdr:cNvSpPr/>
      </cdr:nvSpPr>
      <cdr:spPr>
        <a:xfrm xmlns:a="http://schemas.openxmlformats.org/drawingml/2006/main">
          <a:off x="1624932" y="797761"/>
          <a:ext cx="746837" cy="229393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alpha val="1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</cdr:txBody>
    </cdr:sp>
  </cdr:relSizeAnchor>
  <cdr:relSizeAnchor xmlns:cdr="http://schemas.openxmlformats.org/drawingml/2006/chartDrawing">
    <cdr:from>
      <cdr:x>0.43727</cdr:x>
      <cdr:y>0.21448</cdr:y>
    </cdr:from>
    <cdr:to>
      <cdr:x>0.58562</cdr:x>
      <cdr:y>0.83121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D2CF225-CA8F-4B61-8159-4DC8EB27D53E}"/>
            </a:ext>
          </a:extLst>
        </cdr:cNvPr>
        <cdr:cNvSpPr/>
      </cdr:nvSpPr>
      <cdr:spPr>
        <a:xfrm xmlns:a="http://schemas.openxmlformats.org/drawingml/2006/main">
          <a:off x="2381919" y="797760"/>
          <a:ext cx="808121" cy="229393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alpha val="1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</cdr:txBody>
    </cdr:sp>
  </cdr:relSizeAnchor>
  <cdr:relSizeAnchor xmlns:cdr="http://schemas.openxmlformats.org/drawingml/2006/chartDrawing">
    <cdr:from>
      <cdr:x>0.66366</cdr:x>
      <cdr:y>0.21852</cdr:y>
    </cdr:from>
    <cdr:to>
      <cdr:x>0.73128</cdr:x>
      <cdr:y>0.83525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281C19E4-8045-4AA2-A01B-8C4195F72F66}"/>
            </a:ext>
          </a:extLst>
        </cdr:cNvPr>
        <cdr:cNvSpPr/>
      </cdr:nvSpPr>
      <cdr:spPr>
        <a:xfrm xmlns:a="http://schemas.openxmlformats.org/drawingml/2006/main">
          <a:off x="3615155" y="812800"/>
          <a:ext cx="368343" cy="229393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alpha val="1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0.14922</cdr:x>
      <cdr:y>0.21583</cdr:y>
    </cdr:from>
    <cdr:to>
      <cdr:x>0.28976</cdr:x>
      <cdr:y>0.83256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8BBBEEC6-6FE2-4D90-8730-A4DE9F04AC00}"/>
            </a:ext>
          </a:extLst>
        </cdr:cNvPr>
        <cdr:cNvSpPr/>
      </cdr:nvSpPr>
      <cdr:spPr>
        <a:xfrm xmlns:a="http://schemas.openxmlformats.org/drawingml/2006/main">
          <a:off x="812800" y="802773"/>
          <a:ext cx="765510" cy="229393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alpha val="1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IN" sz="1100">
            <a:solidFill>
              <a:schemeClr val="tx1"/>
            </a:solidFill>
            <a:latin typeface="Aptos" panose="020B0004020202020204" pitchFamily="34" charset="0"/>
          </a:endParaRPr>
        </a:p>
      </cdr:txBody>
    </cdr:sp>
  </cdr:relSizeAnchor>
  <cdr:relSizeAnchor xmlns:cdr="http://schemas.openxmlformats.org/drawingml/2006/chartDrawing">
    <cdr:from>
      <cdr:x>0.73458</cdr:x>
      <cdr:y>0.21583</cdr:y>
    </cdr:from>
    <cdr:to>
      <cdr:x>0.82581</cdr:x>
      <cdr:y>0.83256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76A4DB3-DE94-4A22-B28D-D2D75B55F9AD}"/>
            </a:ext>
          </a:extLst>
        </cdr:cNvPr>
        <cdr:cNvSpPr/>
      </cdr:nvSpPr>
      <cdr:spPr>
        <a:xfrm xmlns:a="http://schemas.openxmlformats.org/drawingml/2006/main">
          <a:off x="4001169" y="802774"/>
          <a:ext cx="496931" cy="229393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alpha val="1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IN" sz="1050">
            <a:solidFill>
              <a:schemeClr val="tx1"/>
            </a:solidFill>
            <a:latin typeface="Aptos" panose="020B0004020202020204" pitchFamily="34" charset="0"/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0.3238</cdr:x>
      <cdr:y>0.3265</cdr:y>
    </cdr:from>
    <cdr:to>
      <cdr:x>0.7001</cdr:x>
      <cdr:y>0.55911</cdr:y>
    </cdr:to>
    <cdr:sp macro="" textlink="">
      <cdr:nvSpPr>
        <cdr:cNvPr id="3" name="Freeform: Shape 2">
          <a:extLst xmlns:a="http://schemas.openxmlformats.org/drawingml/2006/main">
            <a:ext uri="{FF2B5EF4-FFF2-40B4-BE49-F238E27FC236}">
              <a16:creationId xmlns:a16="http://schemas.microsoft.com/office/drawing/2014/main" id="{DB970592-B90A-0390-D21B-CF6BA4CA9139}"/>
            </a:ext>
          </a:extLst>
        </cdr:cNvPr>
        <cdr:cNvSpPr/>
      </cdr:nvSpPr>
      <cdr:spPr>
        <a:xfrm xmlns:a="http://schemas.openxmlformats.org/drawingml/2006/main">
          <a:off x="1762125" y="1214438"/>
          <a:ext cx="2047875" cy="865187"/>
        </a:xfrm>
        <a:custGeom xmlns:a="http://schemas.openxmlformats.org/drawingml/2006/main">
          <a:avLst/>
          <a:gdLst>
            <a:gd name="csX0" fmla="*/ 2047875 w 2047875"/>
            <a:gd name="csY0" fmla="*/ 865187 h 865187"/>
            <a:gd name="csX1" fmla="*/ 1158875 w 2047875"/>
            <a:gd name="csY1" fmla="*/ 666750 h 865187"/>
            <a:gd name="csX2" fmla="*/ 428625 w 2047875"/>
            <a:gd name="csY2" fmla="*/ 396875 h 865187"/>
            <a:gd name="csX3" fmla="*/ 0 w 2047875"/>
            <a:gd name="csY3" fmla="*/ 0 h 86518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2047875" h="865187">
              <a:moveTo>
                <a:pt x="2047875" y="865187"/>
              </a:moveTo>
              <a:cubicBezTo>
                <a:pt x="1738312" y="804994"/>
                <a:pt x="1428750" y="744802"/>
                <a:pt x="1158875" y="666750"/>
              </a:cubicBezTo>
              <a:cubicBezTo>
                <a:pt x="889000" y="588698"/>
                <a:pt x="621771" y="508000"/>
                <a:pt x="428625" y="396875"/>
              </a:cubicBezTo>
              <a:cubicBezTo>
                <a:pt x="235479" y="285750"/>
                <a:pt x="117739" y="142875"/>
                <a:pt x="0" y="0"/>
              </a:cubicBezTo>
            </a:path>
          </a:pathLst>
        </a:cu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IN" kern="1200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0.15598</cdr:x>
      <cdr:y>0.29449</cdr:y>
    </cdr:from>
    <cdr:to>
      <cdr:x>0.7551</cdr:x>
      <cdr:y>0.72343</cdr:y>
    </cdr:to>
    <cdr:sp macro="" textlink="">
      <cdr:nvSpPr>
        <cdr:cNvPr id="2" name="Freeform: Shape 1">
          <a:extLst xmlns:a="http://schemas.openxmlformats.org/drawingml/2006/main">
            <a:ext uri="{FF2B5EF4-FFF2-40B4-BE49-F238E27FC236}">
              <a16:creationId xmlns:a16="http://schemas.microsoft.com/office/drawing/2014/main" id="{E74C71C4-E3DB-3BED-B2D9-AE53A46298E5}"/>
            </a:ext>
          </a:extLst>
        </cdr:cNvPr>
        <cdr:cNvSpPr/>
      </cdr:nvSpPr>
      <cdr:spPr>
        <a:xfrm xmlns:a="http://schemas.openxmlformats.org/drawingml/2006/main">
          <a:off x="849313" y="1095375"/>
          <a:ext cx="3262312" cy="1595438"/>
        </a:xfrm>
        <a:custGeom xmlns:a="http://schemas.openxmlformats.org/drawingml/2006/main">
          <a:avLst/>
          <a:gdLst>
            <a:gd name="csX0" fmla="*/ 0 w 3262312"/>
            <a:gd name="csY0" fmla="*/ 1595438 h 1595438"/>
            <a:gd name="csX1" fmla="*/ 1619250 w 3262312"/>
            <a:gd name="csY1" fmla="*/ 1103313 h 1595438"/>
            <a:gd name="csX2" fmla="*/ 3262312 w 3262312"/>
            <a:gd name="csY2" fmla="*/ 0 h 159543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3262312" h="1595438">
              <a:moveTo>
                <a:pt x="0" y="1595438"/>
              </a:moveTo>
              <a:cubicBezTo>
                <a:pt x="537765" y="1482328"/>
                <a:pt x="1075531" y="1369219"/>
                <a:pt x="1619250" y="1103313"/>
              </a:cubicBezTo>
              <a:cubicBezTo>
                <a:pt x="2162969" y="837407"/>
                <a:pt x="3262312" y="0"/>
                <a:pt x="3262312" y="0"/>
              </a:cubicBezTo>
            </a:path>
          </a:pathLst>
        </a:cu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IN" kern="1200"/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</xdr:colOff>
      <xdr:row>10</xdr:row>
      <xdr:rowOff>14287</xdr:rowOff>
    </xdr:from>
    <xdr:to>
      <xdr:col>33</xdr:col>
      <xdr:colOff>76200</xdr:colOff>
      <xdr:row>29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6F834F-093E-5E71-5230-6EE97CB93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1</xdr:row>
      <xdr:rowOff>47625</xdr:rowOff>
    </xdr:from>
    <xdr:to>
      <xdr:col>11</xdr:col>
      <xdr:colOff>266701</xdr:colOff>
      <xdr:row>19</xdr:row>
      <xdr:rowOff>88314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915063-16A8-ED24-FDDA-1B6983D0A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1" y="238125"/>
          <a:ext cx="6858000" cy="375543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3</xdr:row>
      <xdr:rowOff>180975</xdr:rowOff>
    </xdr:from>
    <xdr:to>
      <xdr:col>18</xdr:col>
      <xdr:colOff>477585</xdr:colOff>
      <xdr:row>19</xdr:row>
      <xdr:rowOff>171874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5DF75D-B0BE-B817-48BA-D31AE532B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5950" y="752475"/>
          <a:ext cx="9564435" cy="3038899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27</xdr:row>
      <xdr:rowOff>39233</xdr:rowOff>
    </xdr:from>
    <xdr:to>
      <xdr:col>20</xdr:col>
      <xdr:colOff>466725</xdr:colOff>
      <xdr:row>60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91D41F-D95A-182C-C072-8A9BE63F0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182733"/>
          <a:ext cx="11315700" cy="6371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lam, Harish K PTIN-PTX/D/L/L" id="{FC7C979F-76EE-4896-AFD6-EAA16046DDC1}" userId="S::Harish.Balam@shell.com::dfeb9f2d-4ad6-4424-b9fd-e75a3a06889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1" dT="2026-07-06T05:31:23.38" personId="{FC7C979F-76EE-4896-AFD6-EAA16046DDC1}" id="{77AE2017-B509-4BD1-825E-3C20218B54FD}">
    <text>Conditions: 483 oC @ 1 hr</text>
  </threadedComment>
  <threadedComment ref="A12" dT="2026-07-06T06:06:54.56" personId="{FC7C979F-76EE-4896-AFD6-EAA16046DDC1}" id="{54B7F9EE-D593-4D77-A581-CE1594FC2D2B}">
    <text>Estimated based on LOI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F9C6D-C256-41DF-929A-9652DEF6C908}">
  <dimension ref="C3:L61"/>
  <sheetViews>
    <sheetView workbookViewId="0">
      <selection activeCell="G56" sqref="G56"/>
    </sheetView>
  </sheetViews>
  <sheetFormatPr defaultColWidth="9.140625" defaultRowHeight="15"/>
  <cols>
    <col min="1" max="2" width="3.7109375" style="154" customWidth="1"/>
    <col min="3" max="3" width="6.7109375" style="154" customWidth="1"/>
    <col min="4" max="4" width="27.7109375" style="154" customWidth="1"/>
    <col min="5" max="5" width="9.7109375" style="154" customWidth="1"/>
    <col min="6" max="6" width="2.85546875" style="154" customWidth="1"/>
    <col min="7" max="9" width="12.7109375" style="154" customWidth="1"/>
    <col min="10" max="11" width="9.140625" style="154"/>
    <col min="12" max="12" width="10.42578125" style="154" bestFit="1" customWidth="1"/>
    <col min="13" max="16384" width="9.140625" style="154"/>
  </cols>
  <sheetData>
    <row r="3" spans="3:9" ht="15.75">
      <c r="C3" s="193" t="s">
        <v>0</v>
      </c>
    </row>
    <row r="4" spans="3:9">
      <c r="C4" s="192"/>
    </row>
    <row r="5" spans="3:9">
      <c r="G5" s="154">
        <v>210</v>
      </c>
      <c r="H5" s="154">
        <v>210</v>
      </c>
      <c r="I5" s="154">
        <v>210</v>
      </c>
    </row>
    <row r="6" spans="3:9" ht="18.75">
      <c r="C6" s="191" t="s">
        <v>1</v>
      </c>
      <c r="D6" s="191" t="s">
        <v>2</v>
      </c>
      <c r="E6" s="191" t="s">
        <v>3</v>
      </c>
      <c r="F6" s="166"/>
      <c r="G6" s="190" t="s">
        <v>4</v>
      </c>
      <c r="H6" s="190" t="s">
        <v>5</v>
      </c>
      <c r="I6" s="190" t="s">
        <v>6</v>
      </c>
    </row>
    <row r="7" spans="3:9" ht="18.75">
      <c r="C7" s="162">
        <v>1</v>
      </c>
      <c r="D7" s="189" t="s">
        <v>7</v>
      </c>
      <c r="E7" s="161" t="s">
        <v>8</v>
      </c>
      <c r="F7" s="166"/>
      <c r="G7" s="186">
        <v>-5.9111208739999997E-2</v>
      </c>
      <c r="H7" s="186">
        <v>-4.6635492729999999E-2</v>
      </c>
      <c r="I7" s="186">
        <v>-7.5938119920000005E-2</v>
      </c>
    </row>
    <row r="8" spans="3:9" ht="18.75">
      <c r="C8" s="162">
        <v>2</v>
      </c>
      <c r="D8" s="189" t="s">
        <v>9</v>
      </c>
      <c r="E8" s="161" t="s">
        <v>8</v>
      </c>
      <c r="F8" s="166"/>
      <c r="G8" s="186">
        <v>1.9828472119999998E-3</v>
      </c>
      <c r="H8" s="186">
        <v>1.407079899E-3</v>
      </c>
      <c r="I8" s="185">
        <v>2.925809349E-3</v>
      </c>
    </row>
    <row r="9" spans="3:9" ht="18.75">
      <c r="C9" s="162">
        <v>3</v>
      </c>
      <c r="D9" s="189" t="s">
        <v>10</v>
      </c>
      <c r="E9" s="161" t="s">
        <v>8</v>
      </c>
      <c r="F9" s="166"/>
      <c r="G9" s="186">
        <v>1.955416903E-3</v>
      </c>
      <c r="H9" s="186">
        <v>1.3847733929999999E-3</v>
      </c>
      <c r="I9" s="185">
        <v>2.9093573489999999E-3</v>
      </c>
    </row>
    <row r="10" spans="3:9" ht="18.75">
      <c r="C10" s="162">
        <v>4</v>
      </c>
      <c r="D10" s="189" t="s">
        <v>11</v>
      </c>
      <c r="E10" s="161" t="s">
        <v>8</v>
      </c>
      <c r="F10" s="166"/>
      <c r="G10" s="186">
        <v>0.1429725204</v>
      </c>
      <c r="H10" s="186">
        <v>0.10075943950000001</v>
      </c>
      <c r="I10" s="185">
        <v>0.2168483329</v>
      </c>
    </row>
    <row r="11" spans="3:9" ht="18.75">
      <c r="C11" s="162">
        <v>5</v>
      </c>
      <c r="D11" s="189" t="s">
        <v>12</v>
      </c>
      <c r="E11" s="161" t="s">
        <v>8</v>
      </c>
      <c r="F11" s="166"/>
      <c r="G11" s="186">
        <v>1.6982590259999999</v>
      </c>
      <c r="H11" s="186">
        <v>1.6933043860000001</v>
      </c>
      <c r="I11" s="185">
        <v>1.70390066</v>
      </c>
    </row>
    <row r="12" spans="3:9" ht="18.75">
      <c r="C12" s="162">
        <v>6</v>
      </c>
      <c r="D12" s="189" t="s">
        <v>13</v>
      </c>
      <c r="E12" s="161" t="s">
        <v>8</v>
      </c>
      <c r="F12" s="166"/>
      <c r="G12" s="186">
        <v>2.7327347199999998</v>
      </c>
      <c r="H12" s="186">
        <v>2.0870989870000001</v>
      </c>
      <c r="I12" s="185">
        <v>3.5822216579999999</v>
      </c>
    </row>
    <row r="13" spans="3:9" ht="18.75">
      <c r="C13" s="162">
        <v>7</v>
      </c>
      <c r="D13" s="189" t="s">
        <v>14</v>
      </c>
      <c r="E13" s="161" t="s">
        <v>8</v>
      </c>
      <c r="F13" s="166"/>
      <c r="G13" s="186">
        <v>12.02764679</v>
      </c>
      <c r="H13" s="186">
        <v>12.122874339999999</v>
      </c>
      <c r="I13" s="185">
        <v>11.599570529999999</v>
      </c>
    </row>
    <row r="14" spans="3:9" ht="18.75">
      <c r="C14" s="162">
        <v>8</v>
      </c>
      <c r="D14" s="189" t="s">
        <v>15</v>
      </c>
      <c r="E14" s="161" t="s">
        <v>8</v>
      </c>
      <c r="F14" s="166"/>
      <c r="G14" s="186">
        <v>8.7807566020000003</v>
      </c>
      <c r="H14" s="186">
        <v>8.6853950520000005</v>
      </c>
      <c r="I14" s="185">
        <v>9.2090082379999991</v>
      </c>
    </row>
    <row r="15" spans="3:9" ht="18.75">
      <c r="C15" s="162">
        <v>9</v>
      </c>
      <c r="D15" s="189" t="s">
        <v>16</v>
      </c>
      <c r="E15" s="161" t="s">
        <v>8</v>
      </c>
      <c r="F15" s="166"/>
      <c r="G15" s="186">
        <v>0.27954972690000002</v>
      </c>
      <c r="H15" s="186">
        <v>0.27966697540000002</v>
      </c>
      <c r="I15" s="185">
        <v>0.27939404880000002</v>
      </c>
    </row>
    <row r="16" spans="3:9" ht="18.75">
      <c r="C16" s="162">
        <v>10</v>
      </c>
      <c r="D16" s="189" t="s">
        <v>17</v>
      </c>
      <c r="E16" s="161" t="s">
        <v>8</v>
      </c>
      <c r="F16" s="166"/>
      <c r="G16" s="186">
        <v>14.43995366</v>
      </c>
      <c r="H16" s="186">
        <v>14.722859830000001</v>
      </c>
      <c r="I16" s="185">
        <v>13.218186559999999</v>
      </c>
    </row>
    <row r="17" spans="3:9" ht="18.75">
      <c r="C17" s="162">
        <v>11</v>
      </c>
      <c r="D17" s="189" t="s">
        <v>18</v>
      </c>
      <c r="E17" s="161" t="s">
        <v>8</v>
      </c>
      <c r="F17" s="166"/>
      <c r="G17" s="186">
        <v>7.9056712940000002</v>
      </c>
      <c r="H17" s="186">
        <v>7.8466401870000002</v>
      </c>
      <c r="I17" s="185">
        <v>8.2090945749999999</v>
      </c>
    </row>
    <row r="18" spans="3:9" ht="18.75">
      <c r="C18" s="162">
        <v>12</v>
      </c>
      <c r="D18" s="189" t="s">
        <v>19</v>
      </c>
      <c r="E18" s="161" t="s">
        <v>8</v>
      </c>
      <c r="F18" s="166"/>
      <c r="G18" s="186">
        <v>4.7754729740000004</v>
      </c>
      <c r="H18" s="186">
        <v>4.7093298880000001</v>
      </c>
      <c r="I18" s="185">
        <v>5.0318694180000003</v>
      </c>
    </row>
    <row r="19" spans="3:9" ht="18.75">
      <c r="C19" s="162">
        <v>13</v>
      </c>
      <c r="D19" s="189" t="s">
        <v>20</v>
      </c>
      <c r="E19" s="161" t="s">
        <v>8</v>
      </c>
      <c r="F19" s="166"/>
      <c r="G19" s="186">
        <v>1.8118208119999999</v>
      </c>
      <c r="H19" s="186">
        <v>1.751830931</v>
      </c>
      <c r="I19" s="185">
        <v>2.0163862890000002</v>
      </c>
    </row>
    <row r="20" spans="3:9" ht="18.75">
      <c r="C20" s="162">
        <v>14</v>
      </c>
      <c r="D20" s="189" t="s">
        <v>21</v>
      </c>
      <c r="E20" s="161" t="s">
        <v>8</v>
      </c>
      <c r="F20" s="166"/>
      <c r="G20" s="186">
        <v>0.95593950149999996</v>
      </c>
      <c r="H20" s="186">
        <v>0.8576846655</v>
      </c>
      <c r="I20" s="185">
        <v>1.4140081200000001</v>
      </c>
    </row>
    <row r="21" spans="3:9" ht="18.75">
      <c r="C21" s="162">
        <v>15</v>
      </c>
      <c r="D21" s="189" t="s">
        <v>22</v>
      </c>
      <c r="E21" s="161" t="s">
        <v>8</v>
      </c>
      <c r="F21" s="166"/>
      <c r="G21" s="186">
        <v>0.32221572120000003</v>
      </c>
      <c r="H21" s="186">
        <v>0.32323743259999999</v>
      </c>
      <c r="I21" s="185">
        <v>0.32051852089999999</v>
      </c>
    </row>
    <row r="22" spans="3:9" ht="18.75">
      <c r="C22" s="162">
        <v>16</v>
      </c>
      <c r="D22" s="189" t="s">
        <v>23</v>
      </c>
      <c r="E22" s="161" t="s">
        <v>8</v>
      </c>
      <c r="F22" s="166"/>
      <c r="G22" s="186">
        <v>0.68618851380000001</v>
      </c>
      <c r="H22" s="186">
        <v>0.68665579359999995</v>
      </c>
      <c r="I22" s="185">
        <v>0.68590329120000004</v>
      </c>
    </row>
    <row r="23" spans="3:9" ht="18.75">
      <c r="C23" s="162">
        <v>17</v>
      </c>
      <c r="D23" s="189" t="s">
        <v>24</v>
      </c>
      <c r="E23" s="161" t="s">
        <v>8</v>
      </c>
      <c r="F23" s="166"/>
      <c r="G23" s="186">
        <v>1.6284396110000001E-7</v>
      </c>
      <c r="H23" s="186">
        <v>5.6044201989999996E-7</v>
      </c>
      <c r="I23" s="185">
        <v>4.8307979999999999E-10</v>
      </c>
    </row>
    <row r="24" spans="3:9" ht="18.75">
      <c r="C24" s="162">
        <v>18</v>
      </c>
      <c r="D24" s="189" t="s">
        <v>25</v>
      </c>
      <c r="E24" s="161" t="s">
        <v>8</v>
      </c>
      <c r="F24" s="166"/>
      <c r="G24" s="188">
        <v>7.7285804960000002</v>
      </c>
      <c r="H24" s="188">
        <v>8.2393747069999996</v>
      </c>
      <c r="I24" s="187">
        <v>5.9302974209999997</v>
      </c>
    </row>
    <row r="25" spans="3:9" ht="18.75">
      <c r="C25" s="162">
        <v>19</v>
      </c>
      <c r="D25" s="189" t="s">
        <v>26</v>
      </c>
      <c r="E25" s="161" t="s">
        <v>8</v>
      </c>
      <c r="F25" s="166"/>
      <c r="G25" s="188">
        <v>13.860375339999999</v>
      </c>
      <c r="H25" s="188">
        <v>13.959351030000001</v>
      </c>
      <c r="I25" s="187">
        <v>13.38140527</v>
      </c>
    </row>
    <row r="26" spans="3:9" ht="18.75">
      <c r="C26" s="162">
        <v>20</v>
      </c>
      <c r="D26" s="189" t="s">
        <v>27</v>
      </c>
      <c r="E26" s="161" t="s">
        <v>8</v>
      </c>
      <c r="F26" s="166"/>
      <c r="G26" s="186">
        <v>8.9495704150000002</v>
      </c>
      <c r="H26" s="186">
        <v>8.4352930280000002</v>
      </c>
      <c r="I26" s="185">
        <v>11.0503842</v>
      </c>
    </row>
    <row r="27" spans="3:9" ht="18.75">
      <c r="C27" s="162">
        <v>21</v>
      </c>
      <c r="D27" s="189" t="s">
        <v>28</v>
      </c>
      <c r="E27" s="161" t="s">
        <v>8</v>
      </c>
      <c r="F27" s="166"/>
      <c r="G27" s="188">
        <v>0.8901388911</v>
      </c>
      <c r="H27" s="188">
        <v>0.89495015590000004</v>
      </c>
      <c r="I27" s="187">
        <v>0.88360110420000004</v>
      </c>
    </row>
    <row r="28" spans="3:9" ht="18.75">
      <c r="C28" s="162">
        <v>22</v>
      </c>
      <c r="D28" s="161" t="s">
        <v>29</v>
      </c>
      <c r="E28" s="161" t="s">
        <v>8</v>
      </c>
      <c r="F28" s="166"/>
      <c r="G28" s="186">
        <v>2.231744696E-4</v>
      </c>
      <c r="H28" s="186">
        <v>4.1531711750000003E-4</v>
      </c>
      <c r="I28" s="185">
        <v>1.2039620439999999E-5</v>
      </c>
    </row>
    <row r="29" spans="3:9" ht="18.75">
      <c r="C29" s="162">
        <v>23</v>
      </c>
      <c r="D29" s="161" t="s">
        <v>30</v>
      </c>
      <c r="E29" s="161" t="s">
        <v>8</v>
      </c>
      <c r="F29" s="166"/>
      <c r="G29" s="186">
        <v>12.067102609999999</v>
      </c>
      <c r="H29" s="186">
        <v>12.647120920000001</v>
      </c>
      <c r="I29" s="185">
        <v>11.33749268</v>
      </c>
    </row>
    <row r="30" spans="3:9" ht="18.75">
      <c r="C30" s="162"/>
      <c r="D30" s="184" t="s">
        <v>31</v>
      </c>
      <c r="E30" s="161" t="s">
        <v>8</v>
      </c>
      <c r="F30" s="166"/>
      <c r="G30" s="183">
        <f>SUM(G7:G29)</f>
        <v>100.00000000658855</v>
      </c>
      <c r="H30" s="183">
        <f>SUM(H7:H29)</f>
        <v>99.999999986621532</v>
      </c>
      <c r="I30" s="183">
        <f>SUM(I7:I29)</f>
        <v>100.00000000388151</v>
      </c>
    </row>
    <row r="31" spans="3:9" ht="18.75">
      <c r="C31" s="162">
        <v>24</v>
      </c>
      <c r="D31" s="161" t="s">
        <v>32</v>
      </c>
      <c r="E31" s="182" t="s">
        <v>33</v>
      </c>
      <c r="F31" s="166"/>
      <c r="G31" s="205">
        <v>54.5337721</v>
      </c>
      <c r="H31" s="205">
        <v>53.664857740000002</v>
      </c>
      <c r="I31" s="205">
        <v>57.485621479999999</v>
      </c>
    </row>
    <row r="32" spans="3:9" ht="18.75">
      <c r="C32" s="162">
        <v>25</v>
      </c>
      <c r="D32" s="161" t="s">
        <v>34</v>
      </c>
      <c r="E32" s="182" t="s">
        <v>33</v>
      </c>
      <c r="F32" s="166"/>
      <c r="G32" s="205">
        <v>54.25410273</v>
      </c>
      <c r="H32" s="205">
        <v>53.397027860000001</v>
      </c>
      <c r="I32" s="205">
        <v>57.164756230000002</v>
      </c>
    </row>
    <row r="33" spans="3:10" ht="18.75">
      <c r="C33" s="166"/>
      <c r="D33" s="166"/>
      <c r="E33" s="166"/>
      <c r="F33" s="166"/>
      <c r="G33" s="166"/>
      <c r="H33" s="166"/>
      <c r="I33" s="166"/>
    </row>
    <row r="34" spans="3:10" ht="18.75">
      <c r="C34" s="162">
        <v>26</v>
      </c>
      <c r="D34" s="161" t="s">
        <v>35</v>
      </c>
      <c r="E34" s="168" t="s">
        <v>8</v>
      </c>
      <c r="F34" s="166"/>
      <c r="G34" s="203">
        <v>95.48120668</v>
      </c>
      <c r="H34" s="203">
        <v>96.162680829999999</v>
      </c>
      <c r="I34" s="203">
        <v>94.567132299999997</v>
      </c>
    </row>
    <row r="35" spans="3:10" ht="18.75">
      <c r="C35" s="162">
        <v>27</v>
      </c>
      <c r="D35" s="161" t="s">
        <v>35</v>
      </c>
      <c r="E35" s="168" t="s">
        <v>36</v>
      </c>
      <c r="F35" s="166"/>
      <c r="G35" s="203">
        <v>95.371125570000004</v>
      </c>
      <c r="H35" s="203">
        <v>95.998792039999998</v>
      </c>
      <c r="I35" s="203">
        <v>94.530977820000004</v>
      </c>
    </row>
    <row r="36" spans="3:10" ht="18.75">
      <c r="C36" s="162">
        <v>28</v>
      </c>
      <c r="D36" s="161" t="s">
        <v>37</v>
      </c>
      <c r="E36" s="168" t="s">
        <v>38</v>
      </c>
      <c r="F36" s="166"/>
      <c r="G36" s="204">
        <v>0.66826803050000005</v>
      </c>
      <c r="H36" s="204">
        <v>0.66863712789999996</v>
      </c>
      <c r="I36" s="204">
        <v>0.66775287080000001</v>
      </c>
    </row>
    <row r="37" spans="3:10" ht="18.75">
      <c r="C37" s="162">
        <v>29</v>
      </c>
      <c r="D37" s="161" t="s">
        <v>39</v>
      </c>
      <c r="E37" s="168" t="s">
        <v>40</v>
      </c>
      <c r="F37" s="166"/>
      <c r="G37" s="203">
        <v>89.178267790000007</v>
      </c>
      <c r="H37" s="203">
        <v>89.306510099999997</v>
      </c>
      <c r="I37" s="203">
        <v>89.008907500000007</v>
      </c>
    </row>
    <row r="38" spans="3:10" ht="18.75">
      <c r="C38" s="162">
        <v>30</v>
      </c>
      <c r="D38" s="161" t="s">
        <v>41</v>
      </c>
      <c r="E38" s="168" t="s">
        <v>42</v>
      </c>
      <c r="F38" s="166"/>
      <c r="G38" s="203">
        <v>4.3872400103293101</v>
      </c>
      <c r="H38" s="203">
        <v>3.4612910813881399</v>
      </c>
      <c r="I38" s="203">
        <v>5.6361350945595001</v>
      </c>
    </row>
    <row r="39" spans="3:10" ht="18.75">
      <c r="C39" s="162">
        <v>31</v>
      </c>
      <c r="D39" s="161" t="s">
        <v>43</v>
      </c>
      <c r="E39" s="168" t="s">
        <v>44</v>
      </c>
      <c r="F39" s="166"/>
      <c r="G39" s="202">
        <v>483.84730500000001</v>
      </c>
      <c r="H39" s="202">
        <v>480.25565790000002</v>
      </c>
      <c r="I39" s="202">
        <v>492.82520110000002</v>
      </c>
    </row>
    <row r="40" spans="3:10" ht="18.75">
      <c r="C40" s="166"/>
      <c r="D40" s="166"/>
      <c r="E40" s="166"/>
      <c r="F40" s="166"/>
      <c r="G40" s="166"/>
      <c r="H40" s="166"/>
      <c r="I40" s="166"/>
    </row>
    <row r="41" spans="3:10" ht="18.75">
      <c r="C41" s="162">
        <v>32</v>
      </c>
      <c r="D41" s="161" t="s">
        <v>45</v>
      </c>
      <c r="E41" s="178" t="s">
        <v>33</v>
      </c>
      <c r="F41" s="166"/>
      <c r="G41" s="177">
        <f>G31-44</f>
        <v>10.5337721</v>
      </c>
      <c r="H41" s="177">
        <f>H31-44</f>
        <v>9.6648577400000022</v>
      </c>
      <c r="I41" s="177">
        <f>I31-44</f>
        <v>13.485621479999999</v>
      </c>
    </row>
    <row r="42" spans="3:10" ht="18.75">
      <c r="C42" s="162">
        <v>33</v>
      </c>
      <c r="D42" s="161" t="s">
        <v>46</v>
      </c>
      <c r="E42" s="178" t="s">
        <v>33</v>
      </c>
      <c r="F42" s="166"/>
      <c r="G42" s="177">
        <f>G32-43.9</f>
        <v>10.354102730000001</v>
      </c>
      <c r="H42" s="177">
        <f>H32-43.9</f>
        <v>9.4970278600000029</v>
      </c>
      <c r="I42" s="177">
        <f>I32-43.9</f>
        <v>13.264756230000003</v>
      </c>
    </row>
    <row r="44" spans="3:10" ht="18.75">
      <c r="C44" s="176" t="s">
        <v>47</v>
      </c>
    </row>
    <row r="45" spans="3:10">
      <c r="J45" s="175" t="s">
        <v>48</v>
      </c>
    </row>
    <row r="46" spans="3:10" ht="18.75">
      <c r="C46" s="162">
        <v>34</v>
      </c>
      <c r="D46" s="161" t="s">
        <v>49</v>
      </c>
      <c r="E46" s="168" t="s">
        <v>50</v>
      </c>
      <c r="F46" s="166"/>
      <c r="G46" s="202">
        <v>203.356724581333</v>
      </c>
      <c r="H46" s="202">
        <v>204.29949943533299</v>
      </c>
      <c r="I46" s="202">
        <v>201.45726291333301</v>
      </c>
      <c r="J46" s="173">
        <v>1.25</v>
      </c>
    </row>
    <row r="47" spans="3:10" ht="18.75">
      <c r="C47" s="162">
        <v>35</v>
      </c>
      <c r="D47" s="161" t="s">
        <v>51</v>
      </c>
      <c r="E47" s="168" t="s">
        <v>50</v>
      </c>
      <c r="F47" s="166"/>
      <c r="G47" s="200">
        <v>213.321637709333</v>
      </c>
      <c r="H47" s="200">
        <v>212.85025028233301</v>
      </c>
      <c r="I47" s="200">
        <v>214.27136854333301</v>
      </c>
    </row>
    <row r="48" spans="3:10" ht="18.75">
      <c r="C48" s="162">
        <v>36</v>
      </c>
      <c r="D48" s="161" t="s">
        <v>52</v>
      </c>
      <c r="E48" s="168" t="s">
        <v>50</v>
      </c>
      <c r="F48" s="166"/>
      <c r="G48" s="201">
        <f>G47-G46</f>
        <v>9.9649131280000063</v>
      </c>
      <c r="H48" s="201">
        <f>H47-H46</f>
        <v>8.5507508470000175</v>
      </c>
      <c r="I48" s="201">
        <f>I47-I46</f>
        <v>12.81410563</v>
      </c>
    </row>
    <row r="49" spans="3:12" ht="18.75">
      <c r="C49" s="162">
        <v>37</v>
      </c>
      <c r="D49" s="161" t="s">
        <v>53</v>
      </c>
      <c r="E49" s="168" t="s">
        <v>50</v>
      </c>
      <c r="F49" s="166"/>
      <c r="G49" s="200">
        <v>210</v>
      </c>
      <c r="H49" s="200">
        <v>210</v>
      </c>
      <c r="I49" s="200">
        <v>210</v>
      </c>
    </row>
    <row r="50" spans="3:12" ht="18.75">
      <c r="C50" s="162">
        <v>38</v>
      </c>
      <c r="D50" s="161" t="s">
        <v>54</v>
      </c>
      <c r="E50" s="167" t="s">
        <v>55</v>
      </c>
      <c r="F50" s="166"/>
      <c r="G50" s="170">
        <v>25</v>
      </c>
      <c r="H50" s="170">
        <v>25</v>
      </c>
      <c r="I50" s="170">
        <v>25</v>
      </c>
    </row>
    <row r="51" spans="3:12" ht="18.75">
      <c r="C51" s="162">
        <v>39</v>
      </c>
      <c r="D51" s="161" t="s">
        <v>56</v>
      </c>
      <c r="E51" s="168" t="s">
        <v>57</v>
      </c>
      <c r="F51" s="166"/>
      <c r="G51" s="169">
        <v>1.472211884</v>
      </c>
      <c r="H51" s="169">
        <v>1.475735577</v>
      </c>
      <c r="I51" s="169">
        <v>1.4662482830000001</v>
      </c>
    </row>
    <row r="52" spans="3:12" ht="18.75">
      <c r="C52" s="162">
        <v>40</v>
      </c>
      <c r="D52" s="161" t="s">
        <v>58</v>
      </c>
      <c r="E52" s="168" t="s">
        <v>57</v>
      </c>
      <c r="G52" s="169">
        <v>1.390499248</v>
      </c>
      <c r="H52" s="169">
        <v>1.98040802</v>
      </c>
      <c r="I52" s="169">
        <v>1.568483152</v>
      </c>
    </row>
    <row r="53" spans="3:12" ht="18.75">
      <c r="C53" s="162">
        <v>41</v>
      </c>
      <c r="D53" s="161" t="s">
        <v>59</v>
      </c>
      <c r="E53" s="168" t="s">
        <v>60</v>
      </c>
      <c r="F53" s="166"/>
      <c r="G53" s="169">
        <v>3</v>
      </c>
      <c r="H53" s="169">
        <v>3</v>
      </c>
      <c r="I53" s="169">
        <v>3</v>
      </c>
    </row>
    <row r="54" spans="3:12" ht="18.75">
      <c r="C54" s="162">
        <v>42</v>
      </c>
      <c r="D54" s="161" t="s">
        <v>61</v>
      </c>
      <c r="E54" s="168" t="s">
        <v>62</v>
      </c>
      <c r="F54" s="166"/>
      <c r="G54" s="165">
        <v>9429</v>
      </c>
      <c r="H54" s="165">
        <v>9429</v>
      </c>
      <c r="I54" s="165">
        <v>9429</v>
      </c>
    </row>
    <row r="55" spans="3:12" ht="18.75">
      <c r="C55" s="162">
        <v>43</v>
      </c>
      <c r="D55" s="161" t="s">
        <v>63</v>
      </c>
      <c r="E55" s="168" t="s">
        <v>62</v>
      </c>
      <c r="F55" s="166"/>
      <c r="G55" s="165">
        <f>G54*G35/100</f>
        <v>8992.5434299952994</v>
      </c>
      <c r="H55" s="165">
        <f>H54*H35/100</f>
        <v>9051.7261014516007</v>
      </c>
      <c r="I55" s="165">
        <f>I54*I35/100</f>
        <v>8913.3258986478013</v>
      </c>
    </row>
    <row r="56" spans="3:12" ht="18.75">
      <c r="C56" s="162">
        <v>44</v>
      </c>
      <c r="D56" s="161" t="s">
        <v>64</v>
      </c>
      <c r="E56" s="167" t="s">
        <v>33</v>
      </c>
      <c r="F56" s="166"/>
      <c r="G56" s="165">
        <f>G55*G41</f>
        <v>94725.403090922788</v>
      </c>
      <c r="H56" s="165">
        <f>H55*H41</f>
        <v>87483.645071974548</v>
      </c>
      <c r="I56" s="165">
        <f>I55*I41</f>
        <v>120201.73919704508</v>
      </c>
    </row>
    <row r="57" spans="3:12" ht="18.75">
      <c r="C57" s="162">
        <v>45</v>
      </c>
      <c r="D57" s="161" t="s">
        <v>65</v>
      </c>
      <c r="E57" s="164" t="s">
        <v>66</v>
      </c>
      <c r="G57" s="163">
        <f>(G56*$J$46)/10^3</f>
        <v>118.40675386365349</v>
      </c>
      <c r="H57" s="163">
        <f>(H56*$J$46)/10^3</f>
        <v>109.35455633996818</v>
      </c>
      <c r="I57" s="163">
        <f>(I56*$J$46)/10^3</f>
        <v>150.25217399630634</v>
      </c>
      <c r="L57" s="156">
        <v>1000</v>
      </c>
    </row>
    <row r="58" spans="3:12" ht="18.75">
      <c r="C58" s="162"/>
      <c r="D58" s="161"/>
      <c r="E58" s="160" t="s">
        <v>67</v>
      </c>
      <c r="G58" s="159">
        <f>(G57*350)/1000</f>
        <v>41.442363852278724</v>
      </c>
      <c r="H58" s="159">
        <f>(H57*350)/1000</f>
        <v>38.274094718988863</v>
      </c>
      <c r="I58" s="159">
        <f>(I57*350)/1000</f>
        <v>52.588260898707219</v>
      </c>
      <c r="L58" s="156">
        <v>667</v>
      </c>
    </row>
    <row r="59" spans="3:12">
      <c r="G59" s="158">
        <f>G57/G57</f>
        <v>1</v>
      </c>
      <c r="H59" s="158">
        <f>H57/G57</f>
        <v>0.92354998994306525</v>
      </c>
      <c r="I59" s="158">
        <f>I57/G57</f>
        <v>1.2689493554508144</v>
      </c>
      <c r="L59" s="157">
        <f>L57/L58</f>
        <v>1.4992503748125936</v>
      </c>
    </row>
    <row r="60" spans="3:12">
      <c r="L60" s="156">
        <f>L59*1000</f>
        <v>1499.2503748125937</v>
      </c>
    </row>
    <row r="61" spans="3:12">
      <c r="L61" s="155">
        <f>L60*6.289</f>
        <v>9428.7856071964015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97E4-35F8-4B4B-9E36-18708CB72312}">
  <dimension ref="C3:L61"/>
  <sheetViews>
    <sheetView workbookViewId="0">
      <selection activeCell="O49" sqref="O49"/>
    </sheetView>
  </sheetViews>
  <sheetFormatPr defaultColWidth="9.140625" defaultRowHeight="15"/>
  <cols>
    <col min="1" max="2" width="3.7109375" style="154" customWidth="1"/>
    <col min="3" max="3" width="6.7109375" style="154" customWidth="1"/>
    <col min="4" max="4" width="27.7109375" style="154" customWidth="1"/>
    <col min="5" max="5" width="9.7109375" style="154" customWidth="1"/>
    <col min="6" max="6" width="2.85546875" style="154" customWidth="1"/>
    <col min="7" max="9" width="12.7109375" style="154" customWidth="1"/>
    <col min="10" max="11" width="9.140625" style="154"/>
    <col min="12" max="12" width="10.42578125" style="154" bestFit="1" customWidth="1"/>
    <col min="13" max="16384" width="9.140625" style="154"/>
  </cols>
  <sheetData>
    <row r="3" spans="3:9" ht="15.75">
      <c r="C3" s="193" t="s">
        <v>68</v>
      </c>
    </row>
    <row r="4" spans="3:9">
      <c r="C4" s="192"/>
    </row>
    <row r="6" spans="3:9" ht="18.75">
      <c r="C6" s="191" t="s">
        <v>1</v>
      </c>
      <c r="D6" s="191" t="s">
        <v>2</v>
      </c>
      <c r="E6" s="191" t="s">
        <v>3</v>
      </c>
      <c r="F6" s="166"/>
      <c r="G6" s="190" t="s">
        <v>4</v>
      </c>
      <c r="H6" s="190" t="s">
        <v>5</v>
      </c>
      <c r="I6" s="190" t="s">
        <v>6</v>
      </c>
    </row>
    <row r="7" spans="3:9" ht="18.75">
      <c r="C7" s="162">
        <v>1</v>
      </c>
      <c r="D7" s="189" t="s">
        <v>7</v>
      </c>
      <c r="E7" s="161" t="s">
        <v>8</v>
      </c>
      <c r="F7" s="166"/>
      <c r="G7" s="186">
        <v>-6.4473810960000003E-2</v>
      </c>
      <c r="H7" s="186">
        <v>-5.0490478110000001E-2</v>
      </c>
      <c r="I7" s="186">
        <v>-8.3823600710000001E-2</v>
      </c>
    </row>
    <row r="8" spans="3:9" ht="18.75">
      <c r="C8" s="162">
        <v>2</v>
      </c>
      <c r="D8" s="189" t="s">
        <v>9</v>
      </c>
      <c r="E8" s="161" t="s">
        <v>8</v>
      </c>
      <c r="F8" s="166"/>
      <c r="G8" s="186">
        <v>2.9511764790000001E-3</v>
      </c>
      <c r="H8" s="186">
        <v>2.0910142269999999E-3</v>
      </c>
      <c r="I8" s="185">
        <v>4.3794334789999997E-3</v>
      </c>
    </row>
    <row r="9" spans="3:9" ht="18.75">
      <c r="C9" s="162">
        <v>3</v>
      </c>
      <c r="D9" s="189" t="s">
        <v>10</v>
      </c>
      <c r="E9" s="161" t="s">
        <v>8</v>
      </c>
      <c r="F9" s="166"/>
      <c r="G9" s="186">
        <v>2.957921679E-3</v>
      </c>
      <c r="H9" s="186">
        <v>2.0918401210000001E-3</v>
      </c>
      <c r="I9" s="185">
        <v>4.4225921939999996E-3</v>
      </c>
    </row>
    <row r="10" spans="3:9" ht="18.75">
      <c r="C10" s="162">
        <v>4</v>
      </c>
      <c r="D10" s="189" t="s">
        <v>11</v>
      </c>
      <c r="E10" s="161" t="s">
        <v>8</v>
      </c>
      <c r="F10" s="166"/>
      <c r="G10" s="186">
        <v>0.2152319677</v>
      </c>
      <c r="H10" s="186">
        <v>0.1513986917</v>
      </c>
      <c r="I10" s="185">
        <v>0.328583978</v>
      </c>
    </row>
    <row r="11" spans="3:9" ht="18.75">
      <c r="C11" s="162">
        <v>5</v>
      </c>
      <c r="D11" s="189" t="s">
        <v>12</v>
      </c>
      <c r="E11" s="161" t="s">
        <v>8</v>
      </c>
      <c r="F11" s="166"/>
      <c r="G11" s="186">
        <v>1.7053241139999999</v>
      </c>
      <c r="H11" s="186">
        <v>1.6984652140000001</v>
      </c>
      <c r="I11" s="185">
        <v>1.7132480720000001</v>
      </c>
    </row>
    <row r="12" spans="3:9" ht="18.75">
      <c r="C12" s="162">
        <v>6</v>
      </c>
      <c r="D12" s="189" t="s">
        <v>13</v>
      </c>
      <c r="E12" s="161" t="s">
        <v>8</v>
      </c>
      <c r="F12" s="166"/>
      <c r="G12" s="186">
        <v>2.9230830760000002</v>
      </c>
      <c r="H12" s="186">
        <v>2.2249434859999999</v>
      </c>
      <c r="I12" s="185">
        <v>3.8580362429999999</v>
      </c>
    </row>
    <row r="13" spans="3:9" ht="18.75">
      <c r="C13" s="162">
        <v>7</v>
      </c>
      <c r="D13" s="189" t="s">
        <v>14</v>
      </c>
      <c r="E13" s="161" t="s">
        <v>8</v>
      </c>
      <c r="F13" s="166"/>
      <c r="G13" s="186">
        <v>11.76820691</v>
      </c>
      <c r="H13" s="186">
        <v>11.88452002</v>
      </c>
      <c r="I13" s="185">
        <v>11.25165664</v>
      </c>
    </row>
    <row r="14" spans="3:9" ht="18.75">
      <c r="C14" s="162">
        <v>8</v>
      </c>
      <c r="D14" s="189" t="s">
        <v>15</v>
      </c>
      <c r="E14" s="161" t="s">
        <v>8</v>
      </c>
      <c r="F14" s="166"/>
      <c r="G14" s="186">
        <v>9.0404556839999994</v>
      </c>
      <c r="H14" s="186">
        <v>8.9239372530000001</v>
      </c>
      <c r="I14" s="185">
        <v>9.5572729519999999</v>
      </c>
    </row>
    <row r="15" spans="3:9" ht="18.75">
      <c r="C15" s="162">
        <v>9</v>
      </c>
      <c r="D15" s="189" t="s">
        <v>16</v>
      </c>
      <c r="E15" s="161" t="s">
        <v>8</v>
      </c>
      <c r="F15" s="166"/>
      <c r="G15" s="186">
        <v>0.27933549279999997</v>
      </c>
      <c r="H15" s="186">
        <v>0.27951217680000001</v>
      </c>
      <c r="I15" s="185">
        <v>0.27910095670000001</v>
      </c>
    </row>
    <row r="16" spans="3:9" ht="18.75">
      <c r="C16" s="162">
        <v>10</v>
      </c>
      <c r="D16" s="189" t="s">
        <v>17</v>
      </c>
      <c r="E16" s="161" t="s">
        <v>8</v>
      </c>
      <c r="F16" s="166"/>
      <c r="G16" s="186">
        <v>13.67404758</v>
      </c>
      <c r="H16" s="186">
        <v>14.007372520000001</v>
      </c>
      <c r="I16" s="185">
        <v>12.267938109999999</v>
      </c>
    </row>
    <row r="17" spans="3:9" ht="18.75">
      <c r="C17" s="162">
        <v>11</v>
      </c>
      <c r="D17" s="189" t="s">
        <v>18</v>
      </c>
      <c r="E17" s="161" t="s">
        <v>8</v>
      </c>
      <c r="F17" s="166"/>
      <c r="G17" s="186">
        <v>8.0913870889999995</v>
      </c>
      <c r="H17" s="186">
        <v>8.0066028389999992</v>
      </c>
      <c r="I17" s="185">
        <v>8.4773952379999997</v>
      </c>
    </row>
    <row r="18" spans="3:9" ht="18.75">
      <c r="C18" s="162">
        <v>12</v>
      </c>
      <c r="D18" s="189" t="s">
        <v>19</v>
      </c>
      <c r="E18" s="161" t="s">
        <v>8</v>
      </c>
      <c r="F18" s="166"/>
      <c r="G18" s="186">
        <v>4.9649580200000001</v>
      </c>
      <c r="H18" s="186">
        <v>4.8934424209999996</v>
      </c>
      <c r="I18" s="185">
        <v>5.2362762869999999</v>
      </c>
    </row>
    <row r="19" spans="3:9" ht="18.75">
      <c r="C19" s="162">
        <v>13</v>
      </c>
      <c r="D19" s="189" t="s">
        <v>20</v>
      </c>
      <c r="E19" s="161" t="s">
        <v>8</v>
      </c>
      <c r="F19" s="166"/>
      <c r="G19" s="186">
        <v>1.9437810900000001</v>
      </c>
      <c r="H19" s="186">
        <v>1.888767963</v>
      </c>
      <c r="I19" s="185">
        <v>2.131630387</v>
      </c>
    </row>
    <row r="20" spans="3:9" ht="18.75">
      <c r="C20" s="162">
        <v>14</v>
      </c>
      <c r="D20" s="189" t="s">
        <v>21</v>
      </c>
      <c r="E20" s="161" t="s">
        <v>8</v>
      </c>
      <c r="F20" s="166"/>
      <c r="G20" s="186">
        <v>1.2152169690000001</v>
      </c>
      <c r="H20" s="186">
        <v>1.092545855</v>
      </c>
      <c r="I20" s="185">
        <v>1.777033388</v>
      </c>
    </row>
    <row r="21" spans="3:9" ht="18.75">
      <c r="C21" s="162">
        <v>15</v>
      </c>
      <c r="D21" s="189" t="s">
        <v>22</v>
      </c>
      <c r="E21" s="161" t="s">
        <v>8</v>
      </c>
      <c r="F21" s="166"/>
      <c r="G21" s="186">
        <v>0.30906450880000003</v>
      </c>
      <c r="H21" s="186">
        <v>0.31003936479999999</v>
      </c>
      <c r="I21" s="185">
        <v>0.30771918939999998</v>
      </c>
    </row>
    <row r="22" spans="3:9" ht="18.75">
      <c r="C22" s="162">
        <v>16</v>
      </c>
      <c r="D22" s="189" t="s">
        <v>23</v>
      </c>
      <c r="E22" s="161" t="s">
        <v>8</v>
      </c>
      <c r="F22" s="166"/>
      <c r="G22" s="186">
        <v>0.69681129139999998</v>
      </c>
      <c r="H22" s="186">
        <v>0.69802538700000005</v>
      </c>
      <c r="I22" s="185">
        <v>0.6952467604</v>
      </c>
    </row>
    <row r="23" spans="3:9" ht="18.75">
      <c r="C23" s="162">
        <v>17</v>
      </c>
      <c r="D23" s="189" t="s">
        <v>24</v>
      </c>
      <c r="E23" s="161" t="s">
        <v>8</v>
      </c>
      <c r="F23" s="166"/>
      <c r="G23" s="186">
        <v>1.7883046180000001E-8</v>
      </c>
      <c r="H23" s="186">
        <v>7.6502030240000005E-8</v>
      </c>
      <c r="I23" s="185">
        <v>1.896442E-11</v>
      </c>
    </row>
    <row r="24" spans="3:9" ht="18.75">
      <c r="C24" s="162">
        <v>18</v>
      </c>
      <c r="D24" s="189" t="s">
        <v>25</v>
      </c>
      <c r="E24" s="161" t="s">
        <v>8</v>
      </c>
      <c r="F24" s="166"/>
      <c r="G24" s="188">
        <v>6.7504693290000004</v>
      </c>
      <c r="H24" s="188">
        <v>7.2586434820000001</v>
      </c>
      <c r="I24" s="187">
        <v>5.0631724709999997</v>
      </c>
    </row>
    <row r="25" spans="3:9" ht="18.75">
      <c r="C25" s="162">
        <v>19</v>
      </c>
      <c r="D25" s="189" t="s">
        <v>26</v>
      </c>
      <c r="E25" s="161" t="s">
        <v>8</v>
      </c>
      <c r="F25" s="166"/>
      <c r="G25" s="188">
        <v>13.625261160000001</v>
      </c>
      <c r="H25" s="188">
        <v>13.76842291</v>
      </c>
      <c r="I25" s="187">
        <v>13.01308057</v>
      </c>
    </row>
    <row r="26" spans="3:9" ht="18.75">
      <c r="C26" s="162">
        <v>20</v>
      </c>
      <c r="D26" s="189" t="s">
        <v>27</v>
      </c>
      <c r="E26" s="161" t="s">
        <v>8</v>
      </c>
      <c r="F26" s="166"/>
      <c r="G26" s="186">
        <v>9.9916693300000006</v>
      </c>
      <c r="H26" s="186">
        <v>9.4876406709999994</v>
      </c>
      <c r="I26" s="185">
        <v>12.01661754</v>
      </c>
    </row>
    <row r="27" spans="3:9" ht="18.75">
      <c r="C27" s="162">
        <v>21</v>
      </c>
      <c r="D27" s="189" t="s">
        <v>28</v>
      </c>
      <c r="E27" s="161" t="s">
        <v>8</v>
      </c>
      <c r="F27" s="166"/>
      <c r="G27" s="188">
        <v>0.88566188030000004</v>
      </c>
      <c r="H27" s="188">
        <v>0.89186308960000005</v>
      </c>
      <c r="I27" s="187">
        <v>0.87730446600000001</v>
      </c>
    </row>
    <row r="28" spans="3:9" ht="18.75">
      <c r="C28" s="162">
        <v>22</v>
      </c>
      <c r="D28" s="161" t="s">
        <v>29</v>
      </c>
      <c r="E28" s="161" t="s">
        <v>8</v>
      </c>
      <c r="F28" s="166"/>
      <c r="G28" s="186">
        <v>7.3615512429999995E-5</v>
      </c>
      <c r="H28" s="186">
        <v>1.5270318180000001E-4</v>
      </c>
      <c r="I28" s="185">
        <v>2.381517172E-6</v>
      </c>
    </row>
    <row r="29" spans="3:9" ht="18.75">
      <c r="C29" s="162">
        <v>23</v>
      </c>
      <c r="D29" s="161" t="s">
        <v>30</v>
      </c>
      <c r="E29" s="161" t="s">
        <v>8</v>
      </c>
      <c r="F29" s="166"/>
      <c r="G29" s="186">
        <v>11.978525579999999</v>
      </c>
      <c r="H29" s="186">
        <v>12.580011499999999</v>
      </c>
      <c r="I29" s="185">
        <v>11.223705949999999</v>
      </c>
    </row>
    <row r="30" spans="3:9" ht="18.75">
      <c r="C30" s="162"/>
      <c r="D30" s="184" t="s">
        <v>31</v>
      </c>
      <c r="E30" s="161" t="s">
        <v>8</v>
      </c>
      <c r="F30" s="166"/>
      <c r="G30" s="183">
        <f>SUM(G7:G29)</f>
        <v>99.999999992593473</v>
      </c>
      <c r="H30" s="183">
        <f>SUM(H7:H29)</f>
        <v>99.99999999982181</v>
      </c>
      <c r="I30" s="183">
        <f>SUM(I7:I29)</f>
        <v>100.00000000499912</v>
      </c>
    </row>
    <row r="31" spans="3:9" ht="18.75">
      <c r="C31" s="162">
        <v>24</v>
      </c>
      <c r="D31" s="161" t="s">
        <v>32</v>
      </c>
      <c r="E31" s="182" t="s">
        <v>33</v>
      </c>
      <c r="F31" s="166"/>
      <c r="G31" s="199">
        <v>56.059127529999998</v>
      </c>
      <c r="H31" s="199">
        <v>55.137259010000001</v>
      </c>
      <c r="I31" s="199">
        <v>59.105136559999998</v>
      </c>
    </row>
    <row r="32" spans="3:9" ht="18.75">
      <c r="C32" s="162">
        <v>25</v>
      </c>
      <c r="D32" s="161" t="s">
        <v>34</v>
      </c>
      <c r="E32" s="182" t="s">
        <v>33</v>
      </c>
      <c r="F32" s="166"/>
      <c r="G32" s="199">
        <v>55.75341967</v>
      </c>
      <c r="H32" s="199">
        <v>54.843985969999999</v>
      </c>
      <c r="I32" s="199">
        <v>58.756466459999999</v>
      </c>
    </row>
    <row r="33" spans="3:10" ht="18.75">
      <c r="C33" s="166"/>
      <c r="D33" s="166"/>
      <c r="E33" s="166"/>
      <c r="F33" s="166"/>
      <c r="G33" s="166"/>
      <c r="H33" s="166"/>
      <c r="I33" s="166"/>
    </row>
    <row r="34" spans="3:10" ht="18.75">
      <c r="C34" s="162">
        <v>26</v>
      </c>
      <c r="D34" s="161" t="s">
        <v>35</v>
      </c>
      <c r="E34" s="168" t="s">
        <v>8</v>
      </c>
      <c r="F34" s="166"/>
      <c r="G34" s="197">
        <v>95.214925559999998</v>
      </c>
      <c r="H34" s="197">
        <v>95.971500230000004</v>
      </c>
      <c r="I34" s="197">
        <v>94.175153280000004</v>
      </c>
    </row>
    <row r="35" spans="3:10" ht="18.75">
      <c r="C35" s="162">
        <v>27</v>
      </c>
      <c r="D35" s="161" t="s">
        <v>35</v>
      </c>
      <c r="E35" s="168" t="s">
        <v>36</v>
      </c>
      <c r="F35" s="166"/>
      <c r="G35" s="197">
        <v>95.120455960000001</v>
      </c>
      <c r="H35" s="197">
        <v>95.819189100000003</v>
      </c>
      <c r="I35" s="197">
        <v>94.162139449999998</v>
      </c>
    </row>
    <row r="36" spans="3:10" ht="18.75">
      <c r="C36" s="162">
        <v>28</v>
      </c>
      <c r="D36" s="161" t="s">
        <v>37</v>
      </c>
      <c r="E36" s="168" t="s">
        <v>38</v>
      </c>
      <c r="F36" s="166"/>
      <c r="G36" s="198">
        <v>0.6681605088</v>
      </c>
      <c r="H36" s="198">
        <v>0.66855861139999995</v>
      </c>
      <c r="I36" s="198">
        <v>0.66758983110000003</v>
      </c>
    </row>
    <row r="37" spans="3:10" ht="18.75">
      <c r="C37" s="162">
        <v>29</v>
      </c>
      <c r="D37" s="161" t="s">
        <v>39</v>
      </c>
      <c r="E37" s="168" t="s">
        <v>40</v>
      </c>
      <c r="F37" s="166"/>
      <c r="G37" s="197">
        <v>89.142184990000004</v>
      </c>
      <c r="H37" s="197">
        <v>89.280639699999995</v>
      </c>
      <c r="I37" s="197">
        <v>88.956373020000001</v>
      </c>
    </row>
    <row r="38" spans="3:10" ht="18.75">
      <c r="C38" s="162">
        <v>30</v>
      </c>
      <c r="D38" s="161" t="s">
        <v>41</v>
      </c>
      <c r="E38" s="168" t="s">
        <v>42</v>
      </c>
      <c r="F38" s="166"/>
      <c r="G38" s="197">
        <v>7.1689442100000003</v>
      </c>
      <c r="H38" s="197">
        <v>5.6141154880000004</v>
      </c>
      <c r="I38" s="197">
        <v>9.3204776949999992</v>
      </c>
    </row>
    <row r="39" spans="3:10" ht="18.75">
      <c r="C39" s="162">
        <v>31</v>
      </c>
      <c r="D39" s="161" t="s">
        <v>43</v>
      </c>
      <c r="E39" s="168" t="s">
        <v>44</v>
      </c>
      <c r="F39" s="166"/>
      <c r="G39" s="196">
        <v>488.1732384</v>
      </c>
      <c r="H39" s="196">
        <v>484.09775689999998</v>
      </c>
      <c r="I39" s="196">
        <v>498.40693420000002</v>
      </c>
    </row>
    <row r="40" spans="3:10" ht="18.75">
      <c r="C40" s="166"/>
      <c r="D40" s="166"/>
      <c r="E40" s="166"/>
      <c r="F40" s="166"/>
      <c r="G40" s="166"/>
      <c r="H40" s="166"/>
      <c r="I40" s="166"/>
    </row>
    <row r="41" spans="3:10" ht="18.75">
      <c r="C41" s="162">
        <v>32</v>
      </c>
      <c r="D41" s="161" t="s">
        <v>45</v>
      </c>
      <c r="E41" s="178" t="s">
        <v>33</v>
      </c>
      <c r="F41" s="166"/>
      <c r="G41" s="177">
        <f>G31-44</f>
        <v>12.059127529999998</v>
      </c>
      <c r="H41" s="177">
        <f>H31-44</f>
        <v>11.137259010000001</v>
      </c>
      <c r="I41" s="177">
        <f>I31-44</f>
        <v>15.105136559999998</v>
      </c>
    </row>
    <row r="42" spans="3:10" ht="18.75">
      <c r="C42" s="162">
        <v>33</v>
      </c>
      <c r="D42" s="161" t="s">
        <v>46</v>
      </c>
      <c r="E42" s="178" t="s">
        <v>33</v>
      </c>
      <c r="F42" s="166"/>
      <c r="G42" s="177">
        <f>G32-43.9</f>
        <v>11.853419670000001</v>
      </c>
      <c r="H42" s="177">
        <f>H32-43.9</f>
        <v>10.94398597</v>
      </c>
      <c r="I42" s="177">
        <f>I32-43.9</f>
        <v>14.85646646</v>
      </c>
    </row>
    <row r="44" spans="3:10" ht="18.75">
      <c r="C44" s="176" t="s">
        <v>47</v>
      </c>
    </row>
    <row r="45" spans="3:10">
      <c r="J45" s="175" t="s">
        <v>48</v>
      </c>
    </row>
    <row r="46" spans="3:10" ht="18.75">
      <c r="C46" s="162">
        <v>34</v>
      </c>
      <c r="D46" s="161" t="s">
        <v>49</v>
      </c>
      <c r="E46" s="168" t="s">
        <v>50</v>
      </c>
      <c r="F46" s="166"/>
      <c r="G46" s="196">
        <v>207.56451935999999</v>
      </c>
      <c r="H46" s="196">
        <v>208.60386451333301</v>
      </c>
      <c r="I46" s="196">
        <v>205.47697760666699</v>
      </c>
      <c r="J46" s="173">
        <v>1.25</v>
      </c>
    </row>
    <row r="47" spans="3:10" ht="18.75">
      <c r="C47" s="162">
        <v>35</v>
      </c>
      <c r="D47" s="161" t="s">
        <v>51</v>
      </c>
      <c r="E47" s="168" t="s">
        <v>50</v>
      </c>
      <c r="F47" s="166"/>
      <c r="G47" s="194">
        <v>218.71774031999999</v>
      </c>
      <c r="H47" s="194">
        <v>218.19806774333301</v>
      </c>
      <c r="I47" s="194">
        <v>219.76151119666699</v>
      </c>
    </row>
    <row r="48" spans="3:10" ht="18.75">
      <c r="C48" s="162">
        <v>36</v>
      </c>
      <c r="D48" s="161" t="s">
        <v>52</v>
      </c>
      <c r="E48" s="168" t="s">
        <v>50</v>
      </c>
      <c r="F48" s="166"/>
      <c r="G48" s="195">
        <f>G47-G46</f>
        <v>11.153220959999999</v>
      </c>
      <c r="H48" s="195">
        <f>H47-H46</f>
        <v>9.5942032300000051</v>
      </c>
      <c r="I48" s="195">
        <f>I47-I46</f>
        <v>14.284533589999995</v>
      </c>
    </row>
    <row r="49" spans="3:12" ht="18.75">
      <c r="C49" s="162">
        <v>37</v>
      </c>
      <c r="D49" s="161" t="s">
        <v>53</v>
      </c>
      <c r="E49" s="168" t="s">
        <v>50</v>
      </c>
      <c r="F49" s="166"/>
      <c r="G49" s="194">
        <v>215</v>
      </c>
      <c r="H49" s="194">
        <v>215</v>
      </c>
      <c r="I49" s="194">
        <v>215</v>
      </c>
    </row>
    <row r="50" spans="3:12" ht="18.75">
      <c r="C50" s="162">
        <v>38</v>
      </c>
      <c r="D50" s="161" t="s">
        <v>54</v>
      </c>
      <c r="E50" s="167" t="s">
        <v>55</v>
      </c>
      <c r="F50" s="166"/>
      <c r="G50" s="170">
        <v>25</v>
      </c>
      <c r="H50" s="170">
        <v>25</v>
      </c>
      <c r="I50" s="170">
        <v>25</v>
      </c>
    </row>
    <row r="51" spans="3:12" ht="18.75">
      <c r="C51" s="162">
        <v>39</v>
      </c>
      <c r="D51" s="161" t="s">
        <v>56</v>
      </c>
      <c r="E51" s="168" t="s">
        <v>57</v>
      </c>
      <c r="F51" s="166"/>
      <c r="G51" s="169">
        <v>1.472211884</v>
      </c>
      <c r="H51" s="169">
        <v>1.475735577</v>
      </c>
      <c r="I51" s="169">
        <v>1.4662482830000001</v>
      </c>
    </row>
    <row r="52" spans="3:12" ht="18.75">
      <c r="C52" s="162">
        <v>40</v>
      </c>
      <c r="D52" s="161" t="s">
        <v>58</v>
      </c>
      <c r="E52" s="168" t="s">
        <v>57</v>
      </c>
      <c r="G52" s="169">
        <v>1.390499248</v>
      </c>
      <c r="H52" s="169">
        <v>1.98040802</v>
      </c>
      <c r="I52" s="169">
        <v>1.568483152</v>
      </c>
    </row>
    <row r="53" spans="3:12" ht="18.75">
      <c r="C53" s="162">
        <v>41</v>
      </c>
      <c r="D53" s="161" t="s">
        <v>59</v>
      </c>
      <c r="E53" s="168" t="s">
        <v>60</v>
      </c>
      <c r="F53" s="166"/>
      <c r="G53" s="169">
        <v>3</v>
      </c>
      <c r="H53" s="169">
        <v>3</v>
      </c>
      <c r="I53" s="169">
        <v>3</v>
      </c>
    </row>
    <row r="54" spans="3:12" ht="18.75">
      <c r="C54" s="162">
        <v>42</v>
      </c>
      <c r="D54" s="161" t="s">
        <v>61</v>
      </c>
      <c r="E54" s="168" t="s">
        <v>62</v>
      </c>
      <c r="F54" s="166"/>
      <c r="G54" s="165">
        <v>9429</v>
      </c>
      <c r="H54" s="165">
        <v>9429</v>
      </c>
      <c r="I54" s="165">
        <v>9429</v>
      </c>
    </row>
    <row r="55" spans="3:12" ht="18.75">
      <c r="C55" s="162">
        <v>43</v>
      </c>
      <c r="D55" s="161" t="s">
        <v>63</v>
      </c>
      <c r="E55" s="168" t="s">
        <v>62</v>
      </c>
      <c r="F55" s="166"/>
      <c r="G55" s="165">
        <f>G54*G35/100</f>
        <v>8968.9077924684007</v>
      </c>
      <c r="H55" s="165">
        <f>H54*H35/100</f>
        <v>9034.7913402390004</v>
      </c>
      <c r="I55" s="165">
        <f>I54*I35/100</f>
        <v>8878.5481287405</v>
      </c>
    </row>
    <row r="56" spans="3:12" ht="18.75">
      <c r="C56" s="162">
        <v>44</v>
      </c>
      <c r="D56" s="161" t="s">
        <v>64</v>
      </c>
      <c r="E56" s="167" t="s">
        <v>33</v>
      </c>
      <c r="F56" s="166"/>
      <c r="G56" s="165">
        <f>G55*G41</f>
        <v>108157.20287418719</v>
      </c>
      <c r="H56" s="165">
        <f>H55*H41</f>
        <v>100622.8112575468</v>
      </c>
      <c r="I56" s="165">
        <f>I55*I41</f>
        <v>134111.68193915769</v>
      </c>
    </row>
    <row r="57" spans="3:12" ht="18.75">
      <c r="C57" s="162">
        <v>45</v>
      </c>
      <c r="D57" s="161" t="s">
        <v>65</v>
      </c>
      <c r="E57" s="164" t="s">
        <v>66</v>
      </c>
      <c r="G57" s="163">
        <f>(G56*$J$46)/10^3</f>
        <v>135.19650359273399</v>
      </c>
      <c r="H57" s="163">
        <f>(H56*$J$46)/10^3</f>
        <v>125.77851407193349</v>
      </c>
      <c r="I57" s="163">
        <f>(I56*$J$46)/10^3</f>
        <v>167.63960242394711</v>
      </c>
      <c r="L57" s="156">
        <v>1000</v>
      </c>
    </row>
    <row r="58" spans="3:12" ht="18.75">
      <c r="C58" s="162"/>
      <c r="D58" s="161"/>
      <c r="E58" s="160" t="s">
        <v>67</v>
      </c>
      <c r="G58" s="159">
        <f>(G57*350)/1000</f>
        <v>47.318776257456896</v>
      </c>
      <c r="H58" s="159">
        <f>(H57*350)/1000</f>
        <v>44.022479925176718</v>
      </c>
      <c r="I58" s="159">
        <f>(I57*350)/1000</f>
        <v>58.673860848381487</v>
      </c>
      <c r="L58" s="156">
        <v>667</v>
      </c>
    </row>
    <row r="59" spans="3:12">
      <c r="G59" s="158">
        <f>G57/G57</f>
        <v>1</v>
      </c>
      <c r="H59" s="158">
        <f>H57/G57</f>
        <v>0.93033851267950496</v>
      </c>
      <c r="I59" s="158">
        <f>I57/G57</f>
        <v>1.2399699546146898</v>
      </c>
      <c r="L59" s="157">
        <f>L57/L58</f>
        <v>1.4992503748125936</v>
      </c>
    </row>
    <row r="60" spans="3:12">
      <c r="L60" s="156">
        <f>L59*1000</f>
        <v>1499.2503748125937</v>
      </c>
    </row>
    <row r="61" spans="3:12">
      <c r="L61" s="155">
        <f>L60*6.289</f>
        <v>9428.7856071964015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694BB-0EF2-43A0-A26E-A72010A93D2E}">
  <dimension ref="C3:O61"/>
  <sheetViews>
    <sheetView topLeftCell="A3" workbookViewId="0">
      <selection activeCell="Y36" sqref="Y36"/>
    </sheetView>
  </sheetViews>
  <sheetFormatPr defaultColWidth="9.140625" defaultRowHeight="15"/>
  <cols>
    <col min="1" max="2" width="3.7109375" style="154" customWidth="1"/>
    <col min="3" max="3" width="6.7109375" style="154" customWidth="1"/>
    <col min="4" max="4" width="27.7109375" style="154" customWidth="1"/>
    <col min="5" max="5" width="9.7109375" style="154" customWidth="1"/>
    <col min="6" max="6" width="2.85546875" style="154" customWidth="1"/>
    <col min="7" max="9" width="12.7109375" style="154" customWidth="1"/>
    <col min="10" max="11" width="9.140625" style="154"/>
    <col min="12" max="12" width="20.85546875" style="154" bestFit="1" customWidth="1"/>
    <col min="13" max="13" width="12.42578125" style="234" bestFit="1" customWidth="1"/>
    <col min="14" max="14" width="13.42578125" style="154" customWidth="1"/>
    <col min="15" max="15" width="12.42578125" style="154" bestFit="1" customWidth="1"/>
    <col min="16" max="16384" width="9.140625" style="154"/>
  </cols>
  <sheetData>
    <row r="3" spans="3:15" ht="15.75">
      <c r="C3" s="193" t="s">
        <v>69</v>
      </c>
    </row>
    <row r="4" spans="3:15">
      <c r="C4" s="192"/>
      <c r="N4" s="154" t="s">
        <v>70</v>
      </c>
      <c r="O4" s="234" t="s">
        <v>70</v>
      </c>
    </row>
    <row r="5" spans="3:15" ht="16.5">
      <c r="N5" s="234" t="s">
        <v>71</v>
      </c>
      <c r="O5" s="234" t="s">
        <v>71</v>
      </c>
    </row>
    <row r="6" spans="3:15" ht="18.75">
      <c r="C6" s="191" t="s">
        <v>1</v>
      </c>
      <c r="D6" s="191" t="s">
        <v>2</v>
      </c>
      <c r="E6" s="191" t="s">
        <v>3</v>
      </c>
      <c r="F6" s="166"/>
      <c r="G6" s="190" t="s">
        <v>4</v>
      </c>
      <c r="H6" s="190" t="s">
        <v>5</v>
      </c>
      <c r="I6" s="190" t="s">
        <v>6</v>
      </c>
      <c r="N6" s="234" t="s">
        <v>72</v>
      </c>
      <c r="O6" s="234" t="s">
        <v>73</v>
      </c>
    </row>
    <row r="7" spans="3:15" ht="18.75">
      <c r="C7" s="162">
        <v>1</v>
      </c>
      <c r="D7" s="189" t="s">
        <v>7</v>
      </c>
      <c r="E7" s="161" t="s">
        <v>8</v>
      </c>
      <c r="F7" s="166"/>
      <c r="G7" s="186">
        <v>-7.177886872E-2</v>
      </c>
      <c r="H7" s="186">
        <v>-5.5760118960000001E-2</v>
      </c>
      <c r="I7" s="186">
        <v>-7.5938119920000005E-2</v>
      </c>
    </row>
    <row r="8" spans="3:15" ht="18.75">
      <c r="C8" s="162">
        <v>2</v>
      </c>
      <c r="D8" s="189" t="s">
        <v>9</v>
      </c>
      <c r="E8" s="161" t="s">
        <v>8</v>
      </c>
      <c r="F8" s="166"/>
      <c r="G8" s="186">
        <v>4.3891961200000001E-3</v>
      </c>
      <c r="H8" s="186">
        <v>3.1124391979999999E-3</v>
      </c>
      <c r="I8" s="185">
        <v>2.925809349E-3</v>
      </c>
      <c r="L8" s="38" t="s">
        <v>9</v>
      </c>
      <c r="M8" s="236" t="s">
        <v>74</v>
      </c>
      <c r="N8" s="235">
        <v>0</v>
      </c>
      <c r="O8" s="235">
        <v>0</v>
      </c>
    </row>
    <row r="9" spans="3:15" ht="18.75">
      <c r="C9" s="162">
        <v>3</v>
      </c>
      <c r="D9" s="189" t="s">
        <v>10</v>
      </c>
      <c r="E9" s="161" t="s">
        <v>8</v>
      </c>
      <c r="F9" s="166"/>
      <c r="G9" s="186">
        <v>4.4712675090000003E-3</v>
      </c>
      <c r="H9" s="186">
        <v>3.1656929939999998E-3</v>
      </c>
      <c r="I9" s="185">
        <v>2.9093573489999999E-3</v>
      </c>
      <c r="L9" s="38" t="s">
        <v>10</v>
      </c>
      <c r="M9" s="236" t="s">
        <v>74</v>
      </c>
      <c r="N9" s="235">
        <v>0</v>
      </c>
      <c r="O9" s="235">
        <v>0</v>
      </c>
    </row>
    <row r="10" spans="3:15" ht="18.75">
      <c r="C10" s="162">
        <v>4</v>
      </c>
      <c r="D10" s="189" t="s">
        <v>11</v>
      </c>
      <c r="E10" s="161" t="s">
        <v>8</v>
      </c>
      <c r="F10" s="166"/>
      <c r="G10" s="186">
        <v>0.32443498380000002</v>
      </c>
      <c r="H10" s="186">
        <v>0.22845694420000001</v>
      </c>
      <c r="I10" s="185">
        <v>0.2168483329</v>
      </c>
      <c r="L10" s="38" t="s">
        <v>11</v>
      </c>
      <c r="M10" s="236" t="s">
        <v>74</v>
      </c>
      <c r="N10" s="235">
        <v>3.7960348916825488</v>
      </c>
      <c r="O10" s="235">
        <v>10.350041312139162</v>
      </c>
    </row>
    <row r="11" spans="3:15" ht="18.75">
      <c r="C11" s="162">
        <v>5</v>
      </c>
      <c r="D11" s="189" t="s">
        <v>12</v>
      </c>
      <c r="E11" s="161" t="s">
        <v>8</v>
      </c>
      <c r="F11" s="166"/>
      <c r="G11" s="186">
        <v>1.7153827530000001</v>
      </c>
      <c r="H11" s="186">
        <v>1.705831487</v>
      </c>
      <c r="I11" s="185">
        <v>1.70390066</v>
      </c>
      <c r="L11" s="38" t="s">
        <v>12</v>
      </c>
      <c r="M11" s="236" t="s">
        <v>74</v>
      </c>
      <c r="N11" s="235">
        <v>3.2262748960061183</v>
      </c>
      <c r="O11" s="235">
        <v>3.8442694807741939</v>
      </c>
    </row>
    <row r="12" spans="3:15" ht="18.75">
      <c r="C12" s="162">
        <v>6</v>
      </c>
      <c r="D12" s="189" t="s">
        <v>13</v>
      </c>
      <c r="E12" s="161" t="s">
        <v>8</v>
      </c>
      <c r="F12" s="166"/>
      <c r="G12" s="186">
        <v>3.1682022220000001</v>
      </c>
      <c r="H12" s="186">
        <v>2.4035960329999999</v>
      </c>
      <c r="I12" s="185">
        <v>3.5822216579999999</v>
      </c>
      <c r="L12" s="38" t="s">
        <v>13</v>
      </c>
      <c r="M12" s="236" t="s">
        <v>74</v>
      </c>
      <c r="N12" s="235">
        <v>8.3316778842543346</v>
      </c>
      <c r="O12" s="235">
        <v>19.184296483683386</v>
      </c>
    </row>
    <row r="13" spans="3:15" ht="18.75">
      <c r="C13" s="162">
        <v>7</v>
      </c>
      <c r="D13" s="189" t="s">
        <v>14</v>
      </c>
      <c r="E13" s="161" t="s">
        <v>8</v>
      </c>
      <c r="F13" s="166"/>
      <c r="G13" s="186">
        <v>11.461385610000001</v>
      </c>
      <c r="H13" s="186">
        <v>11.599097049999999</v>
      </c>
      <c r="I13" s="185">
        <v>11.599570529999999</v>
      </c>
      <c r="L13" s="38" t="s">
        <v>14</v>
      </c>
      <c r="M13" s="236" t="s">
        <v>74</v>
      </c>
      <c r="N13" s="235">
        <v>12.537023423386755</v>
      </c>
      <c r="O13" s="235">
        <v>11.985358607648449</v>
      </c>
    </row>
    <row r="14" spans="3:15" ht="18.75">
      <c r="C14" s="162">
        <v>8</v>
      </c>
      <c r="D14" s="189" t="s">
        <v>15</v>
      </c>
      <c r="E14" s="161" t="s">
        <v>8</v>
      </c>
      <c r="F14" s="166"/>
      <c r="G14" s="186">
        <v>9.3476722320000007</v>
      </c>
      <c r="H14" s="186">
        <v>9.2096478459999993</v>
      </c>
      <c r="I14" s="185">
        <v>9.2090082379999991</v>
      </c>
      <c r="L14" s="38" t="s">
        <v>15</v>
      </c>
      <c r="M14" s="236" t="s">
        <v>74</v>
      </c>
      <c r="N14" s="235">
        <v>10.050345587440438</v>
      </c>
      <c r="O14" s="235">
        <v>11.777568181210711</v>
      </c>
    </row>
    <row r="15" spans="3:15" ht="18.75">
      <c r="C15" s="162">
        <v>9</v>
      </c>
      <c r="D15" s="189" t="s">
        <v>16</v>
      </c>
      <c r="E15" s="161" t="s">
        <v>8</v>
      </c>
      <c r="F15" s="166"/>
      <c r="G15" s="186">
        <v>0.27902069909999999</v>
      </c>
      <c r="H15" s="186">
        <v>0.2792839875</v>
      </c>
      <c r="I15" s="185">
        <v>0.27939404880000002</v>
      </c>
      <c r="L15" s="38" t="s">
        <v>16</v>
      </c>
      <c r="M15" s="236" t="s">
        <v>74</v>
      </c>
      <c r="N15" s="235">
        <v>0</v>
      </c>
      <c r="O15" s="235">
        <v>0</v>
      </c>
    </row>
    <row r="16" spans="3:15" ht="18.75">
      <c r="C16" s="162">
        <v>10</v>
      </c>
      <c r="D16" s="189" t="s">
        <v>17</v>
      </c>
      <c r="E16" s="161" t="s">
        <v>8</v>
      </c>
      <c r="F16" s="166"/>
      <c r="G16" s="186">
        <v>12.807536989999999</v>
      </c>
      <c r="H16" s="186">
        <v>13.17938453</v>
      </c>
      <c r="I16" s="185">
        <v>13.218186559999999</v>
      </c>
      <c r="L16" s="38" t="s">
        <v>17</v>
      </c>
      <c r="M16" s="236" t="s">
        <v>74</v>
      </c>
      <c r="N16" s="235">
        <v>14.268626963826033</v>
      </c>
      <c r="O16" s="235">
        <v>10.917220123130354</v>
      </c>
    </row>
    <row r="17" spans="3:15" ht="18.75">
      <c r="C17" s="162">
        <v>11</v>
      </c>
      <c r="D17" s="189" t="s">
        <v>18</v>
      </c>
      <c r="E17" s="161" t="s">
        <v>8</v>
      </c>
      <c r="F17" s="166"/>
      <c r="G17" s="186">
        <v>8.3315921320000008</v>
      </c>
      <c r="H17" s="186">
        <v>8.2272531190000002</v>
      </c>
      <c r="I17" s="185">
        <v>8.2090945749999999</v>
      </c>
      <c r="L17" s="38" t="s">
        <v>18</v>
      </c>
      <c r="M17" s="236" t="s">
        <v>74</v>
      </c>
      <c r="N17" s="235">
        <v>8.5874999245818344</v>
      </c>
      <c r="O17" s="235">
        <v>9.6585235422598625</v>
      </c>
    </row>
    <row r="18" spans="3:15" ht="18.75">
      <c r="C18" s="162">
        <v>12</v>
      </c>
      <c r="D18" s="189" t="s">
        <v>19</v>
      </c>
      <c r="E18" s="161" t="s">
        <v>8</v>
      </c>
      <c r="F18" s="166"/>
      <c r="G18" s="186">
        <v>5.1643405070000004</v>
      </c>
      <c r="H18" s="186">
        <v>5.0908526839999997</v>
      </c>
      <c r="I18" s="185">
        <v>5.0318694180000003</v>
      </c>
      <c r="L18" s="38" t="s">
        <v>19</v>
      </c>
      <c r="M18" s="236" t="s">
        <v>74</v>
      </c>
      <c r="N18" s="235">
        <v>5.1822401351478513</v>
      </c>
      <c r="O18" s="235">
        <v>5.986637812514779</v>
      </c>
    </row>
    <row r="19" spans="3:15" ht="18.75">
      <c r="C19" s="162">
        <v>13</v>
      </c>
      <c r="D19" s="189" t="s">
        <v>20</v>
      </c>
      <c r="E19" s="161" t="s">
        <v>8</v>
      </c>
      <c r="F19" s="166"/>
      <c r="G19" s="186">
        <v>2.0601684859999998</v>
      </c>
      <c r="H19" s="186">
        <v>2.0110633189999998</v>
      </c>
      <c r="I19" s="185">
        <v>2.0163862890000002</v>
      </c>
      <c r="L19" s="38" t="s">
        <v>20</v>
      </c>
      <c r="M19" s="236" t="s">
        <v>74</v>
      </c>
      <c r="N19" s="235">
        <v>1.874632467237678</v>
      </c>
      <c r="O19" s="235">
        <v>2.9024668259480646</v>
      </c>
    </row>
    <row r="20" spans="3:15" ht="18.75">
      <c r="C20" s="162">
        <v>14</v>
      </c>
      <c r="D20" s="189" t="s">
        <v>21</v>
      </c>
      <c r="E20" s="161" t="s">
        <v>8</v>
      </c>
      <c r="F20" s="166"/>
      <c r="G20" s="186">
        <v>1.5263071109999999</v>
      </c>
      <c r="H20" s="186">
        <v>1.380583938</v>
      </c>
      <c r="I20" s="185">
        <v>1.4140081200000001</v>
      </c>
      <c r="L20" s="38" t="s">
        <v>75</v>
      </c>
      <c r="M20" s="236" t="s">
        <v>74</v>
      </c>
      <c r="N20" s="235">
        <v>0.38912700752714074</v>
      </c>
      <c r="O20" s="235">
        <v>0.80554997381108129</v>
      </c>
    </row>
    <row r="21" spans="3:15" ht="18.75">
      <c r="C21" s="162">
        <v>15</v>
      </c>
      <c r="D21" s="189" t="s">
        <v>22</v>
      </c>
      <c r="E21" s="161" t="s">
        <v>8</v>
      </c>
      <c r="F21" s="166"/>
      <c r="G21" s="186">
        <v>0.29654057750000001</v>
      </c>
      <c r="H21" s="186">
        <v>0.2975882171</v>
      </c>
      <c r="I21" s="185">
        <v>0.32051852089999999</v>
      </c>
      <c r="L21" s="38" t="s">
        <v>22</v>
      </c>
      <c r="M21" s="236" t="s">
        <v>74</v>
      </c>
      <c r="N21" s="235">
        <v>0.32198270516148697</v>
      </c>
      <c r="O21" s="235">
        <v>0.26038207929407536</v>
      </c>
    </row>
    <row r="22" spans="3:15" ht="18.75">
      <c r="C22" s="162">
        <v>16</v>
      </c>
      <c r="D22" s="189" t="s">
        <v>23</v>
      </c>
      <c r="E22" s="161" t="s">
        <v>8</v>
      </c>
      <c r="F22" s="166"/>
      <c r="G22" s="186">
        <v>0.70570693539999996</v>
      </c>
      <c r="H22" s="186">
        <v>0.70784171070000002</v>
      </c>
      <c r="I22" s="185">
        <v>0.68590329120000004</v>
      </c>
      <c r="L22" s="38" t="s">
        <v>23</v>
      </c>
      <c r="M22" s="236" t="s">
        <v>74</v>
      </c>
      <c r="N22" s="235">
        <v>0.68935124900346501</v>
      </c>
      <c r="O22" s="235">
        <v>0.60293710492178743</v>
      </c>
    </row>
    <row r="23" spans="3:15" ht="18.75">
      <c r="C23" s="162">
        <v>17</v>
      </c>
      <c r="D23" s="189" t="s">
        <v>24</v>
      </c>
      <c r="E23" s="161" t="s">
        <v>8</v>
      </c>
      <c r="F23" s="166"/>
      <c r="G23" s="186">
        <v>1.408240095E-9</v>
      </c>
      <c r="H23" s="186">
        <v>7.6232736290000004E-9</v>
      </c>
      <c r="I23" s="185">
        <v>4.8307979999999999E-10</v>
      </c>
      <c r="L23" s="38" t="s">
        <v>24</v>
      </c>
      <c r="M23" s="236" t="s">
        <v>74</v>
      </c>
      <c r="N23" s="235">
        <v>0</v>
      </c>
      <c r="O23" s="235">
        <v>0</v>
      </c>
    </row>
    <row r="24" spans="3:15" ht="18.75">
      <c r="C24" s="162">
        <v>18</v>
      </c>
      <c r="D24" s="189" t="s">
        <v>25</v>
      </c>
      <c r="E24" s="161" t="s">
        <v>8</v>
      </c>
      <c r="F24" s="166"/>
      <c r="G24" s="188">
        <v>5.8348735869999997</v>
      </c>
      <c r="H24" s="188">
        <v>6.3153625020000002</v>
      </c>
      <c r="I24" s="187">
        <v>5.9302974209999997</v>
      </c>
      <c r="L24" s="38" t="s">
        <v>25</v>
      </c>
      <c r="M24" s="236" t="s">
        <v>74</v>
      </c>
      <c r="N24" s="235">
        <v>7.5004118285138484</v>
      </c>
      <c r="O24" s="235">
        <v>2.6100834311429568</v>
      </c>
    </row>
    <row r="25" spans="3:15" ht="18.75">
      <c r="C25" s="162">
        <v>19</v>
      </c>
      <c r="D25" s="189" t="s">
        <v>26</v>
      </c>
      <c r="E25" s="161" t="s">
        <v>8</v>
      </c>
      <c r="F25" s="166"/>
      <c r="G25" s="188">
        <v>13.317031800000001</v>
      </c>
      <c r="H25" s="188">
        <v>13.508324760000001</v>
      </c>
      <c r="I25" s="187">
        <v>13.38140527</v>
      </c>
      <c r="L25" s="38" t="s">
        <v>26</v>
      </c>
      <c r="M25" s="236" t="s">
        <v>74</v>
      </c>
      <c r="N25" s="235">
        <v>13.314346997633022</v>
      </c>
      <c r="O25" s="235">
        <v>5.5262039367751044</v>
      </c>
    </row>
    <row r="26" spans="3:15" ht="18.75">
      <c r="C26" s="162">
        <v>20</v>
      </c>
      <c r="D26" s="189" t="s">
        <v>27</v>
      </c>
      <c r="E26" s="161" t="s">
        <v>8</v>
      </c>
      <c r="F26" s="166"/>
      <c r="G26" s="186">
        <v>10.9539753</v>
      </c>
      <c r="H26" s="186">
        <v>10.507258930000001</v>
      </c>
      <c r="I26" s="185">
        <v>11.0503842</v>
      </c>
      <c r="L26" s="38" t="s">
        <v>27</v>
      </c>
      <c r="M26" s="236" t="s">
        <v>74</v>
      </c>
      <c r="N26" s="235">
        <v>4.2020182346247941</v>
      </c>
      <c r="O26" s="235">
        <v>2.41971978285572</v>
      </c>
    </row>
    <row r="27" spans="3:15" ht="18.75">
      <c r="C27" s="162">
        <v>21</v>
      </c>
      <c r="D27" s="189" t="s">
        <v>28</v>
      </c>
      <c r="E27" s="161" t="s">
        <v>8</v>
      </c>
      <c r="F27" s="166"/>
      <c r="G27" s="188">
        <v>0.88005398030000004</v>
      </c>
      <c r="H27" s="188">
        <v>0.88783367300000005</v>
      </c>
      <c r="I27" s="187">
        <v>0.88360110420000004</v>
      </c>
      <c r="L27" s="38" t="s">
        <v>28</v>
      </c>
      <c r="M27" s="236" t="s">
        <v>74</v>
      </c>
      <c r="N27" s="235">
        <v>1.0696526189633193</v>
      </c>
      <c r="O27" s="235">
        <v>0.9214944183007423</v>
      </c>
    </row>
    <row r="28" spans="3:15" ht="18.75">
      <c r="C28" s="162">
        <v>22</v>
      </c>
      <c r="D28" s="161" t="s">
        <v>29</v>
      </c>
      <c r="E28" s="161" t="s">
        <v>8</v>
      </c>
      <c r="F28" s="166"/>
      <c r="G28" s="186">
        <v>2.057925413E-5</v>
      </c>
      <c r="H28" s="186">
        <v>4.7993802870000002E-5</v>
      </c>
      <c r="I28" s="185">
        <v>1.2039620439999999E-5</v>
      </c>
      <c r="L28" s="38" t="s">
        <v>29</v>
      </c>
      <c r="M28" s="236" t="s">
        <v>74</v>
      </c>
      <c r="N28" s="235">
        <v>0</v>
      </c>
      <c r="O28" s="235">
        <v>0</v>
      </c>
    </row>
    <row r="29" spans="3:15" ht="18.75">
      <c r="C29" s="162">
        <v>23</v>
      </c>
      <c r="D29" s="161" t="s">
        <v>30</v>
      </c>
      <c r="E29" s="161" t="s">
        <v>8</v>
      </c>
      <c r="F29" s="166"/>
      <c r="G29" s="186">
        <v>11.888671909999999</v>
      </c>
      <c r="H29" s="186">
        <v>12.51017324</v>
      </c>
      <c r="I29" s="185">
        <v>11.33749268</v>
      </c>
      <c r="L29" s="22" t="s">
        <v>30</v>
      </c>
      <c r="M29" s="236" t="s">
        <v>74</v>
      </c>
      <c r="N29" s="235">
        <v>4.9543985677491866</v>
      </c>
      <c r="O29" s="235">
        <v>0.96430321772345939</v>
      </c>
    </row>
    <row r="30" spans="3:15" ht="18.75">
      <c r="C30" s="162"/>
      <c r="D30" s="184" t="s">
        <v>31</v>
      </c>
      <c r="E30" s="161" t="s">
        <v>8</v>
      </c>
      <c r="F30" s="166"/>
      <c r="G30" s="183">
        <f>SUM(G7:G29)</f>
        <v>99.999999991671359</v>
      </c>
      <c r="H30" s="183">
        <f>SUM(H7:H29)</f>
        <v>99.999999985158141</v>
      </c>
      <c r="I30" s="183">
        <f>SUM(I7:I29)</f>
        <v>100.00000000388151</v>
      </c>
      <c r="L30" s="22" t="s">
        <v>76</v>
      </c>
      <c r="M30" s="236" t="s">
        <v>74</v>
      </c>
      <c r="N30" s="235">
        <v>1.7656293693407932E-2</v>
      </c>
      <c r="O30" s="235">
        <v>2.018028365349547E-2</v>
      </c>
    </row>
    <row r="31" spans="3:15" ht="18.75">
      <c r="C31" s="162">
        <v>24</v>
      </c>
      <c r="D31" s="161" t="s">
        <v>32</v>
      </c>
      <c r="E31" s="182" t="s">
        <v>33</v>
      </c>
      <c r="F31" s="166"/>
      <c r="G31" s="181">
        <v>57.609734690000003</v>
      </c>
      <c r="H31" s="181">
        <v>56.668219860000001</v>
      </c>
      <c r="I31" s="181">
        <v>57.485621479999999</v>
      </c>
      <c r="L31" s="22" t="s">
        <v>77</v>
      </c>
      <c r="M31" s="236" t="s">
        <v>74</v>
      </c>
      <c r="N31" s="235">
        <v>0</v>
      </c>
      <c r="O31" s="235">
        <v>5.5362285909115131E-3</v>
      </c>
    </row>
    <row r="32" spans="3:15" ht="18.75">
      <c r="C32" s="162">
        <v>25</v>
      </c>
      <c r="D32" s="161" t="s">
        <v>34</v>
      </c>
      <c r="E32" s="182" t="s">
        <v>33</v>
      </c>
      <c r="F32" s="166"/>
      <c r="G32" s="181">
        <v>57.277668800000001</v>
      </c>
      <c r="H32" s="181">
        <v>56.349074880000003</v>
      </c>
      <c r="I32" s="181">
        <v>57.164756230000002</v>
      </c>
      <c r="L32" s="22" t="s">
        <v>78</v>
      </c>
      <c r="M32" s="236" t="s">
        <v>74</v>
      </c>
      <c r="N32" s="235">
        <v>0</v>
      </c>
      <c r="O32" s="235">
        <v>0</v>
      </c>
    </row>
    <row r="33" spans="3:15" ht="18.75">
      <c r="C33" s="166"/>
      <c r="D33" s="166"/>
      <c r="E33" s="166"/>
      <c r="F33" s="166"/>
      <c r="G33" s="166"/>
      <c r="H33" s="166"/>
      <c r="I33" s="166"/>
      <c r="L33" s="22" t="s">
        <v>79</v>
      </c>
      <c r="M33" s="236" t="s">
        <v>74</v>
      </c>
      <c r="N33" s="235">
        <v>0</v>
      </c>
      <c r="O33" s="235">
        <v>0</v>
      </c>
    </row>
    <row r="34" spans="3:15" ht="18.75">
      <c r="C34" s="162">
        <v>26</v>
      </c>
      <c r="D34" s="161" t="s">
        <v>35</v>
      </c>
      <c r="E34" s="168" t="s">
        <v>8</v>
      </c>
      <c r="F34" s="166"/>
      <c r="G34" s="179">
        <v>94.854898449999993</v>
      </c>
      <c r="H34" s="179">
        <v>95.711597519999998</v>
      </c>
      <c r="I34" s="179">
        <v>94.567132299999997</v>
      </c>
      <c r="L34" s="22" t="s">
        <v>80</v>
      </c>
      <c r="M34" s="236" t="s">
        <v>74</v>
      </c>
      <c r="N34" s="235">
        <v>5.7227630107631551E-2</v>
      </c>
      <c r="O34" s="235">
        <v>7.4887692659227076E-3</v>
      </c>
    </row>
    <row r="35" spans="3:15" ht="18.75">
      <c r="C35" s="162">
        <v>27</v>
      </c>
      <c r="D35" s="161" t="s">
        <v>35</v>
      </c>
      <c r="E35" s="168" t="s">
        <v>36</v>
      </c>
      <c r="F35" s="166"/>
      <c r="G35" s="179">
        <v>94.780043660000004</v>
      </c>
      <c r="H35" s="179">
        <v>95.574233289999995</v>
      </c>
      <c r="I35" s="179">
        <v>94.530977820000004</v>
      </c>
      <c r="L35" s="22" t="s">
        <v>81</v>
      </c>
      <c r="M35" s="236" t="s">
        <v>74</v>
      </c>
      <c r="N35" s="235">
        <f>SUM(N8:N34)</f>
        <v>100.37052930654087</v>
      </c>
      <c r="O35" s="235">
        <v>100.75026159564422</v>
      </c>
    </row>
    <row r="36" spans="3:15" ht="18.75">
      <c r="C36" s="162">
        <v>28</v>
      </c>
      <c r="D36" s="161" t="s">
        <v>37</v>
      </c>
      <c r="E36" s="168" t="s">
        <v>38</v>
      </c>
      <c r="F36" s="166"/>
      <c r="G36" s="180">
        <v>0.66802475049999999</v>
      </c>
      <c r="H36" s="180">
        <v>0.66845694060000005</v>
      </c>
      <c r="I36" s="180">
        <v>0.66775287080000001</v>
      </c>
      <c r="L36" s="22"/>
    </row>
    <row r="37" spans="3:15" ht="18.75">
      <c r="C37" s="162">
        <v>29</v>
      </c>
      <c r="D37" s="161" t="s">
        <v>39</v>
      </c>
      <c r="E37" s="168" t="s">
        <v>40</v>
      </c>
      <c r="F37" s="166"/>
      <c r="G37" s="179">
        <v>89.096222549999993</v>
      </c>
      <c r="H37" s="179">
        <v>89.247524380000002</v>
      </c>
      <c r="I37" s="179">
        <v>89.008907500000007</v>
      </c>
      <c r="L37" s="22"/>
    </row>
    <row r="38" spans="3:15" ht="18.75">
      <c r="C38" s="162">
        <v>30</v>
      </c>
      <c r="D38" s="161" t="s">
        <v>41</v>
      </c>
      <c r="E38" s="168" t="s">
        <v>42</v>
      </c>
      <c r="F38" s="166"/>
      <c r="G38" s="179">
        <v>7.9812050450000003</v>
      </c>
      <c r="H38" s="179">
        <v>6.2000551240000004</v>
      </c>
      <c r="I38" s="179">
        <v>8.4436787130000006</v>
      </c>
      <c r="L38" s="22"/>
    </row>
    <row r="39" spans="3:15" ht="18.75">
      <c r="C39" s="162">
        <v>31</v>
      </c>
      <c r="D39" s="161" t="s">
        <v>43</v>
      </c>
      <c r="E39" s="168" t="s">
        <v>44</v>
      </c>
      <c r="F39" s="166"/>
      <c r="G39" s="174">
        <v>493.22052780000001</v>
      </c>
      <c r="H39" s="174">
        <v>488.6022226</v>
      </c>
      <c r="I39" s="174">
        <v>492.82520110000002</v>
      </c>
      <c r="L39" s="22"/>
    </row>
    <row r="40" spans="3:15" ht="18.75">
      <c r="C40" s="166"/>
      <c r="D40" s="166"/>
      <c r="E40" s="166"/>
      <c r="F40" s="166"/>
      <c r="G40" s="166"/>
      <c r="H40" s="166"/>
      <c r="I40" s="166"/>
      <c r="L40" s="22"/>
    </row>
    <row r="41" spans="3:15" ht="18.75">
      <c r="C41" s="162">
        <v>32</v>
      </c>
      <c r="D41" s="161" t="s">
        <v>45</v>
      </c>
      <c r="E41" s="178" t="s">
        <v>33</v>
      </c>
      <c r="F41" s="166"/>
      <c r="G41" s="177">
        <f>G31-44</f>
        <v>13.609734690000003</v>
      </c>
      <c r="H41" s="177">
        <f>H31-44</f>
        <v>12.668219860000001</v>
      </c>
      <c r="I41" s="177">
        <f>I31-44</f>
        <v>13.485621479999999</v>
      </c>
      <c r="L41" s="22"/>
    </row>
    <row r="42" spans="3:15" ht="18.75">
      <c r="C42" s="162">
        <v>33</v>
      </c>
      <c r="D42" s="161" t="s">
        <v>46</v>
      </c>
      <c r="E42" s="178" t="s">
        <v>33</v>
      </c>
      <c r="F42" s="166"/>
      <c r="G42" s="177">
        <f>G32-43.9</f>
        <v>13.377668800000002</v>
      </c>
      <c r="H42" s="177">
        <f>H32-43.9</f>
        <v>12.449074880000005</v>
      </c>
      <c r="I42" s="177">
        <f>I32-43.9</f>
        <v>13.264756230000003</v>
      </c>
      <c r="L42" s="22"/>
    </row>
    <row r="44" spans="3:15" ht="18.75">
      <c r="C44" s="176" t="s">
        <v>47</v>
      </c>
    </row>
    <row r="45" spans="3:15">
      <c r="J45" s="175" t="s">
        <v>48</v>
      </c>
    </row>
    <row r="46" spans="3:15" ht="18.75">
      <c r="C46" s="162">
        <v>34</v>
      </c>
      <c r="D46" s="161" t="s">
        <v>49</v>
      </c>
      <c r="E46" s="168" t="s">
        <v>50</v>
      </c>
      <c r="F46" s="166"/>
      <c r="G46" s="174">
        <v>211.653394746667</v>
      </c>
      <c r="H46" s="174">
        <v>212.803119106667</v>
      </c>
      <c r="I46" s="174">
        <v>201.45726291333301</v>
      </c>
      <c r="J46" s="173">
        <v>1.25</v>
      </c>
    </row>
    <row r="47" spans="3:15" ht="18.75">
      <c r="C47" s="162">
        <v>35</v>
      </c>
      <c r="D47" s="161" t="s">
        <v>51</v>
      </c>
      <c r="E47" s="168" t="s">
        <v>50</v>
      </c>
      <c r="F47" s="166"/>
      <c r="G47" s="171">
        <v>224.17330262666701</v>
      </c>
      <c r="H47" s="171">
        <v>223.59844044666701</v>
      </c>
      <c r="I47" s="171">
        <v>214.27136854333301</v>
      </c>
    </row>
    <row r="48" spans="3:15" ht="18.75">
      <c r="C48" s="162">
        <v>36</v>
      </c>
      <c r="D48" s="161" t="s">
        <v>52</v>
      </c>
      <c r="E48" s="168" t="s">
        <v>50</v>
      </c>
      <c r="F48" s="166"/>
      <c r="G48" s="172">
        <f>G47-G46</f>
        <v>12.519907880000005</v>
      </c>
      <c r="H48" s="172">
        <f>H47-H46</f>
        <v>10.795321340000015</v>
      </c>
      <c r="I48" s="172">
        <f>I47-I46</f>
        <v>12.81410563</v>
      </c>
    </row>
    <row r="49" spans="3:12" ht="18.75">
      <c r="C49" s="162">
        <v>37</v>
      </c>
      <c r="D49" s="161" t="s">
        <v>53</v>
      </c>
      <c r="E49" s="168" t="s">
        <v>50</v>
      </c>
      <c r="F49" s="166"/>
      <c r="G49" s="171">
        <v>220</v>
      </c>
      <c r="H49" s="171">
        <v>220</v>
      </c>
      <c r="I49" s="171">
        <v>220</v>
      </c>
    </row>
    <row r="50" spans="3:12" ht="18.75">
      <c r="C50" s="162">
        <v>38</v>
      </c>
      <c r="D50" s="161" t="s">
        <v>54</v>
      </c>
      <c r="E50" s="167" t="s">
        <v>55</v>
      </c>
      <c r="F50" s="166"/>
      <c r="G50" s="170">
        <v>25</v>
      </c>
      <c r="H50" s="170">
        <v>25</v>
      </c>
      <c r="I50" s="170">
        <v>25</v>
      </c>
    </row>
    <row r="51" spans="3:12" ht="18.75">
      <c r="C51" s="162">
        <v>39</v>
      </c>
      <c r="D51" s="161" t="s">
        <v>56</v>
      </c>
      <c r="E51" s="168" t="s">
        <v>57</v>
      </c>
      <c r="F51" s="166"/>
      <c r="G51" s="169">
        <v>1.472211884</v>
      </c>
      <c r="H51" s="169">
        <v>1.475735577</v>
      </c>
      <c r="I51" s="169">
        <v>1.4662482830000001</v>
      </c>
    </row>
    <row r="52" spans="3:12" ht="18.75">
      <c r="C52" s="162">
        <v>40</v>
      </c>
      <c r="D52" s="161" t="s">
        <v>58</v>
      </c>
      <c r="E52" s="168" t="s">
        <v>57</v>
      </c>
      <c r="G52" s="169">
        <v>1.390499248</v>
      </c>
      <c r="H52" s="169">
        <v>1.98040802</v>
      </c>
      <c r="I52" s="169">
        <v>1.568483152</v>
      </c>
    </row>
    <row r="53" spans="3:12" ht="18.75">
      <c r="C53" s="162">
        <v>41</v>
      </c>
      <c r="D53" s="161" t="s">
        <v>59</v>
      </c>
      <c r="E53" s="168" t="s">
        <v>60</v>
      </c>
      <c r="F53" s="166"/>
      <c r="G53" s="169">
        <v>3</v>
      </c>
      <c r="H53" s="169">
        <v>3</v>
      </c>
      <c r="I53" s="169">
        <v>3</v>
      </c>
    </row>
    <row r="54" spans="3:12" ht="18.75">
      <c r="C54" s="162">
        <v>42</v>
      </c>
      <c r="D54" s="161" t="s">
        <v>61</v>
      </c>
      <c r="E54" s="168" t="s">
        <v>62</v>
      </c>
      <c r="F54" s="166"/>
      <c r="G54" s="165">
        <v>9429</v>
      </c>
      <c r="H54" s="165">
        <v>9429</v>
      </c>
      <c r="I54" s="165">
        <v>9429</v>
      </c>
    </row>
    <row r="55" spans="3:12" ht="18.75">
      <c r="C55" s="162">
        <v>43</v>
      </c>
      <c r="D55" s="161" t="s">
        <v>63</v>
      </c>
      <c r="E55" s="168" t="s">
        <v>62</v>
      </c>
      <c r="F55" s="166"/>
      <c r="G55" s="165">
        <f>G54*G35/100</f>
        <v>8936.8103167013996</v>
      </c>
      <c r="H55" s="165">
        <f>H54*H35/100</f>
        <v>9011.6944569140996</v>
      </c>
      <c r="I55" s="165">
        <f>I54*I35/100</f>
        <v>8913.3258986478013</v>
      </c>
    </row>
    <row r="56" spans="3:12" ht="18.75">
      <c r="C56" s="162">
        <v>44</v>
      </c>
      <c r="D56" s="161" t="s">
        <v>64</v>
      </c>
      <c r="E56" s="167" t="s">
        <v>33</v>
      </c>
      <c r="F56" s="166"/>
      <c r="G56" s="165">
        <f>G55*G41</f>
        <v>121627.61738516095</v>
      </c>
      <c r="H56" s="165">
        <f>H55*H41</f>
        <v>114162.12669133111</v>
      </c>
      <c r="I56" s="165">
        <f>I55*I41</f>
        <v>120201.73919704508</v>
      </c>
    </row>
    <row r="57" spans="3:12" ht="18.75">
      <c r="C57" s="162">
        <v>45</v>
      </c>
      <c r="D57" s="161" t="s">
        <v>65</v>
      </c>
      <c r="E57" s="164" t="s">
        <v>66</v>
      </c>
      <c r="G57" s="163">
        <f>(G56*$J$46)/10^3</f>
        <v>152.03452173145118</v>
      </c>
      <c r="H57" s="163">
        <f>(H56*$J$46)/10^3</f>
        <v>142.70265836416388</v>
      </c>
      <c r="I57" s="163">
        <f>(I56*$J$46)/10^3</f>
        <v>150.25217399630634</v>
      </c>
      <c r="L57" s="156">
        <v>1000</v>
      </c>
    </row>
    <row r="58" spans="3:12" ht="18.75">
      <c r="C58" s="162"/>
      <c r="D58" s="161"/>
      <c r="E58" s="160" t="s">
        <v>67</v>
      </c>
      <c r="G58" s="159">
        <f>(G57*350)/1000</f>
        <v>53.212082606007911</v>
      </c>
      <c r="H58" s="159">
        <f>(H57*350)/1000</f>
        <v>49.945930427457355</v>
      </c>
      <c r="I58" s="159">
        <f>(I57*350)/1000</f>
        <v>52.588260898707219</v>
      </c>
      <c r="L58" s="156">
        <v>667</v>
      </c>
    </row>
    <row r="59" spans="3:12">
      <c r="G59" s="158">
        <f>G57/G57</f>
        <v>1</v>
      </c>
      <c r="H59" s="158">
        <f>H57/G57</f>
        <v>0.93862010245429128</v>
      </c>
      <c r="I59" s="158">
        <f>I57/G57</f>
        <v>0.9882766906170618</v>
      </c>
      <c r="L59" s="157">
        <f>L57/L58</f>
        <v>1.4992503748125936</v>
      </c>
    </row>
    <row r="60" spans="3:12">
      <c r="L60" s="156">
        <f>L59*1000</f>
        <v>1499.2503748125937</v>
      </c>
    </row>
    <row r="61" spans="3:12">
      <c r="L61" s="155">
        <f>L60*6.289</f>
        <v>9428.7856071964015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DCF30-1B9F-4ABB-9CFF-8F23AE524846}">
  <sheetPr codeName="Sheet1"/>
  <dimension ref="A2:R61"/>
  <sheetViews>
    <sheetView topLeftCell="A2" zoomScale="140" zoomScaleNormal="140" workbookViewId="0">
      <selection activeCell="D12" sqref="D12"/>
    </sheetView>
  </sheetViews>
  <sheetFormatPr defaultColWidth="9.140625" defaultRowHeight="15"/>
  <cols>
    <col min="1" max="1" width="24.28515625" style="2" customWidth="1"/>
    <col min="2" max="2" width="10" style="2" bestFit="1" customWidth="1"/>
    <col min="3" max="3" width="9.42578125" style="1" bestFit="1" customWidth="1"/>
    <col min="4" max="4" width="11.42578125" style="1" customWidth="1"/>
    <col min="5" max="5" width="9.7109375" style="1" bestFit="1" customWidth="1"/>
    <col min="6" max="6" width="11.5703125" style="1" customWidth="1"/>
    <col min="7" max="7" width="11.140625" style="1" bestFit="1" customWidth="1"/>
    <col min="8" max="8" width="9.7109375" style="1" bestFit="1" customWidth="1"/>
    <col min="9" max="9" width="9.5703125" style="1" customWidth="1"/>
    <col min="10" max="10" width="10.42578125" style="1" customWidth="1"/>
    <col min="11" max="17" width="9.140625" style="1"/>
    <col min="18" max="18" width="23.5703125" style="1" customWidth="1"/>
    <col min="19" max="16384" width="9.140625" style="1"/>
  </cols>
  <sheetData>
    <row r="2" spans="1:10" ht="241.5" customHeight="1">
      <c r="A2" s="15" t="s">
        <v>82</v>
      </c>
      <c r="B2" s="247" t="s">
        <v>83</v>
      </c>
      <c r="C2" s="248"/>
      <c r="D2" s="248"/>
      <c r="E2" s="248"/>
      <c r="F2" s="248"/>
      <c r="G2" s="248"/>
      <c r="H2" s="248"/>
      <c r="I2" s="248"/>
      <c r="J2" s="249"/>
    </row>
    <row r="3" spans="1:10">
      <c r="B3" s="250"/>
      <c r="C3" s="250"/>
      <c r="D3" s="250"/>
      <c r="E3" s="250"/>
      <c r="F3" s="250"/>
      <c r="G3" s="250"/>
      <c r="H3" s="250"/>
      <c r="I3" s="250"/>
      <c r="J3" s="250"/>
    </row>
    <row r="4" spans="1:10">
      <c r="A4" s="11" t="s">
        <v>84</v>
      </c>
      <c r="B4" s="10" t="s">
        <v>85</v>
      </c>
      <c r="C4" s="251" t="s">
        <v>86</v>
      </c>
      <c r="D4" s="251"/>
      <c r="E4" s="251"/>
      <c r="F4" s="251"/>
      <c r="G4" s="251" t="s">
        <v>87</v>
      </c>
      <c r="H4" s="251"/>
      <c r="I4" s="251"/>
      <c r="J4" s="251"/>
    </row>
    <row r="5" spans="1:10">
      <c r="A5" s="5" t="s">
        <v>88</v>
      </c>
      <c r="B5" s="13" t="s">
        <v>89</v>
      </c>
      <c r="C5" s="4">
        <v>1</v>
      </c>
      <c r="D5" s="4">
        <v>2</v>
      </c>
      <c r="E5" s="4">
        <v>3</v>
      </c>
      <c r="F5" s="4">
        <v>4</v>
      </c>
      <c r="G5" s="4">
        <v>5</v>
      </c>
      <c r="H5" s="4">
        <v>6</v>
      </c>
      <c r="I5" s="4">
        <v>7</v>
      </c>
      <c r="J5" s="4">
        <v>8</v>
      </c>
    </row>
    <row r="6" spans="1:10">
      <c r="A6" s="5" t="s">
        <v>90</v>
      </c>
      <c r="B6" s="13" t="s">
        <v>89</v>
      </c>
      <c r="C6" s="4">
        <v>10684</v>
      </c>
      <c r="D6" s="4">
        <v>10910</v>
      </c>
      <c r="E6" s="4">
        <v>10685</v>
      </c>
      <c r="F6" s="13" t="s">
        <v>89</v>
      </c>
      <c r="G6" s="4">
        <v>10684</v>
      </c>
      <c r="H6" s="4">
        <v>10910</v>
      </c>
      <c r="I6" s="4">
        <v>10685</v>
      </c>
      <c r="J6" s="13" t="s">
        <v>89</v>
      </c>
    </row>
    <row r="7" spans="1:10">
      <c r="A7" s="5" t="s">
        <v>91</v>
      </c>
      <c r="B7" s="13" t="s">
        <v>89</v>
      </c>
      <c r="C7" s="4" t="s">
        <v>92</v>
      </c>
      <c r="D7" s="4" t="s">
        <v>93</v>
      </c>
      <c r="E7" s="4" t="s">
        <v>94</v>
      </c>
      <c r="F7" s="13" t="s">
        <v>89</v>
      </c>
      <c r="G7" s="4" t="s">
        <v>92</v>
      </c>
      <c r="H7" s="4" t="s">
        <v>93</v>
      </c>
      <c r="I7" s="4" t="s">
        <v>94</v>
      </c>
      <c r="J7" s="13" t="s">
        <v>89</v>
      </c>
    </row>
    <row r="8" spans="1:10">
      <c r="A8" s="5" t="s">
        <v>95</v>
      </c>
      <c r="B8" s="13" t="s">
        <v>89</v>
      </c>
      <c r="C8" s="14" t="s">
        <v>4</v>
      </c>
      <c r="D8" s="14" t="s">
        <v>72</v>
      </c>
      <c r="E8" s="14" t="s">
        <v>73</v>
      </c>
      <c r="F8" s="14" t="s">
        <v>96</v>
      </c>
      <c r="G8" s="14" t="s">
        <v>4</v>
      </c>
      <c r="H8" s="14" t="s">
        <v>72</v>
      </c>
      <c r="I8" s="14" t="s">
        <v>73</v>
      </c>
      <c r="J8" s="14" t="s">
        <v>96</v>
      </c>
    </row>
    <row r="9" spans="1:10">
      <c r="A9" s="5" t="s">
        <v>97</v>
      </c>
      <c r="B9" s="13" t="s">
        <v>98</v>
      </c>
      <c r="C9" s="4" t="s">
        <v>99</v>
      </c>
      <c r="D9" s="4" t="s">
        <v>99</v>
      </c>
      <c r="E9" s="4" t="s">
        <v>99</v>
      </c>
      <c r="F9" s="4" t="s">
        <v>100</v>
      </c>
      <c r="G9" s="4" t="s">
        <v>99</v>
      </c>
      <c r="H9" s="4" t="s">
        <v>99</v>
      </c>
      <c r="I9" s="4" t="s">
        <v>99</v>
      </c>
      <c r="J9" s="4" t="s">
        <v>100</v>
      </c>
    </row>
    <row r="10" spans="1:10">
      <c r="A10" s="5" t="s">
        <v>101</v>
      </c>
      <c r="B10" s="4" t="s">
        <v>102</v>
      </c>
      <c r="C10" s="12">
        <v>0.76249999999999996</v>
      </c>
      <c r="D10" s="12">
        <v>0.51580000000000004</v>
      </c>
      <c r="E10" s="12">
        <v>0.6492</v>
      </c>
      <c r="F10" s="4">
        <v>1.77</v>
      </c>
      <c r="G10" s="12">
        <v>0.76249999999999996</v>
      </c>
      <c r="H10" s="12">
        <v>0.51580000000000004</v>
      </c>
      <c r="I10" s="12">
        <v>0.6492</v>
      </c>
      <c r="J10" s="4">
        <v>1.77</v>
      </c>
    </row>
    <row r="11" spans="1:10">
      <c r="A11" s="5" t="s">
        <v>103</v>
      </c>
      <c r="B11" s="4" t="s">
        <v>8</v>
      </c>
      <c r="C11" s="17">
        <v>7.06</v>
      </c>
      <c r="D11" s="17">
        <v>3.33</v>
      </c>
      <c r="E11" s="17">
        <v>3.6</v>
      </c>
      <c r="F11" s="13" t="s">
        <v>89</v>
      </c>
      <c r="G11" s="17">
        <v>7.06</v>
      </c>
      <c r="H11" s="17">
        <v>3.33</v>
      </c>
      <c r="I11" s="17">
        <v>3.6</v>
      </c>
      <c r="J11" s="13" t="s">
        <v>89</v>
      </c>
    </row>
    <row r="12" spans="1:10">
      <c r="A12" s="5" t="s">
        <v>104</v>
      </c>
      <c r="B12" s="4" t="s">
        <v>102</v>
      </c>
      <c r="C12" s="12">
        <f>C10-(C10*(C11/100))</f>
        <v>0.70866750000000001</v>
      </c>
      <c r="D12" s="12">
        <f>D10-(D10*(D11/100))</f>
        <v>0.49862386000000003</v>
      </c>
      <c r="E12" s="12">
        <f>E10-(E10*(E11/100))</f>
        <v>0.62582879999999996</v>
      </c>
      <c r="F12" s="13" t="s">
        <v>89</v>
      </c>
      <c r="G12" s="12">
        <f>G10-(G10*(G11/100))</f>
        <v>0.70866750000000001</v>
      </c>
      <c r="H12" s="12">
        <f>H10-(H10*(H11/100))</f>
        <v>0.49862386000000003</v>
      </c>
      <c r="I12" s="12">
        <f>I10-(I10*(I11/100))</f>
        <v>0.62582879999999996</v>
      </c>
      <c r="J12" s="13" t="s">
        <v>89</v>
      </c>
    </row>
    <row r="13" spans="1:10">
      <c r="A13" s="5" t="s">
        <v>105</v>
      </c>
      <c r="B13" s="4" t="s">
        <v>106</v>
      </c>
      <c r="C13" s="17">
        <v>2</v>
      </c>
      <c r="D13" s="17">
        <v>2</v>
      </c>
      <c r="E13" s="17">
        <v>2</v>
      </c>
      <c r="F13" s="17">
        <v>2</v>
      </c>
      <c r="G13" s="17">
        <v>2</v>
      </c>
      <c r="H13" s="17">
        <v>2</v>
      </c>
      <c r="I13" s="17">
        <v>2</v>
      </c>
      <c r="J13" s="17">
        <v>2</v>
      </c>
    </row>
    <row r="14" spans="1:10">
      <c r="A14" s="5" t="s">
        <v>107</v>
      </c>
      <c r="B14" s="4" t="s">
        <v>108</v>
      </c>
      <c r="C14" s="12">
        <f t="shared" ref="C14:J14" si="0">C13*C10</f>
        <v>1.5249999999999999</v>
      </c>
      <c r="D14" s="12">
        <f t="shared" si="0"/>
        <v>1.0316000000000001</v>
      </c>
      <c r="E14" s="12">
        <f t="shared" si="0"/>
        <v>1.2984</v>
      </c>
      <c r="F14" s="12">
        <f t="shared" si="0"/>
        <v>3.54</v>
      </c>
      <c r="G14" s="12">
        <f t="shared" si="0"/>
        <v>1.5249999999999999</v>
      </c>
      <c r="H14" s="12">
        <f t="shared" si="0"/>
        <v>1.0316000000000001</v>
      </c>
      <c r="I14" s="12">
        <f t="shared" si="0"/>
        <v>1.2984</v>
      </c>
      <c r="J14" s="12">
        <f t="shared" si="0"/>
        <v>3.54</v>
      </c>
    </row>
    <row r="15" spans="1:10">
      <c r="A15" s="5" t="s">
        <v>109</v>
      </c>
      <c r="B15" s="4" t="s">
        <v>110</v>
      </c>
      <c r="C15" s="8">
        <f>(C13*C22)*C27</f>
        <v>2.0070000000000001</v>
      </c>
      <c r="D15" s="8">
        <f>C15</f>
        <v>2.0070000000000001</v>
      </c>
      <c r="E15" s="8">
        <f>C15</f>
        <v>2.0070000000000001</v>
      </c>
      <c r="F15" s="8">
        <f>C15</f>
        <v>2.0070000000000001</v>
      </c>
      <c r="G15" s="8">
        <f>C15</f>
        <v>2.0070000000000001</v>
      </c>
      <c r="H15" s="8">
        <f>C15</f>
        <v>2.0070000000000001</v>
      </c>
      <c r="I15" s="8">
        <f>C15</f>
        <v>2.0070000000000001</v>
      </c>
      <c r="J15" s="8">
        <f>C15</f>
        <v>2.0070000000000001</v>
      </c>
    </row>
    <row r="16" spans="1:10">
      <c r="A16" s="5" t="s">
        <v>111</v>
      </c>
      <c r="B16" s="4" t="s">
        <v>110</v>
      </c>
      <c r="C16" s="12">
        <f>(C15/88.7)*$C$23*2</f>
        <v>0.13576099210822998</v>
      </c>
      <c r="D16" s="12">
        <f>C16</f>
        <v>0.13576099210822998</v>
      </c>
      <c r="E16" s="12">
        <f>C16</f>
        <v>0.13576099210822998</v>
      </c>
      <c r="F16" s="12">
        <f>C16</f>
        <v>0.13576099210822998</v>
      </c>
      <c r="G16" s="12">
        <f>C16</f>
        <v>0.13576099210822998</v>
      </c>
      <c r="H16" s="12">
        <f>C16</f>
        <v>0.13576099210822998</v>
      </c>
      <c r="I16" s="12">
        <f>C16</f>
        <v>0.13576099210822998</v>
      </c>
      <c r="J16" s="12">
        <f>C16</f>
        <v>0.13576099210822998</v>
      </c>
    </row>
    <row r="17" spans="1:18">
      <c r="A17" s="5" t="s">
        <v>111</v>
      </c>
      <c r="B17" s="4" t="s">
        <v>112</v>
      </c>
      <c r="C17" s="8">
        <f>(C16/2)*22.4*(293/273)</f>
        <v>1.6319167461625181</v>
      </c>
      <c r="D17" s="8">
        <f>C17</f>
        <v>1.6319167461625181</v>
      </c>
      <c r="E17" s="8">
        <f>D17</f>
        <v>1.6319167461625181</v>
      </c>
      <c r="F17" s="8">
        <f>C17</f>
        <v>1.6319167461625181</v>
      </c>
      <c r="G17" s="8">
        <f>C17</f>
        <v>1.6319167461625181</v>
      </c>
      <c r="H17" s="8">
        <f>C17</f>
        <v>1.6319167461625181</v>
      </c>
      <c r="I17" s="8">
        <f>C17</f>
        <v>1.6319167461625181</v>
      </c>
      <c r="J17" s="8">
        <f>C17</f>
        <v>1.6319167461625181</v>
      </c>
    </row>
    <row r="18" spans="1:18">
      <c r="N18" s="78"/>
    </row>
    <row r="19" spans="1:18">
      <c r="A19" s="11" t="s">
        <v>113</v>
      </c>
      <c r="B19" s="10" t="s">
        <v>85</v>
      </c>
      <c r="C19" s="10">
        <v>1</v>
      </c>
      <c r="D19" s="10">
        <v>2</v>
      </c>
      <c r="E19" s="10">
        <v>3</v>
      </c>
    </row>
    <row r="20" spans="1:18">
      <c r="A20" s="5" t="s">
        <v>114</v>
      </c>
      <c r="B20" s="4" t="s">
        <v>115</v>
      </c>
      <c r="C20" s="4">
        <v>25</v>
      </c>
      <c r="D20" s="4">
        <v>25</v>
      </c>
      <c r="E20" s="4">
        <v>25</v>
      </c>
    </row>
    <row r="21" spans="1:18" ht="16.5">
      <c r="A21" s="5" t="s">
        <v>116</v>
      </c>
      <c r="B21" s="4" t="s">
        <v>117</v>
      </c>
      <c r="C21" s="9">
        <v>210</v>
      </c>
      <c r="D21" s="9">
        <v>220</v>
      </c>
      <c r="E21" s="9">
        <v>230</v>
      </c>
    </row>
    <row r="22" spans="1:18">
      <c r="A22" s="5" t="s">
        <v>56</v>
      </c>
      <c r="B22" s="4" t="s">
        <v>118</v>
      </c>
      <c r="C22" s="8">
        <v>1.5</v>
      </c>
      <c r="D22" s="8">
        <v>1.5</v>
      </c>
      <c r="E22" s="8">
        <v>1.5</v>
      </c>
    </row>
    <row r="23" spans="1:18">
      <c r="A23" s="5" t="s">
        <v>119</v>
      </c>
      <c r="B23" s="4" t="s">
        <v>120</v>
      </c>
      <c r="C23" s="9">
        <v>3</v>
      </c>
      <c r="D23" s="9">
        <v>3</v>
      </c>
      <c r="E23" s="9">
        <v>3</v>
      </c>
    </row>
    <row r="24" spans="1:18">
      <c r="A24" s="5" t="s">
        <v>121</v>
      </c>
      <c r="B24" s="4" t="s">
        <v>122</v>
      </c>
      <c r="C24" s="4">
        <v>72</v>
      </c>
      <c r="D24" s="4">
        <v>72</v>
      </c>
      <c r="E24" s="4">
        <v>72</v>
      </c>
    </row>
    <row r="27" spans="1:18" ht="16.5">
      <c r="A27" s="5" t="s">
        <v>123</v>
      </c>
      <c r="B27" s="34" t="s">
        <v>38</v>
      </c>
      <c r="C27" s="12">
        <v>0.66900000000000004</v>
      </c>
      <c r="D27" s="7" t="s">
        <v>124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6"/>
    </row>
    <row r="28" spans="1:18">
      <c r="A28" s="5" t="s">
        <v>125</v>
      </c>
      <c r="B28" s="13" t="s">
        <v>89</v>
      </c>
      <c r="C28" s="28">
        <v>88.7</v>
      </c>
      <c r="D28" s="7" t="s">
        <v>126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6"/>
    </row>
    <row r="29" spans="1:18">
      <c r="A29" s="1"/>
      <c r="B29" s="1"/>
    </row>
    <row r="30" spans="1:18">
      <c r="A30" s="1"/>
      <c r="B30" s="1"/>
    </row>
    <row r="31" spans="1:18">
      <c r="A31" s="22" t="s">
        <v>127</v>
      </c>
      <c r="B31" s="2" t="s">
        <v>128</v>
      </c>
      <c r="C31" s="39">
        <f>(C15/C16)</f>
        <v>14.783333333333335</v>
      </c>
      <c r="D31" s="72"/>
    </row>
    <row r="32" spans="1:18">
      <c r="A32" s="22"/>
      <c r="C32" s="73"/>
      <c r="D32" s="72"/>
    </row>
    <row r="33" spans="1:4">
      <c r="A33" s="22"/>
      <c r="C33" s="2"/>
      <c r="D33" s="72"/>
    </row>
    <row r="35" spans="1:4">
      <c r="A35" s="37"/>
      <c r="C35" s="2"/>
    </row>
    <row r="36" spans="1:4">
      <c r="A36" s="38"/>
      <c r="C36" s="39"/>
    </row>
    <row r="37" spans="1:4">
      <c r="A37" s="38"/>
      <c r="C37" s="26"/>
    </row>
    <row r="38" spans="1:4">
      <c r="A38" s="1"/>
    </row>
    <row r="39" spans="1:4">
      <c r="A39" s="1"/>
    </row>
    <row r="40" spans="1:4">
      <c r="A40" s="1"/>
    </row>
    <row r="41" spans="1:4">
      <c r="A41" s="1"/>
    </row>
    <row r="42" spans="1:4" s="2" customFormat="1">
      <c r="A42" s="1"/>
    </row>
    <row r="43" spans="1:4" s="2" customFormat="1">
      <c r="A43" s="1"/>
    </row>
    <row r="44" spans="1:4" s="2" customFormat="1">
      <c r="A44" s="1"/>
    </row>
    <row r="45" spans="1:4" s="2" customFormat="1">
      <c r="A45" s="1"/>
    </row>
    <row r="46" spans="1:4" s="2" customFormat="1">
      <c r="A46" s="1"/>
    </row>
    <row r="47" spans="1:4" s="2" customFormat="1">
      <c r="A47" s="1"/>
    </row>
    <row r="48" spans="1:4" s="2" customFormat="1">
      <c r="A48" s="1"/>
    </row>
    <row r="49" spans="1:2" s="2" customFormat="1">
      <c r="A49" s="1"/>
    </row>
    <row r="50" spans="1:2" s="2" customFormat="1">
      <c r="A50" s="1"/>
    </row>
    <row r="51" spans="1:2" s="2" customFormat="1">
      <c r="A51" s="1"/>
    </row>
    <row r="52" spans="1:2" s="2" customFormat="1">
      <c r="A52" s="1"/>
    </row>
    <row r="53" spans="1:2" s="2" customFormat="1">
      <c r="A53" s="1"/>
    </row>
    <row r="54" spans="1:2" s="2" customFormat="1">
      <c r="A54" s="1"/>
    </row>
    <row r="55" spans="1:2" s="2" customFormat="1">
      <c r="A55" s="1"/>
    </row>
    <row r="56" spans="1:2" s="2" customFormat="1">
      <c r="A56" s="1"/>
    </row>
    <row r="57" spans="1:2" s="2" customFormat="1">
      <c r="A57" s="1"/>
    </row>
    <row r="61" spans="1:2">
      <c r="A61" s="2" t="s">
        <v>129</v>
      </c>
      <c r="B61" s="2" t="s">
        <v>130</v>
      </c>
    </row>
  </sheetData>
  <mergeCells count="4">
    <mergeCell ref="B2:J2"/>
    <mergeCell ref="B3:J3"/>
    <mergeCell ref="C4:F4"/>
    <mergeCell ref="G4:J4"/>
  </mergeCells>
  <pageMargins left="0.7" right="0.7" top="0.75" bottom="0.75" header="0.3" footer="0.3"/>
  <ignoredErrors>
    <ignoredError sqref="D16" formula="1"/>
  </ignoredErrors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BD38-CDE9-4753-BBDC-78636E0A6778}">
  <sheetPr codeName="Sheet2"/>
  <dimension ref="B4:AD57"/>
  <sheetViews>
    <sheetView zoomScale="120" zoomScaleNormal="120" workbookViewId="0">
      <selection activeCell="M41" sqref="M41"/>
    </sheetView>
  </sheetViews>
  <sheetFormatPr defaultColWidth="9.140625" defaultRowHeight="15"/>
  <cols>
    <col min="1" max="1" width="9.140625" style="18"/>
    <col min="2" max="2" width="9.140625" style="18" customWidth="1"/>
    <col min="3" max="4" width="3.5703125" style="18" customWidth="1"/>
    <col min="5" max="5" width="4.85546875" style="18" customWidth="1"/>
    <col min="6" max="9" width="9.140625" style="18"/>
    <col min="10" max="10" width="9.140625" style="18" customWidth="1"/>
    <col min="11" max="11" width="12.5703125" style="18" customWidth="1"/>
    <col min="12" max="14" width="9.140625" style="18"/>
    <col min="15" max="15" width="23.5703125" style="18" bestFit="1" customWidth="1"/>
    <col min="16" max="16" width="9.140625" style="19"/>
    <col min="17" max="17" width="8.5703125" style="19" customWidth="1"/>
    <col min="18" max="19" width="9.140625" style="18"/>
    <col min="20" max="20" width="22.85546875" style="18" bestFit="1" customWidth="1"/>
    <col min="21" max="21" width="11" style="19" customWidth="1"/>
    <col min="22" max="22" width="11.7109375" style="19" customWidth="1"/>
    <col min="23" max="23" width="10.85546875" style="19" customWidth="1"/>
    <col min="24" max="24" width="12.7109375" style="18" customWidth="1"/>
    <col min="25" max="25" width="9.140625" style="18"/>
    <col min="26" max="26" width="14.85546875" style="18" customWidth="1"/>
    <col min="27" max="27" width="14" style="18" customWidth="1"/>
    <col min="28" max="16384" width="9.140625" style="18"/>
  </cols>
  <sheetData>
    <row r="4" spans="2:30">
      <c r="B4" s="252" t="s">
        <v>131</v>
      </c>
      <c r="C4" s="252"/>
      <c r="D4" s="252"/>
      <c r="E4" s="252"/>
      <c r="F4" s="252"/>
      <c r="G4" s="252"/>
      <c r="H4" s="252"/>
      <c r="I4" s="252"/>
      <c r="J4" s="252"/>
      <c r="K4" s="252"/>
      <c r="U4" s="258" t="s">
        <v>132</v>
      </c>
      <c r="V4" s="258"/>
      <c r="W4" s="258"/>
      <c r="X4" s="258"/>
      <c r="Z4" s="258" t="s">
        <v>133</v>
      </c>
      <c r="AA4" s="258"/>
      <c r="AB4" s="258"/>
      <c r="AC4" s="258"/>
    </row>
    <row r="5" spans="2:30">
      <c r="T5" s="257" t="s">
        <v>134</v>
      </c>
      <c r="U5" s="257" t="s">
        <v>88</v>
      </c>
      <c r="V5" s="257"/>
      <c r="W5" s="257"/>
      <c r="X5" s="33"/>
      <c r="Y5" s="1"/>
      <c r="Z5" s="257" t="s">
        <v>88</v>
      </c>
      <c r="AA5" s="257"/>
      <c r="AB5" s="257"/>
      <c r="AC5" s="33"/>
      <c r="AD5" s="1"/>
    </row>
    <row r="6" spans="2:30">
      <c r="C6" s="20"/>
      <c r="O6" s="22" t="s">
        <v>135</v>
      </c>
      <c r="P6" s="19" t="s">
        <v>98</v>
      </c>
      <c r="Q6" s="19">
        <v>4.4000000000000004</v>
      </c>
      <c r="T6" s="259"/>
      <c r="U6" s="32">
        <v>1</v>
      </c>
      <c r="V6" s="32">
        <v>2</v>
      </c>
      <c r="W6" s="32">
        <v>3</v>
      </c>
      <c r="X6" s="32">
        <v>4</v>
      </c>
      <c r="Y6" s="2"/>
      <c r="Z6" s="32">
        <v>5</v>
      </c>
      <c r="AA6" s="32">
        <v>6</v>
      </c>
      <c r="AB6" s="32">
        <v>7</v>
      </c>
      <c r="AC6" s="32">
        <v>8</v>
      </c>
      <c r="AD6" s="2"/>
    </row>
    <row r="7" spans="2:30" ht="15" customHeight="1">
      <c r="D7" s="253"/>
      <c r="E7" s="30"/>
      <c r="F7" s="27"/>
      <c r="G7" s="254" t="s">
        <v>136</v>
      </c>
      <c r="H7" s="254"/>
      <c r="I7" s="254"/>
      <c r="J7" s="254"/>
      <c r="K7" s="254"/>
      <c r="O7" s="22" t="s">
        <v>137</v>
      </c>
      <c r="P7" s="19" t="s">
        <v>98</v>
      </c>
      <c r="Q7" s="2">
        <v>300</v>
      </c>
      <c r="R7" s="1"/>
      <c r="S7" s="1"/>
      <c r="T7" s="29" t="s">
        <v>138</v>
      </c>
      <c r="U7" s="28" t="s">
        <v>4</v>
      </c>
      <c r="V7" s="28" t="s">
        <v>72</v>
      </c>
      <c r="W7" s="28" t="s">
        <v>73</v>
      </c>
      <c r="X7" s="28" t="s">
        <v>139</v>
      </c>
      <c r="Y7" s="1"/>
      <c r="Z7" s="28" t="s">
        <v>4</v>
      </c>
      <c r="AA7" s="28" t="s">
        <v>72</v>
      </c>
      <c r="AB7" s="28" t="s">
        <v>73</v>
      </c>
      <c r="AC7" s="28" t="s">
        <v>139</v>
      </c>
      <c r="AD7" s="1"/>
    </row>
    <row r="8" spans="2:30">
      <c r="D8" s="253"/>
      <c r="F8" s="27"/>
      <c r="G8" s="254"/>
      <c r="H8" s="254"/>
      <c r="I8" s="254"/>
      <c r="J8" s="254"/>
      <c r="K8" s="254"/>
      <c r="O8" s="22" t="s">
        <v>140</v>
      </c>
      <c r="P8" s="19" t="s">
        <v>106</v>
      </c>
      <c r="Q8" s="26">
        <f>(22/28)*(Q6*Q6)*Q7/1000</f>
        <v>4.5634285714285721</v>
      </c>
      <c r="R8" s="1"/>
      <c r="S8" s="1"/>
      <c r="T8" s="31" t="s">
        <v>141</v>
      </c>
      <c r="U8" s="16">
        <f>930-50-U9-U10</f>
        <v>384</v>
      </c>
      <c r="V8" s="16">
        <f t="shared" ref="V8:W8" si="0">930-50-V9-V10</f>
        <v>378</v>
      </c>
      <c r="W8" s="16">
        <f t="shared" si="0"/>
        <v>380</v>
      </c>
      <c r="X8" s="16"/>
      <c r="Y8" s="2"/>
      <c r="Z8" s="16">
        <f>930-50-Z9-Z10</f>
        <v>380</v>
      </c>
      <c r="AA8" s="16">
        <f>930-50-AA9-AA10</f>
        <v>387</v>
      </c>
      <c r="AB8" s="16">
        <f>930-50-AB9-AB10</f>
        <v>386</v>
      </c>
      <c r="AC8" s="16"/>
      <c r="AD8" s="2"/>
    </row>
    <row r="9" spans="2:30">
      <c r="D9" s="253"/>
      <c r="E9" s="30"/>
      <c r="F9" s="27"/>
      <c r="G9" s="255" t="s">
        <v>142</v>
      </c>
      <c r="H9" s="255"/>
      <c r="I9" s="255"/>
      <c r="J9" s="255"/>
      <c r="K9" s="255"/>
      <c r="O9" s="22" t="s">
        <v>105</v>
      </c>
      <c r="P9" s="19" t="s">
        <v>106</v>
      </c>
      <c r="Q9" s="2">
        <v>2</v>
      </c>
      <c r="R9" s="1"/>
      <c r="S9" s="1"/>
      <c r="T9" s="29" t="s">
        <v>143</v>
      </c>
      <c r="U9" s="28">
        <v>196</v>
      </c>
      <c r="V9" s="28">
        <v>202</v>
      </c>
      <c r="W9" s="28">
        <v>200</v>
      </c>
      <c r="X9" s="28"/>
      <c r="Y9" s="2"/>
      <c r="Z9" s="28">
        <v>200</v>
      </c>
      <c r="AA9" s="28">
        <v>193</v>
      </c>
      <c r="AB9" s="28">
        <v>194</v>
      </c>
      <c r="AC9" s="28"/>
      <c r="AD9" s="2"/>
    </row>
    <row r="10" spans="2:30">
      <c r="D10" s="253"/>
      <c r="F10" s="27"/>
      <c r="G10" s="255"/>
      <c r="H10" s="255"/>
      <c r="I10" s="255"/>
      <c r="J10" s="255"/>
      <c r="K10" s="255"/>
      <c r="O10" s="22"/>
      <c r="Q10" s="23"/>
      <c r="R10" s="1"/>
      <c r="S10" s="1"/>
      <c r="T10" s="29" t="s">
        <v>144</v>
      </c>
      <c r="U10" s="28">
        <v>300</v>
      </c>
      <c r="V10" s="28">
        <v>300</v>
      </c>
      <c r="W10" s="28">
        <v>300</v>
      </c>
      <c r="X10" s="28"/>
      <c r="Y10" s="2"/>
      <c r="Z10" s="28">
        <v>300</v>
      </c>
      <c r="AA10" s="28">
        <v>300</v>
      </c>
      <c r="AB10" s="28">
        <v>300</v>
      </c>
      <c r="AC10" s="28"/>
      <c r="AD10" s="2"/>
    </row>
    <row r="11" spans="2:30">
      <c r="D11" s="253"/>
      <c r="F11" s="27"/>
      <c r="G11" s="255"/>
      <c r="H11" s="255"/>
      <c r="I11" s="255"/>
      <c r="J11" s="255"/>
      <c r="K11" s="255"/>
      <c r="O11" s="22"/>
      <c r="Q11" s="23"/>
      <c r="R11" s="1"/>
      <c r="S11" s="1"/>
    </row>
    <row r="12" spans="2:30">
      <c r="D12" s="253"/>
      <c r="E12" s="20"/>
      <c r="F12" s="27"/>
      <c r="G12" s="255"/>
      <c r="H12" s="255"/>
      <c r="I12" s="255"/>
      <c r="J12" s="255"/>
      <c r="K12" s="255"/>
      <c r="O12" s="22"/>
      <c r="Q12" s="26"/>
    </row>
    <row r="13" spans="2:30">
      <c r="D13" s="253"/>
      <c r="G13" s="256" t="s">
        <v>145</v>
      </c>
      <c r="H13" s="254"/>
      <c r="I13" s="254"/>
      <c r="J13" s="254"/>
      <c r="K13" s="254"/>
      <c r="Q13" s="21"/>
    </row>
    <row r="14" spans="2:30">
      <c r="D14" s="253"/>
      <c r="G14" s="254"/>
      <c r="H14" s="254"/>
      <c r="I14" s="254"/>
      <c r="J14" s="254"/>
      <c r="K14" s="254"/>
      <c r="Q14" s="21"/>
    </row>
    <row r="15" spans="2:30">
      <c r="D15" s="253"/>
      <c r="G15" s="254"/>
      <c r="H15" s="254"/>
      <c r="I15" s="254"/>
      <c r="J15" s="254"/>
      <c r="K15" s="254"/>
      <c r="Q15" s="21"/>
    </row>
    <row r="16" spans="2:30">
      <c r="D16" s="253"/>
      <c r="G16" s="254"/>
      <c r="H16" s="254"/>
      <c r="I16" s="254"/>
      <c r="J16" s="254"/>
      <c r="K16" s="254"/>
      <c r="Q16" s="25"/>
    </row>
    <row r="17" spans="3:17">
      <c r="D17" s="253"/>
      <c r="G17" s="254"/>
      <c r="H17" s="254"/>
      <c r="I17" s="254"/>
      <c r="J17" s="254"/>
      <c r="K17" s="254"/>
      <c r="O17" s="22"/>
      <c r="Q17" s="2"/>
    </row>
    <row r="18" spans="3:17">
      <c r="D18" s="253"/>
      <c r="E18" s="20"/>
      <c r="G18" s="254"/>
      <c r="H18" s="254"/>
      <c r="I18" s="254"/>
      <c r="J18" s="254"/>
      <c r="K18" s="254"/>
      <c r="M18" s="24"/>
      <c r="O18" s="22"/>
      <c r="Q18" s="23"/>
    </row>
    <row r="19" spans="3:17">
      <c r="D19" s="253"/>
      <c r="G19" s="255" t="s">
        <v>146</v>
      </c>
      <c r="H19" s="255"/>
      <c r="I19" s="255"/>
      <c r="J19" s="255"/>
      <c r="K19" s="255"/>
      <c r="O19" s="22"/>
    </row>
    <row r="20" spans="3:17">
      <c r="D20" s="253"/>
      <c r="G20" s="255"/>
      <c r="H20" s="255"/>
      <c r="I20" s="255"/>
      <c r="J20" s="255"/>
      <c r="K20" s="255"/>
      <c r="P20" s="21"/>
    </row>
    <row r="21" spans="3:17">
      <c r="D21" s="253"/>
      <c r="G21" s="255"/>
      <c r="H21" s="255"/>
      <c r="I21" s="255"/>
      <c r="J21" s="255"/>
      <c r="K21" s="255"/>
      <c r="P21" s="21"/>
    </row>
    <row r="22" spans="3:17">
      <c r="D22" s="253"/>
      <c r="G22" s="255"/>
      <c r="H22" s="255"/>
      <c r="I22" s="255"/>
      <c r="J22" s="255"/>
      <c r="K22" s="255"/>
    </row>
    <row r="23" spans="3:17">
      <c r="D23" s="253"/>
      <c r="G23" s="255"/>
      <c r="H23" s="255"/>
      <c r="I23" s="255"/>
      <c r="J23" s="255"/>
      <c r="K23" s="255"/>
    </row>
    <row r="24" spans="3:17">
      <c r="C24" s="20"/>
      <c r="D24" s="253"/>
      <c r="E24" s="20"/>
      <c r="G24" s="255"/>
      <c r="H24" s="255"/>
      <c r="I24" s="255"/>
      <c r="J24" s="255"/>
      <c r="K24" s="255"/>
    </row>
    <row r="27" spans="3:17">
      <c r="C27" s="18" t="s">
        <v>147</v>
      </c>
    </row>
    <row r="28" spans="3:17">
      <c r="C28" s="18" t="s">
        <v>148</v>
      </c>
    </row>
    <row r="29" spans="3:17">
      <c r="C29" s="18" t="s">
        <v>149</v>
      </c>
    </row>
    <row r="57" spans="30:30">
      <c r="AD57" s="18">
        <f>AD56*40</f>
        <v>0</v>
      </c>
    </row>
  </sheetData>
  <mergeCells count="11">
    <mergeCell ref="Z5:AB5"/>
    <mergeCell ref="U4:X4"/>
    <mergeCell ref="Z4:AC4"/>
    <mergeCell ref="T5:T6"/>
    <mergeCell ref="U5:W5"/>
    <mergeCell ref="B4:K4"/>
    <mergeCell ref="D7:D24"/>
    <mergeCell ref="G7:K8"/>
    <mergeCell ref="G9:K12"/>
    <mergeCell ref="G13:K18"/>
    <mergeCell ref="G19:K2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FE99C-BD82-4AE1-A4F5-69952B6A3E35}">
  <sheetPr codeName="Sheet4"/>
  <dimension ref="A1:R41"/>
  <sheetViews>
    <sheetView zoomScale="140" zoomScaleNormal="140" workbookViewId="0">
      <selection activeCell="I32" sqref="I32"/>
    </sheetView>
  </sheetViews>
  <sheetFormatPr defaultColWidth="9.140625" defaultRowHeight="15"/>
  <cols>
    <col min="1" max="1" width="6.28515625" style="2" bestFit="1" customWidth="1"/>
    <col min="2" max="2" width="18" style="2" bestFit="1" customWidth="1"/>
    <col min="3" max="3" width="19.42578125" style="2" bestFit="1" customWidth="1"/>
    <col min="4" max="4" width="17.7109375" style="2" bestFit="1" customWidth="1"/>
    <col min="5" max="5" width="12.42578125" style="2" bestFit="1" customWidth="1"/>
    <col min="6" max="7" width="14.85546875" style="2" bestFit="1" customWidth="1"/>
    <col min="8" max="8" width="14.5703125" style="2" bestFit="1" customWidth="1"/>
    <col min="9" max="9" width="95.5703125" style="1" bestFit="1" customWidth="1"/>
    <col min="10" max="11" width="9.140625" style="1"/>
    <col min="12" max="12" width="13.140625" style="1" customWidth="1"/>
    <col min="13" max="13" width="14.85546875" style="2" bestFit="1" customWidth="1"/>
    <col min="14" max="14" width="21.42578125" style="1" bestFit="1" customWidth="1"/>
    <col min="15" max="15" width="16.7109375" style="1" bestFit="1" customWidth="1"/>
    <col min="16" max="16" width="16.7109375" style="1" customWidth="1"/>
    <col min="17" max="17" width="17.42578125" style="2" bestFit="1" customWidth="1"/>
    <col min="18" max="18" width="47.85546875" style="1" bestFit="1" customWidth="1"/>
    <col min="19" max="16384" width="9.140625" style="1"/>
  </cols>
  <sheetData>
    <row r="1" spans="1:18">
      <c r="A1" s="35" t="s">
        <v>150</v>
      </c>
      <c r="B1" s="35" t="s">
        <v>151</v>
      </c>
      <c r="C1" s="35" t="s">
        <v>152</v>
      </c>
      <c r="D1" s="35" t="s">
        <v>153</v>
      </c>
      <c r="E1" s="35" t="s">
        <v>154</v>
      </c>
      <c r="F1" s="35" t="s">
        <v>155</v>
      </c>
      <c r="G1" s="35" t="s">
        <v>156</v>
      </c>
      <c r="H1" s="35" t="s">
        <v>157</v>
      </c>
      <c r="I1" s="35" t="s">
        <v>158</v>
      </c>
      <c r="L1" s="35" t="s">
        <v>159</v>
      </c>
      <c r="M1" s="35" t="s">
        <v>160</v>
      </c>
      <c r="N1" s="35" t="s">
        <v>161</v>
      </c>
      <c r="O1" s="35" t="s">
        <v>162</v>
      </c>
      <c r="P1" s="35" t="s">
        <v>163</v>
      </c>
      <c r="Q1" s="35" t="s">
        <v>164</v>
      </c>
      <c r="R1" s="35"/>
    </row>
    <row r="2" spans="1:18">
      <c r="A2" s="16">
        <v>1</v>
      </c>
      <c r="B2" s="16">
        <v>25</v>
      </c>
      <c r="C2" s="16">
        <f>B2</f>
        <v>25</v>
      </c>
      <c r="D2" s="16">
        <v>0</v>
      </c>
      <c r="E2" s="16">
        <v>2</v>
      </c>
      <c r="F2" s="16" t="s">
        <v>165</v>
      </c>
      <c r="G2" s="16"/>
      <c r="H2" s="16">
        <v>1</v>
      </c>
      <c r="I2" s="3"/>
      <c r="L2" s="260">
        <v>1</v>
      </c>
      <c r="M2" s="28">
        <f>(C2-B2)</f>
        <v>0</v>
      </c>
      <c r="N2" s="28">
        <v>0</v>
      </c>
      <c r="O2" s="28">
        <f>B2</f>
        <v>25</v>
      </c>
      <c r="P2" s="28"/>
      <c r="Q2" s="28">
        <f>H2</f>
        <v>1</v>
      </c>
      <c r="R2" s="7"/>
    </row>
    <row r="3" spans="1:18">
      <c r="A3" s="16">
        <f t="shared" ref="A3:A10" si="0">A2+1</f>
        <v>2</v>
      </c>
      <c r="B3" s="16">
        <v>25</v>
      </c>
      <c r="C3" s="16">
        <v>300</v>
      </c>
      <c r="D3" s="16">
        <v>50</v>
      </c>
      <c r="E3" s="16">
        <v>2</v>
      </c>
      <c r="F3" s="16" t="s">
        <v>165</v>
      </c>
      <c r="G3" s="16"/>
      <c r="H3" s="16">
        <v>1</v>
      </c>
      <c r="I3" s="3"/>
      <c r="L3" s="261"/>
      <c r="M3" s="28">
        <f>E2</f>
        <v>2</v>
      </c>
      <c r="N3" s="28">
        <f t="shared" ref="N3:N19" si="1">M3+N2</f>
        <v>2</v>
      </c>
      <c r="O3" s="28">
        <f>C2</f>
        <v>25</v>
      </c>
      <c r="P3" s="28"/>
      <c r="Q3" s="28">
        <f>H2</f>
        <v>1</v>
      </c>
      <c r="R3" s="7"/>
    </row>
    <row r="4" spans="1:18">
      <c r="A4" s="16">
        <f t="shared" si="0"/>
        <v>3</v>
      </c>
      <c r="B4" s="16">
        <v>300</v>
      </c>
      <c r="C4" s="16">
        <v>150</v>
      </c>
      <c r="D4" s="16">
        <v>50</v>
      </c>
      <c r="E4" s="16">
        <v>0</v>
      </c>
      <c r="F4" s="16" t="s">
        <v>165</v>
      </c>
      <c r="G4" s="16"/>
      <c r="H4" s="16">
        <v>1</v>
      </c>
      <c r="I4" s="3"/>
      <c r="L4" s="260">
        <v>2</v>
      </c>
      <c r="M4" s="36">
        <f>(C3-B3)/D3</f>
        <v>5.5</v>
      </c>
      <c r="N4" s="36">
        <f t="shared" si="1"/>
        <v>7.5</v>
      </c>
      <c r="O4" s="28">
        <f>C3</f>
        <v>300</v>
      </c>
      <c r="P4" s="28"/>
      <c r="Q4" s="28">
        <f>H3</f>
        <v>1</v>
      </c>
      <c r="R4" s="7"/>
    </row>
    <row r="5" spans="1:18">
      <c r="A5" s="16">
        <f t="shared" si="0"/>
        <v>4</v>
      </c>
      <c r="B5" s="16">
        <v>150</v>
      </c>
      <c r="C5" s="16">
        <v>150</v>
      </c>
      <c r="D5" s="16">
        <v>0</v>
      </c>
      <c r="E5" s="16">
        <v>2</v>
      </c>
      <c r="F5" s="16"/>
      <c r="G5" s="16" t="s">
        <v>165</v>
      </c>
      <c r="H5" s="16">
        <v>1</v>
      </c>
      <c r="I5" s="3" t="s">
        <v>166</v>
      </c>
      <c r="L5" s="261"/>
      <c r="M5" s="36">
        <f>E3</f>
        <v>2</v>
      </c>
      <c r="N5" s="36">
        <f t="shared" si="1"/>
        <v>9.5</v>
      </c>
      <c r="O5" s="28">
        <f>C3</f>
        <v>300</v>
      </c>
      <c r="P5" s="28"/>
      <c r="Q5" s="28">
        <f>H3</f>
        <v>1</v>
      </c>
      <c r="R5" s="7"/>
    </row>
    <row r="6" spans="1:18">
      <c r="A6" s="16">
        <f t="shared" si="0"/>
        <v>5</v>
      </c>
      <c r="B6" s="16">
        <v>150</v>
      </c>
      <c r="C6" s="16">
        <v>150</v>
      </c>
      <c r="D6" s="16">
        <v>0</v>
      </c>
      <c r="E6" s="16">
        <v>1</v>
      </c>
      <c r="F6" s="16"/>
      <c r="G6" s="16" t="s">
        <v>165</v>
      </c>
      <c r="H6" s="16">
        <v>5</v>
      </c>
      <c r="I6" s="7" t="s">
        <v>167</v>
      </c>
      <c r="L6" s="260">
        <v>3</v>
      </c>
      <c r="M6" s="36">
        <f>(-C4+B4)/D4</f>
        <v>3</v>
      </c>
      <c r="N6" s="36">
        <f t="shared" si="1"/>
        <v>12.5</v>
      </c>
      <c r="O6" s="28">
        <f>C4</f>
        <v>150</v>
      </c>
      <c r="P6" s="28"/>
      <c r="Q6" s="28">
        <f>H4</f>
        <v>1</v>
      </c>
      <c r="R6" s="7"/>
    </row>
    <row r="7" spans="1:18">
      <c r="A7" s="16">
        <f t="shared" si="0"/>
        <v>6</v>
      </c>
      <c r="B7" s="16">
        <v>150</v>
      </c>
      <c r="C7" s="16">
        <v>300</v>
      </c>
      <c r="D7" s="16">
        <v>50</v>
      </c>
      <c r="E7" s="16">
        <v>2</v>
      </c>
      <c r="F7" s="16"/>
      <c r="G7" s="16" t="s">
        <v>165</v>
      </c>
      <c r="H7" s="16">
        <v>5</v>
      </c>
      <c r="I7" s="7"/>
      <c r="L7" s="261"/>
      <c r="M7" s="36">
        <f>E4</f>
        <v>0</v>
      </c>
      <c r="N7" s="36">
        <f t="shared" si="1"/>
        <v>12.5</v>
      </c>
      <c r="O7" s="28">
        <f>C4</f>
        <v>150</v>
      </c>
      <c r="P7" s="28"/>
      <c r="Q7" s="28">
        <f>H4</f>
        <v>1</v>
      </c>
      <c r="R7" s="7"/>
    </row>
    <row r="8" spans="1:18">
      <c r="A8" s="16">
        <f t="shared" si="0"/>
        <v>7</v>
      </c>
      <c r="B8" s="16">
        <v>300</v>
      </c>
      <c r="C8" s="16">
        <v>210</v>
      </c>
      <c r="D8" s="16">
        <v>50</v>
      </c>
      <c r="E8" s="16">
        <v>0</v>
      </c>
      <c r="F8" s="16"/>
      <c r="G8" s="16" t="s">
        <v>165</v>
      </c>
      <c r="H8" s="16">
        <v>5</v>
      </c>
      <c r="I8" s="3"/>
      <c r="L8" s="260">
        <v>4</v>
      </c>
      <c r="M8" s="36">
        <f>(B5-C5)</f>
        <v>0</v>
      </c>
      <c r="N8" s="36">
        <f t="shared" si="1"/>
        <v>12.5</v>
      </c>
      <c r="O8" s="28">
        <f>C5</f>
        <v>150</v>
      </c>
      <c r="P8" s="28"/>
      <c r="Q8" s="28">
        <v>1</v>
      </c>
      <c r="R8" s="7" t="str">
        <f>I5</f>
        <v>Switch to H₂ gas and flush the system until N₂ is reduced to &lt;0.5 vol%, confirm through online GC</v>
      </c>
    </row>
    <row r="9" spans="1:18">
      <c r="A9" s="16">
        <f t="shared" si="0"/>
        <v>8</v>
      </c>
      <c r="B9" s="16">
        <v>210</v>
      </c>
      <c r="C9" s="16">
        <v>210</v>
      </c>
      <c r="D9" s="16">
        <v>0</v>
      </c>
      <c r="E9" s="16">
        <v>1</v>
      </c>
      <c r="F9" s="16"/>
      <c r="G9" s="16" t="s">
        <v>165</v>
      </c>
      <c r="H9" s="16">
        <v>25</v>
      </c>
      <c r="I9" s="3" t="s">
        <v>168</v>
      </c>
      <c r="L9" s="261"/>
      <c r="M9" s="36">
        <f>E5</f>
        <v>2</v>
      </c>
      <c r="N9" s="36">
        <f t="shared" si="1"/>
        <v>14.5</v>
      </c>
      <c r="O9" s="28">
        <f>C5</f>
        <v>150</v>
      </c>
      <c r="P9" s="28"/>
      <c r="Q9" s="28">
        <f>H5</f>
        <v>1</v>
      </c>
    </row>
    <row r="10" spans="1:18">
      <c r="A10" s="16">
        <f t="shared" si="0"/>
        <v>9</v>
      </c>
      <c r="B10" s="16">
        <v>210</v>
      </c>
      <c r="C10" s="16">
        <v>210</v>
      </c>
      <c r="D10" s="16">
        <v>0</v>
      </c>
      <c r="E10" s="16">
        <v>1</v>
      </c>
      <c r="F10" s="16"/>
      <c r="G10" s="16" t="s">
        <v>165</v>
      </c>
      <c r="H10" s="16">
        <v>25</v>
      </c>
      <c r="I10" s="3" t="s">
        <v>169</v>
      </c>
      <c r="L10" s="260">
        <v>5</v>
      </c>
      <c r="M10" s="36">
        <f>(B6-C6)</f>
        <v>0</v>
      </c>
      <c r="N10" s="36">
        <f t="shared" si="1"/>
        <v>14.5</v>
      </c>
      <c r="O10" s="28">
        <f>C6</f>
        <v>150</v>
      </c>
      <c r="P10" s="28"/>
      <c r="Q10" s="28">
        <v>1</v>
      </c>
      <c r="R10" s="7" t="s">
        <v>167</v>
      </c>
    </row>
    <row r="11" spans="1:18">
      <c r="L11" s="261"/>
      <c r="M11" s="36">
        <f>E6</f>
        <v>1</v>
      </c>
      <c r="N11" s="36">
        <f t="shared" si="1"/>
        <v>15.5</v>
      </c>
      <c r="O11" s="28">
        <f>C6</f>
        <v>150</v>
      </c>
      <c r="P11" s="28"/>
      <c r="Q11" s="28">
        <f>H6</f>
        <v>5</v>
      </c>
      <c r="R11" s="7"/>
    </row>
    <row r="12" spans="1:18">
      <c r="L12" s="260">
        <v>6</v>
      </c>
      <c r="M12" s="36">
        <f>(C7-B7)/D7</f>
        <v>3</v>
      </c>
      <c r="N12" s="36">
        <f t="shared" si="1"/>
        <v>18.5</v>
      </c>
      <c r="O12" s="28">
        <f>C7</f>
        <v>300</v>
      </c>
      <c r="P12" s="28"/>
      <c r="Q12" s="28">
        <f>H7</f>
        <v>5</v>
      </c>
    </row>
    <row r="13" spans="1:18">
      <c r="L13" s="261"/>
      <c r="M13" s="36">
        <f>E7</f>
        <v>2</v>
      </c>
      <c r="N13" s="36">
        <f t="shared" si="1"/>
        <v>20.5</v>
      </c>
      <c r="O13" s="28">
        <f>C7</f>
        <v>300</v>
      </c>
      <c r="P13" s="28"/>
      <c r="Q13" s="28">
        <f>H7</f>
        <v>5</v>
      </c>
      <c r="R13" s="7"/>
    </row>
    <row r="14" spans="1:18">
      <c r="L14" s="260">
        <v>7</v>
      </c>
      <c r="M14" s="36">
        <f>(B8-C8)/D8</f>
        <v>1.8</v>
      </c>
      <c r="N14" s="36">
        <f t="shared" si="1"/>
        <v>22.3</v>
      </c>
      <c r="O14" s="28">
        <f>C8</f>
        <v>210</v>
      </c>
      <c r="P14" s="28"/>
      <c r="Q14" s="28">
        <f>H8</f>
        <v>5</v>
      </c>
      <c r="R14" s="7"/>
    </row>
    <row r="15" spans="1:18">
      <c r="L15" s="261"/>
      <c r="M15" s="36">
        <f>E8</f>
        <v>0</v>
      </c>
      <c r="N15" s="36">
        <f t="shared" si="1"/>
        <v>22.3</v>
      </c>
      <c r="O15" s="28">
        <f>C8</f>
        <v>210</v>
      </c>
      <c r="P15" s="28"/>
      <c r="Q15" s="28">
        <f>H8</f>
        <v>5</v>
      </c>
      <c r="R15" s="7"/>
    </row>
    <row r="16" spans="1:18">
      <c r="L16" s="260">
        <v>8</v>
      </c>
      <c r="M16" s="36">
        <f>(B9-C9)</f>
        <v>0</v>
      </c>
      <c r="N16" s="36">
        <f t="shared" si="1"/>
        <v>22.3</v>
      </c>
      <c r="O16" s="28">
        <f>C9</f>
        <v>210</v>
      </c>
      <c r="P16" s="28"/>
      <c r="Q16" s="28">
        <f>H9</f>
        <v>25</v>
      </c>
      <c r="R16" s="3" t="s">
        <v>168</v>
      </c>
    </row>
    <row r="17" spans="12:18">
      <c r="L17" s="261"/>
      <c r="M17" s="36">
        <f>E9</f>
        <v>1</v>
      </c>
      <c r="N17" s="36">
        <f t="shared" si="1"/>
        <v>23.3</v>
      </c>
      <c r="O17" s="28">
        <f>C9</f>
        <v>210</v>
      </c>
      <c r="P17" s="28"/>
      <c r="Q17" s="28">
        <f>H9</f>
        <v>25</v>
      </c>
      <c r="R17" s="7"/>
    </row>
    <row r="18" spans="12:18">
      <c r="L18" s="260">
        <v>9</v>
      </c>
      <c r="M18" s="36">
        <f>(C10-B10)</f>
        <v>0</v>
      </c>
      <c r="N18" s="36">
        <f t="shared" si="1"/>
        <v>23.3</v>
      </c>
      <c r="O18" s="28">
        <f>C10</f>
        <v>210</v>
      </c>
      <c r="P18" s="28"/>
      <c r="Q18" s="28">
        <f>H10</f>
        <v>25</v>
      </c>
      <c r="R18" s="7"/>
    </row>
    <row r="19" spans="12:18">
      <c r="L19" s="261"/>
      <c r="M19" s="36">
        <f>E10</f>
        <v>1</v>
      </c>
      <c r="N19" s="36">
        <f t="shared" si="1"/>
        <v>24.3</v>
      </c>
      <c r="O19" s="28">
        <f>C10</f>
        <v>210</v>
      </c>
      <c r="P19" s="28"/>
      <c r="Q19" s="28">
        <f>H10</f>
        <v>25</v>
      </c>
      <c r="R19" s="3" t="s">
        <v>170</v>
      </c>
    </row>
    <row r="41" spans="9:9">
      <c r="I41" s="1">
        <f>50/60</f>
        <v>0.83333333333333337</v>
      </c>
    </row>
  </sheetData>
  <mergeCells count="9">
    <mergeCell ref="L14:L15"/>
    <mergeCell ref="L16:L17"/>
    <mergeCell ref="L18:L19"/>
    <mergeCell ref="L2:L3"/>
    <mergeCell ref="L4:L5"/>
    <mergeCell ref="L6:L7"/>
    <mergeCell ref="L8:L9"/>
    <mergeCell ref="L10:L11"/>
    <mergeCell ref="L12:L13"/>
  </mergeCells>
  <pageMargins left="0.7" right="0.7" top="0.75" bottom="0.75" header="0.3" footer="0.3"/>
  <ignoredErrors>
    <ignoredError sqref="M6" formula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F3C8-A4AF-49B7-AF71-256FA271F0EC}">
  <sheetPr codeName="Sheet5"/>
  <dimension ref="A2:V34"/>
  <sheetViews>
    <sheetView topLeftCell="K1" zoomScaleNormal="100" workbookViewId="0">
      <selection activeCell="U69" sqref="U69"/>
    </sheetView>
  </sheetViews>
  <sheetFormatPr defaultColWidth="9.140625" defaultRowHeight="15"/>
  <cols>
    <col min="1" max="5" width="9.140625" style="40"/>
    <col min="6" max="6" width="26.85546875" style="41" customWidth="1"/>
    <col min="7" max="7" width="30.85546875" style="41" customWidth="1"/>
    <col min="8" max="8" width="9.28515625" style="41" bestFit="1" customWidth="1"/>
    <col min="9" max="9" width="10" style="41" bestFit="1" customWidth="1"/>
    <col min="10" max="10" width="21.7109375" style="41" customWidth="1"/>
    <col min="11" max="11" width="27.5703125" style="41" bestFit="1" customWidth="1"/>
    <col min="12" max="12" width="25.28515625" style="41" bestFit="1" customWidth="1"/>
    <col min="13" max="13" width="13.5703125" style="41" bestFit="1" customWidth="1"/>
    <col min="14" max="15" width="9.140625" style="40"/>
    <col min="16" max="16" width="14.7109375" style="40" bestFit="1" customWidth="1"/>
    <col min="17" max="17" width="15.7109375" style="40" customWidth="1"/>
    <col min="18" max="18" width="19.85546875" style="40" customWidth="1"/>
    <col min="19" max="22" width="15.7109375" style="40" customWidth="1"/>
    <col min="23" max="16384" width="9.140625" style="40"/>
  </cols>
  <sheetData>
    <row r="2" spans="1:22">
      <c r="Q2" s="40" t="s">
        <v>171</v>
      </c>
    </row>
    <row r="3" spans="1:22">
      <c r="F3" s="262"/>
      <c r="G3" s="262"/>
      <c r="H3" s="262"/>
      <c r="I3" s="262"/>
      <c r="J3" s="262"/>
      <c r="K3" s="262"/>
      <c r="L3" s="262"/>
      <c r="M3" s="262"/>
    </row>
    <row r="4" spans="1:22">
      <c r="A4" s="40">
        <v>0</v>
      </c>
      <c r="H4" s="41" t="s">
        <v>172</v>
      </c>
      <c r="K4" s="41" t="s">
        <v>173</v>
      </c>
      <c r="Q4" s="41" t="s">
        <v>173</v>
      </c>
      <c r="R4" s="41"/>
      <c r="S4" s="41"/>
      <c r="T4" s="41" t="s">
        <v>172</v>
      </c>
    </row>
    <row r="5" spans="1:22" ht="30">
      <c r="F5" s="61" t="s">
        <v>174</v>
      </c>
      <c r="G5" s="60" t="s">
        <v>175</v>
      </c>
      <c r="H5" s="60" t="s">
        <v>176</v>
      </c>
      <c r="I5" s="60" t="s">
        <v>177</v>
      </c>
      <c r="J5" s="60" t="s">
        <v>178</v>
      </c>
      <c r="K5" s="60" t="s">
        <v>176</v>
      </c>
      <c r="L5" s="60" t="s">
        <v>177</v>
      </c>
      <c r="M5" s="59" t="s">
        <v>178</v>
      </c>
      <c r="Q5" s="61" t="s">
        <v>176</v>
      </c>
      <c r="R5" s="60" t="s">
        <v>177</v>
      </c>
      <c r="S5" s="60" t="s">
        <v>178</v>
      </c>
      <c r="T5" s="60" t="s">
        <v>176</v>
      </c>
      <c r="U5" s="60" t="s">
        <v>177</v>
      </c>
      <c r="V5" s="59" t="s">
        <v>178</v>
      </c>
    </row>
    <row r="6" spans="1:22">
      <c r="F6" s="58" t="s">
        <v>179</v>
      </c>
      <c r="G6" s="57" t="s">
        <v>180</v>
      </c>
      <c r="H6" s="57">
        <v>80.23</v>
      </c>
      <c r="I6" s="54">
        <v>442000000</v>
      </c>
      <c r="J6" s="53">
        <v>1.8131700000000001E-7</v>
      </c>
      <c r="K6" s="41">
        <v>19.77</v>
      </c>
      <c r="L6" s="57">
        <v>4556250</v>
      </c>
      <c r="M6" s="56">
        <v>4.3390999999999997E-6</v>
      </c>
      <c r="Q6" s="58">
        <f>100</f>
        <v>100</v>
      </c>
      <c r="R6" s="54">
        <v>17760613.600000001</v>
      </c>
      <c r="S6" s="53">
        <v>5.6304399999999997E-6</v>
      </c>
      <c r="T6" s="41">
        <v>100</v>
      </c>
      <c r="U6" s="57">
        <v>477234205.71428573</v>
      </c>
      <c r="V6" s="65">
        <v>2.0954100000000001E-7</v>
      </c>
    </row>
    <row r="7" spans="1:22">
      <c r="F7" s="55" t="s">
        <v>181</v>
      </c>
      <c r="G7" s="52" t="s">
        <v>182</v>
      </c>
      <c r="H7" s="52">
        <v>60.13</v>
      </c>
      <c r="I7" s="54">
        <v>334000000</v>
      </c>
      <c r="J7" s="53">
        <v>1.8009099999999999E-7</v>
      </c>
      <c r="K7" s="52">
        <v>39.869999999999997</v>
      </c>
      <c r="L7" s="52">
        <v>9023977</v>
      </c>
      <c r="M7" s="51">
        <v>4.4182299999999999E-6</v>
      </c>
      <c r="Q7" s="63">
        <v>80.206999999999994</v>
      </c>
      <c r="R7" s="54">
        <v>14914676</v>
      </c>
      <c r="S7" s="53">
        <v>5.3500999999999998E-6</v>
      </c>
      <c r="T7" s="64">
        <v>95.23</v>
      </c>
      <c r="U7" s="52">
        <v>454519088</v>
      </c>
      <c r="V7" s="66">
        <v>2.0951800000000001E-7</v>
      </c>
    </row>
    <row r="8" spans="1:22">
      <c r="F8" s="55" t="s">
        <v>183</v>
      </c>
      <c r="G8" s="52" t="s">
        <v>184</v>
      </c>
      <c r="H8" s="52">
        <v>40.24</v>
      </c>
      <c r="I8" s="54">
        <v>229000000</v>
      </c>
      <c r="J8" s="53">
        <v>1.7604899999999999E-7</v>
      </c>
      <c r="K8" s="52">
        <v>59.76</v>
      </c>
      <c r="L8" s="52">
        <v>13285364</v>
      </c>
      <c r="M8" s="51">
        <v>4.4981799999999999E-6</v>
      </c>
      <c r="Q8" s="63">
        <f>15.79</f>
        <v>15.79</v>
      </c>
      <c r="R8" s="54">
        <v>2991265</v>
      </c>
      <c r="S8" s="53">
        <v>5.2787E-6</v>
      </c>
      <c r="T8" s="64">
        <v>83.93</v>
      </c>
      <c r="U8" s="52">
        <v>401984047</v>
      </c>
      <c r="V8" s="66">
        <v>2.08807E-7</v>
      </c>
    </row>
    <row r="9" spans="1:22">
      <c r="F9" s="55" t="s">
        <v>185</v>
      </c>
      <c r="G9" s="52" t="s">
        <v>186</v>
      </c>
      <c r="H9" s="52">
        <v>20.43</v>
      </c>
      <c r="I9" s="54">
        <v>125000000</v>
      </c>
      <c r="J9" s="53">
        <v>1.6383899999999999E-7</v>
      </c>
      <c r="K9" s="52">
        <v>79.569999999999993</v>
      </c>
      <c r="L9" s="52">
        <v>17515766</v>
      </c>
      <c r="M9" s="51">
        <v>4.5427599999999997E-6</v>
      </c>
      <c r="Q9" s="63">
        <v>4.7699999999999996</v>
      </c>
      <c r="R9" s="54">
        <v>959013</v>
      </c>
      <c r="S9" s="53">
        <v>4.9738599999999997E-6</v>
      </c>
      <c r="T9" s="64">
        <v>9.6300000000000008</v>
      </c>
      <c r="U9" s="52">
        <v>51061913.5</v>
      </c>
      <c r="V9" s="66">
        <v>1.88595E-7</v>
      </c>
    </row>
    <row r="10" spans="1:22">
      <c r="F10" s="50"/>
      <c r="G10" s="48"/>
      <c r="H10" s="48"/>
      <c r="I10" s="48"/>
      <c r="J10" s="49">
        <v>1.7532399999999999E-7</v>
      </c>
      <c r="K10" s="48"/>
      <c r="L10" s="48"/>
      <c r="M10" s="47">
        <v>4.4495700000000002E-6</v>
      </c>
      <c r="Q10" s="50"/>
      <c r="R10" s="48"/>
      <c r="S10" s="49"/>
      <c r="T10" s="62"/>
      <c r="U10" s="48"/>
      <c r="V10" s="47"/>
    </row>
    <row r="12" spans="1:22">
      <c r="U12"/>
    </row>
    <row r="13" spans="1:22">
      <c r="L13" s="40"/>
      <c r="M13" s="40"/>
      <c r="R13" s="69"/>
      <c r="S13" s="69"/>
    </row>
    <row r="14" spans="1:22">
      <c r="L14" s="40"/>
      <c r="M14" s="40"/>
      <c r="R14" s="68"/>
      <c r="T14" s="70"/>
      <c r="U14" s="71"/>
      <c r="V14" s="68"/>
    </row>
    <row r="15" spans="1:22">
      <c r="L15"/>
    </row>
    <row r="16" spans="1:22">
      <c r="J16" s="42" t="s">
        <v>187</v>
      </c>
      <c r="K16" s="46">
        <f>-0.0000000000244761948*K17^2 + 0.00000000584415609*K17 + 0.00000423201041</f>
        <v>4.5716640709999996E-6</v>
      </c>
      <c r="L16" s="41" t="s">
        <v>188</v>
      </c>
    </row>
    <row r="17" spans="3:13">
      <c r="J17" s="42" t="s">
        <v>173</v>
      </c>
      <c r="K17" s="45">
        <v>100</v>
      </c>
    </row>
    <row r="23" spans="3:13">
      <c r="M23" s="67"/>
    </row>
    <row r="30" spans="3:13" s="41" customFormat="1">
      <c r="C30" s="40"/>
      <c r="D30" s="40"/>
      <c r="E30" s="40"/>
      <c r="J30" s="42" t="s">
        <v>187</v>
      </c>
      <c r="K30" s="44">
        <f>1.07154555E-13*K31^3 - 0.0000000000231369299*K31^2 + 0.00000000170314458*K31 + 0.000000137948036</f>
        <v>1.6361339208E-7</v>
      </c>
      <c r="L30" s="41" t="s">
        <v>188</v>
      </c>
    </row>
    <row r="31" spans="3:13" s="41" customFormat="1">
      <c r="C31" s="40"/>
      <c r="D31" s="40"/>
      <c r="E31" s="40"/>
      <c r="J31" s="43" t="s">
        <v>172</v>
      </c>
      <c r="K31" s="42">
        <v>20</v>
      </c>
    </row>
    <row r="34" spans="3:5" s="41" customFormat="1">
      <c r="C34" s="40"/>
      <c r="D34" s="40"/>
      <c r="E34" s="40"/>
    </row>
  </sheetData>
  <mergeCells count="1">
    <mergeCell ref="F3:M3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C291B-4702-43F7-B627-8C8ED84EB1E1}">
  <dimension ref="A1:AW201"/>
  <sheetViews>
    <sheetView topLeftCell="AI7" workbookViewId="0">
      <selection activeCell="AZ34" sqref="AZ34"/>
    </sheetView>
  </sheetViews>
  <sheetFormatPr defaultRowHeight="13.5"/>
  <cols>
    <col min="1" max="1" width="18" style="118" bestFit="1" customWidth="1"/>
    <col min="2" max="2" width="14.85546875" style="119" bestFit="1" customWidth="1"/>
    <col min="3" max="4" width="9.140625" style="119" bestFit="1" customWidth="1"/>
    <col min="5" max="6" width="9.42578125" style="119" bestFit="1" customWidth="1"/>
    <col min="7" max="14" width="10.28515625" style="119" bestFit="1" customWidth="1"/>
    <col min="15" max="15" width="9" style="119" bestFit="1" customWidth="1"/>
    <col min="16" max="23" width="9.28515625" style="119" bestFit="1" customWidth="1"/>
    <col min="24" max="24" width="9.140625" style="119" bestFit="1" customWidth="1"/>
    <col min="25" max="25" width="10.140625" style="119" bestFit="1" customWidth="1"/>
    <col min="26" max="27" width="10.7109375" style="119" bestFit="1" customWidth="1"/>
    <col min="28" max="28" width="12.7109375" style="119" bestFit="1" customWidth="1"/>
    <col min="29" max="32" width="10.7109375" style="119" bestFit="1" customWidth="1"/>
    <col min="33" max="33" width="18" style="119" bestFit="1" customWidth="1"/>
    <col min="34" max="34" width="9" style="119" bestFit="1" customWidth="1"/>
    <col min="35" max="36" width="10.140625" style="119" bestFit="1" customWidth="1"/>
    <col min="37" max="37" width="10.28515625" style="119" bestFit="1" customWidth="1"/>
    <col min="38" max="38" width="12.140625" style="119" bestFit="1" customWidth="1"/>
    <col min="39" max="39" width="9.140625" style="118"/>
    <col min="40" max="40" width="13" style="118" bestFit="1" customWidth="1"/>
    <col min="41" max="41" width="13.85546875" style="118" bestFit="1" customWidth="1"/>
    <col min="42" max="42" width="9.140625" style="118"/>
    <col min="43" max="43" width="10.7109375" style="118" customWidth="1"/>
    <col min="44" max="44" width="9.5703125" style="118" bestFit="1" customWidth="1"/>
    <col min="45" max="45" width="16.7109375" style="118" bestFit="1" customWidth="1"/>
    <col min="46" max="46" width="9.5703125" style="118" bestFit="1" customWidth="1"/>
    <col min="47" max="47" width="9.140625" style="118"/>
    <col min="48" max="48" width="12.5703125" style="118" bestFit="1" customWidth="1"/>
    <col min="49" max="49" width="12.7109375" style="118" bestFit="1" customWidth="1"/>
    <col min="50" max="16384" width="9.140625" style="118"/>
  </cols>
  <sheetData>
    <row r="1" spans="1:49" s="120" customFormat="1">
      <c r="A1" s="120" t="s">
        <v>189</v>
      </c>
      <c r="B1" s="121" t="s">
        <v>190</v>
      </c>
      <c r="C1" s="121" t="s">
        <v>191</v>
      </c>
      <c r="D1" s="121" t="s">
        <v>192</v>
      </c>
      <c r="E1" s="121" t="s">
        <v>193</v>
      </c>
      <c r="F1" s="121" t="s">
        <v>194</v>
      </c>
      <c r="G1" s="121" t="s">
        <v>195</v>
      </c>
      <c r="H1" s="121" t="s">
        <v>196</v>
      </c>
      <c r="I1" s="121" t="s">
        <v>197</v>
      </c>
      <c r="J1" s="121" t="s">
        <v>198</v>
      </c>
      <c r="K1" s="121" t="s">
        <v>199</v>
      </c>
      <c r="L1" s="121" t="s">
        <v>200</v>
      </c>
      <c r="M1" s="121" t="s">
        <v>201</v>
      </c>
      <c r="N1" s="121" t="s">
        <v>202</v>
      </c>
      <c r="O1" s="127" t="s">
        <v>203</v>
      </c>
      <c r="P1" s="121" t="s">
        <v>204</v>
      </c>
      <c r="Q1" s="121" t="s">
        <v>205</v>
      </c>
      <c r="R1" s="121" t="s">
        <v>206</v>
      </c>
      <c r="S1" s="121" t="s">
        <v>207</v>
      </c>
      <c r="T1" s="121" t="s">
        <v>208</v>
      </c>
      <c r="U1" s="121" t="s">
        <v>209</v>
      </c>
      <c r="V1" s="121" t="s">
        <v>210</v>
      </c>
      <c r="W1" s="121" t="s">
        <v>211</v>
      </c>
      <c r="X1" s="121" t="s">
        <v>212</v>
      </c>
      <c r="Y1" s="121" t="s">
        <v>213</v>
      </c>
      <c r="Z1" s="121" t="s">
        <v>214</v>
      </c>
      <c r="AA1" s="121" t="s">
        <v>215</v>
      </c>
      <c r="AB1" s="121" t="s">
        <v>216</v>
      </c>
      <c r="AC1" s="121" t="s">
        <v>217</v>
      </c>
      <c r="AD1" s="121" t="s">
        <v>218</v>
      </c>
      <c r="AE1" s="121" t="s">
        <v>219</v>
      </c>
      <c r="AF1" s="121" t="s">
        <v>220</v>
      </c>
      <c r="AG1" s="121" t="s">
        <v>221</v>
      </c>
      <c r="AH1" s="121" t="s">
        <v>222</v>
      </c>
      <c r="AI1" s="121" t="s">
        <v>223</v>
      </c>
      <c r="AJ1" s="121" t="s">
        <v>224</v>
      </c>
      <c r="AK1" s="121" t="s">
        <v>225</v>
      </c>
      <c r="AL1" s="121" t="s">
        <v>226</v>
      </c>
      <c r="AN1" s="122" t="s">
        <v>227</v>
      </c>
      <c r="AO1" s="122" t="s">
        <v>228</v>
      </c>
      <c r="AQ1" s="121" t="s">
        <v>229</v>
      </c>
      <c r="AR1" s="121" t="s">
        <v>230</v>
      </c>
      <c r="AS1" s="121" t="s">
        <v>231</v>
      </c>
      <c r="AT1" s="121" t="s">
        <v>232</v>
      </c>
      <c r="AV1" s="120" t="s">
        <v>156</v>
      </c>
      <c r="AW1" s="120" t="s">
        <v>233</v>
      </c>
    </row>
    <row r="2" spans="1:49">
      <c r="A2" s="118" t="s">
        <v>234</v>
      </c>
      <c r="B2" s="119">
        <v>1</v>
      </c>
      <c r="C2" s="119">
        <v>210</v>
      </c>
      <c r="D2" s="119">
        <v>210</v>
      </c>
      <c r="E2" s="119">
        <v>24.937799999999999</v>
      </c>
      <c r="F2" s="119">
        <v>25.039100000000001</v>
      </c>
      <c r="G2" s="119">
        <v>1721.97</v>
      </c>
      <c r="H2" s="119">
        <v>1722.65</v>
      </c>
      <c r="I2" s="119">
        <v>1722.03</v>
      </c>
      <c r="J2" s="119">
        <v>1722.87</v>
      </c>
      <c r="K2" s="119">
        <v>1722.25</v>
      </c>
      <c r="L2" s="119">
        <v>1721.96</v>
      </c>
      <c r="M2" s="119">
        <v>1722.29</v>
      </c>
      <c r="N2" s="119">
        <v>1722.12</v>
      </c>
      <c r="O2" s="119">
        <v>1.1469499999999999</v>
      </c>
      <c r="P2" s="119">
        <v>2499.7199999999998</v>
      </c>
      <c r="Q2" s="119">
        <v>2500.11</v>
      </c>
      <c r="R2" s="119">
        <v>2499.56</v>
      </c>
      <c r="S2" s="119">
        <v>2499.6799999999998</v>
      </c>
      <c r="T2" s="119">
        <v>2499.87</v>
      </c>
      <c r="U2" s="119">
        <v>2499.2600000000002</v>
      </c>
      <c r="V2" s="119">
        <v>2499.71</v>
      </c>
      <c r="W2" s="119">
        <v>1999.84</v>
      </c>
      <c r="X2" s="119">
        <v>210.1</v>
      </c>
      <c r="Y2" s="119">
        <v>6.5297499999999994E-2</v>
      </c>
      <c r="Z2" s="119">
        <v>-6.2516500000000003E-2</v>
      </c>
      <c r="AA2" s="119">
        <v>-5.9933699999999999E-2</v>
      </c>
      <c r="AB2" s="119">
        <v>-1.1988299999999999E-3</v>
      </c>
      <c r="AC2" s="119">
        <v>-7.7980599999999997E-2</v>
      </c>
      <c r="AD2" s="119">
        <v>-4.0266099999999999E-2</v>
      </c>
      <c r="AE2" s="119">
        <v>-5.8015999999999998E-2</v>
      </c>
      <c r="AF2" s="119">
        <v>-7.3296899999999998E-2</v>
      </c>
      <c r="AG2" s="119" t="s">
        <v>235</v>
      </c>
      <c r="AH2" s="119" t="s">
        <v>173</v>
      </c>
      <c r="AI2" s="119">
        <v>35.560220000000001</v>
      </c>
      <c r="AJ2" s="119">
        <v>36.229550000000003</v>
      </c>
      <c r="AK2" s="119">
        <v>6434586</v>
      </c>
      <c r="AL2" s="119">
        <v>1.6183333396912001</v>
      </c>
      <c r="AN2" s="123">
        <f>DATEVALUE(SUBSTITUTE(LEFT(A2,10),".","/"))</f>
        <v>46249</v>
      </c>
      <c r="AO2" s="124">
        <f>TIMEVALUE(RIGHT(A2,8))</f>
        <v>0.62258101851851855</v>
      </c>
      <c r="AQ2" s="125">
        <v>64.439779999999999</v>
      </c>
      <c r="AR2" s="125">
        <v>65.652694999999994</v>
      </c>
      <c r="AS2" s="125">
        <v>313316701</v>
      </c>
      <c r="AT2" s="125">
        <v>3.9849999999999999</v>
      </c>
      <c r="AV2" s="126">
        <f>3.2/(AQ2/100)*(AI2/100)</f>
        <v>1.7658766681078055</v>
      </c>
      <c r="AW2" s="125">
        <f>AV2*273/293</f>
        <v>1.6453390115816753</v>
      </c>
    </row>
    <row r="3" spans="1:49">
      <c r="A3" s="118" t="s">
        <v>236</v>
      </c>
      <c r="B3" s="119">
        <v>2</v>
      </c>
      <c r="C3" s="119">
        <v>210</v>
      </c>
      <c r="D3" s="119">
        <v>210</v>
      </c>
      <c r="E3" s="119">
        <v>24.931999999999999</v>
      </c>
      <c r="F3" s="119">
        <v>25.040500000000002</v>
      </c>
      <c r="G3" s="119">
        <v>1699.11</v>
      </c>
      <c r="H3" s="119">
        <v>1699.24</v>
      </c>
      <c r="I3" s="119">
        <v>1699.57</v>
      </c>
      <c r="J3" s="119">
        <v>1698.99</v>
      </c>
      <c r="K3" s="119">
        <v>1699.68</v>
      </c>
      <c r="L3" s="119">
        <v>1699.6</v>
      </c>
      <c r="M3" s="119">
        <v>1699.17</v>
      </c>
      <c r="N3" s="119">
        <v>1699.6</v>
      </c>
      <c r="O3" s="119">
        <v>1.20248</v>
      </c>
      <c r="P3" s="119">
        <v>2500.6</v>
      </c>
      <c r="Q3" s="119">
        <v>2499.9299999999998</v>
      </c>
      <c r="R3" s="119">
        <v>2499.85</v>
      </c>
      <c r="S3" s="119">
        <v>2500.8200000000002</v>
      </c>
      <c r="T3" s="119">
        <v>2500.19</v>
      </c>
      <c r="U3" s="119">
        <v>2499.5300000000002</v>
      </c>
      <c r="V3" s="119">
        <v>2500.9899999999998</v>
      </c>
      <c r="W3" s="119">
        <v>2000.27</v>
      </c>
      <c r="X3" s="119">
        <v>210.1</v>
      </c>
      <c r="Y3" s="119">
        <v>6.6044400000000003E-2</v>
      </c>
      <c r="Z3" s="119">
        <v>-6.1377500000000002E-2</v>
      </c>
      <c r="AA3" s="119">
        <v>-6.5145099999999997E-2</v>
      </c>
      <c r="AB3" s="119">
        <v>-2.1253600000000002E-3</v>
      </c>
      <c r="AC3" s="119">
        <v>-7.6927599999999999E-2</v>
      </c>
      <c r="AD3" s="119">
        <v>-3.7277299999999999E-2</v>
      </c>
      <c r="AE3" s="119">
        <v>-6.0945100000000002E-2</v>
      </c>
      <c r="AF3" s="119">
        <v>-7.1520399999999998E-2</v>
      </c>
      <c r="AG3" s="119" t="s">
        <v>237</v>
      </c>
      <c r="AH3" s="119" t="s">
        <v>173</v>
      </c>
      <c r="AI3" s="119">
        <v>37.414608999999999</v>
      </c>
      <c r="AJ3" s="119">
        <v>37.681601000000001</v>
      </c>
      <c r="AK3" s="119">
        <v>6692479</v>
      </c>
      <c r="AL3" s="119">
        <v>1.6166666746139999</v>
      </c>
      <c r="AN3" s="123">
        <f t="shared" ref="AN3:AN19" si="0">DATEVALUE(SUBSTITUTE(LEFT(A3,10),".","/"))</f>
        <v>46249</v>
      </c>
      <c r="AO3" s="124">
        <f t="shared" ref="AO3:AO19" si="1">TIMEVALUE(RIGHT(A3,8))</f>
        <v>0.63185185185185189</v>
      </c>
      <c r="AQ3" s="125">
        <v>62.585391000000001</v>
      </c>
      <c r="AR3" s="125">
        <v>63.032004000000001</v>
      </c>
      <c r="AS3" s="125">
        <v>300809883</v>
      </c>
      <c r="AT3" s="125">
        <v>3.99</v>
      </c>
      <c r="AV3" s="126">
        <f t="shared" ref="AV3:AV36" si="2">3.2/(AQ3/100)*(AI3/100)</f>
        <v>1.9130143135160729</v>
      </c>
      <c r="AW3" s="125">
        <f t="shared" ref="AW3:AW36" si="3">AV3*273/293</f>
        <v>1.782433131706102</v>
      </c>
    </row>
    <row r="4" spans="1:49">
      <c r="A4" s="118" t="s">
        <v>238</v>
      </c>
      <c r="B4" s="119">
        <v>3</v>
      </c>
      <c r="C4" s="119">
        <v>210</v>
      </c>
      <c r="D4" s="119">
        <v>210</v>
      </c>
      <c r="E4" s="119">
        <v>24.927700000000002</v>
      </c>
      <c r="F4" s="119">
        <v>25.046299999999999</v>
      </c>
      <c r="G4" s="119">
        <v>1681.96</v>
      </c>
      <c r="H4" s="119">
        <v>1681.56</v>
      </c>
      <c r="I4" s="119">
        <v>1682.26</v>
      </c>
      <c r="J4" s="119">
        <v>1681.97</v>
      </c>
      <c r="K4" s="119">
        <v>1681.39</v>
      </c>
      <c r="L4" s="119">
        <v>1682.08</v>
      </c>
      <c r="M4" s="119">
        <v>1681.75</v>
      </c>
      <c r="N4" s="119">
        <v>1681.67</v>
      </c>
      <c r="O4" s="119">
        <v>1.17807</v>
      </c>
      <c r="P4" s="119">
        <v>2500.3200000000002</v>
      </c>
      <c r="Q4" s="119">
        <v>2498.98</v>
      </c>
      <c r="R4" s="119">
        <v>2499.7600000000002</v>
      </c>
      <c r="S4" s="119">
        <v>2499.7800000000002</v>
      </c>
      <c r="T4" s="119">
        <v>2500.1999999999998</v>
      </c>
      <c r="U4" s="119">
        <v>2500.8000000000002</v>
      </c>
      <c r="V4" s="119">
        <v>2499.6799999999998</v>
      </c>
      <c r="W4" s="119">
        <v>2000.31</v>
      </c>
      <c r="X4" s="119">
        <v>209.9</v>
      </c>
      <c r="Y4" s="119">
        <v>6.2527200000000005E-2</v>
      </c>
      <c r="Z4" s="119">
        <v>-6.5503800000000001E-2</v>
      </c>
      <c r="AA4" s="119">
        <v>-6.1071500000000001E-2</v>
      </c>
      <c r="AB4" s="119">
        <v>1.41332E-3</v>
      </c>
      <c r="AC4" s="119">
        <v>-8.3152299999999998E-2</v>
      </c>
      <c r="AD4" s="119">
        <v>-4.0555000000000001E-2</v>
      </c>
      <c r="AE4" s="119">
        <v>-5.9596400000000001E-2</v>
      </c>
      <c r="AF4" s="119">
        <v>-7.1178099999999994E-2</v>
      </c>
      <c r="AG4" s="119" t="s">
        <v>239</v>
      </c>
      <c r="AH4" s="119" t="s">
        <v>173</v>
      </c>
      <c r="AI4" s="119">
        <v>38.700398999999997</v>
      </c>
      <c r="AJ4" s="119">
        <v>38.980274000000001</v>
      </c>
      <c r="AK4" s="119">
        <v>6923131</v>
      </c>
      <c r="AL4" s="119">
        <v>1.6166666746139999</v>
      </c>
      <c r="AN4" s="123">
        <f t="shared" si="0"/>
        <v>46249</v>
      </c>
      <c r="AO4" s="124">
        <f t="shared" si="1"/>
        <v>0.64113425925925926</v>
      </c>
      <c r="AQ4" s="125">
        <v>61.299601000000003</v>
      </c>
      <c r="AR4" s="125">
        <v>61.742908999999997</v>
      </c>
      <c r="AS4" s="125">
        <v>294657891</v>
      </c>
      <c r="AT4" s="125">
        <v>3.99</v>
      </c>
      <c r="AV4" s="126">
        <f t="shared" si="2"/>
        <v>2.0202623635347967</v>
      </c>
      <c r="AW4" s="125">
        <f t="shared" si="3"/>
        <v>1.8823604957167219</v>
      </c>
    </row>
    <row r="5" spans="1:49">
      <c r="A5" s="118" t="s">
        <v>240</v>
      </c>
      <c r="B5" s="119">
        <v>4</v>
      </c>
      <c r="C5" s="119">
        <v>210</v>
      </c>
      <c r="D5" s="119">
        <v>210</v>
      </c>
      <c r="E5" s="119">
        <v>24.921900000000001</v>
      </c>
      <c r="F5" s="119">
        <v>25.033300000000001</v>
      </c>
      <c r="G5" s="119">
        <v>1721.55</v>
      </c>
      <c r="H5" s="119">
        <v>1721.62</v>
      </c>
      <c r="I5" s="119">
        <v>1721.56</v>
      </c>
      <c r="J5" s="119">
        <v>1721.17</v>
      </c>
      <c r="K5" s="119">
        <v>1721.55</v>
      </c>
      <c r="L5" s="119">
        <v>1721.76</v>
      </c>
      <c r="M5" s="119">
        <v>1722.17</v>
      </c>
      <c r="N5" s="119">
        <v>1721.33</v>
      </c>
      <c r="O5" s="119">
        <v>1.1273</v>
      </c>
      <c r="P5" s="119">
        <v>2500.02</v>
      </c>
      <c r="Q5" s="119">
        <v>2500.21</v>
      </c>
      <c r="R5" s="119">
        <v>2500.54</v>
      </c>
      <c r="S5" s="119">
        <v>2499.64</v>
      </c>
      <c r="T5" s="119">
        <v>2499.9699999999998</v>
      </c>
      <c r="U5" s="119">
        <v>2499.36</v>
      </c>
      <c r="V5" s="119">
        <v>2498.83</v>
      </c>
      <c r="W5" s="119">
        <v>2000.12</v>
      </c>
      <c r="X5" s="119">
        <v>209.8</v>
      </c>
      <c r="Y5" s="119">
        <v>6.7128400000000005E-2</v>
      </c>
      <c r="Z5" s="119">
        <v>-6.38513E-2</v>
      </c>
      <c r="AA5" s="119">
        <v>-6.2136999999999998E-2</v>
      </c>
      <c r="AB5" s="119">
        <v>-3.4155100000000001E-3</v>
      </c>
      <c r="AC5" s="119">
        <v>-8.2449400000000006E-2</v>
      </c>
      <c r="AD5" s="119">
        <v>-3.9818300000000001E-2</v>
      </c>
      <c r="AE5" s="119">
        <v>-5.9036400000000003E-2</v>
      </c>
      <c r="AF5" s="119">
        <v>-7.2071999999999997E-2</v>
      </c>
      <c r="AG5" s="119" t="s">
        <v>241</v>
      </c>
      <c r="AH5" s="119" t="s">
        <v>173</v>
      </c>
      <c r="AI5" s="119">
        <v>40.129555000000003</v>
      </c>
      <c r="AJ5" s="119">
        <v>40.415838999999998</v>
      </c>
      <c r="AK5" s="119">
        <v>7178096</v>
      </c>
      <c r="AL5" s="119">
        <v>1.6183333396912001</v>
      </c>
      <c r="AN5" s="123">
        <f t="shared" si="0"/>
        <v>46249</v>
      </c>
      <c r="AO5" s="124">
        <f t="shared" si="1"/>
        <v>0.6504050925925926</v>
      </c>
      <c r="AQ5" s="125">
        <v>59.870444999999997</v>
      </c>
      <c r="AR5" s="125">
        <v>60.297559</v>
      </c>
      <c r="AS5" s="125">
        <v>287760196</v>
      </c>
      <c r="AT5" s="125">
        <v>3.9929999999999999</v>
      </c>
      <c r="AV5" s="126">
        <f t="shared" si="2"/>
        <v>2.1448742530642626</v>
      </c>
      <c r="AW5" s="125">
        <f t="shared" si="3"/>
        <v>1.9984664542202857</v>
      </c>
    </row>
    <row r="6" spans="1:49">
      <c r="A6" s="118" t="s">
        <v>242</v>
      </c>
      <c r="B6" s="119">
        <v>5</v>
      </c>
      <c r="C6" s="119">
        <v>210</v>
      </c>
      <c r="D6" s="119">
        <v>210</v>
      </c>
      <c r="E6" s="119">
        <v>24.984100000000002</v>
      </c>
      <c r="F6" s="119">
        <v>25.011600000000001</v>
      </c>
      <c r="G6" s="119">
        <v>1689.77</v>
      </c>
      <c r="H6" s="119">
        <v>1689.41</v>
      </c>
      <c r="I6" s="119">
        <v>1688.99</v>
      </c>
      <c r="J6" s="119">
        <v>1690.4</v>
      </c>
      <c r="K6" s="119">
        <v>1688.92</v>
      </c>
      <c r="L6" s="119">
        <v>1689.52</v>
      </c>
      <c r="M6" s="119">
        <v>1688.86</v>
      </c>
      <c r="N6" s="119">
        <v>1688.41</v>
      </c>
      <c r="O6" s="119">
        <v>1.20062</v>
      </c>
      <c r="P6" s="119">
        <v>2498.33</v>
      </c>
      <c r="Q6" s="119">
        <v>2499.35</v>
      </c>
      <c r="R6" s="119">
        <v>2500.21</v>
      </c>
      <c r="S6" s="119">
        <v>2499.79</v>
      </c>
      <c r="T6" s="119">
        <v>2500.14</v>
      </c>
      <c r="U6" s="119">
        <v>2499.7600000000002</v>
      </c>
      <c r="V6" s="119">
        <v>2500.38</v>
      </c>
      <c r="W6" s="119">
        <v>1999.98</v>
      </c>
      <c r="X6" s="119">
        <v>210.1</v>
      </c>
      <c r="Y6" s="119">
        <v>6.4342899999999995E-2</v>
      </c>
      <c r="Z6" s="119">
        <v>-6.2169700000000001E-2</v>
      </c>
      <c r="AA6" s="119">
        <v>-5.8993999999999998E-2</v>
      </c>
      <c r="AB6" s="119">
        <v>3.4723599999999999E-3</v>
      </c>
      <c r="AC6" s="119">
        <v>-8.0364500000000005E-2</v>
      </c>
      <c r="AD6" s="119">
        <v>-3.9957800000000002E-2</v>
      </c>
      <c r="AE6" s="119">
        <v>-5.7681700000000002E-2</v>
      </c>
      <c r="AF6" s="119">
        <v>-6.9201100000000001E-2</v>
      </c>
      <c r="AG6" s="119" t="s">
        <v>243</v>
      </c>
      <c r="AH6" s="119" t="s">
        <v>173</v>
      </c>
      <c r="AI6" s="119">
        <v>40.177943999999997</v>
      </c>
      <c r="AJ6" s="119">
        <v>40.434131999999998</v>
      </c>
      <c r="AK6" s="119">
        <v>7181345</v>
      </c>
      <c r="AL6" s="119">
        <v>1.6183333396912001</v>
      </c>
      <c r="AN6" s="123">
        <f t="shared" si="0"/>
        <v>46249</v>
      </c>
      <c r="AO6" s="124">
        <f t="shared" si="1"/>
        <v>0.6596643518518519</v>
      </c>
      <c r="AQ6" s="125">
        <v>59.822056000000003</v>
      </c>
      <c r="AR6" s="125">
        <v>60.203501000000003</v>
      </c>
      <c r="AS6" s="125">
        <v>287311318</v>
      </c>
      <c r="AT6" s="125">
        <v>3.9929999999999999</v>
      </c>
      <c r="AV6" s="126">
        <f t="shared" si="2"/>
        <v>2.1491976270424407</v>
      </c>
      <c r="AW6" s="125">
        <f t="shared" si="3"/>
        <v>2.0024947173467109</v>
      </c>
    </row>
    <row r="7" spans="1:49">
      <c r="A7" s="118" t="s">
        <v>244</v>
      </c>
      <c r="B7" s="119">
        <v>6</v>
      </c>
      <c r="C7" s="119">
        <v>210</v>
      </c>
      <c r="D7" s="119">
        <v>210</v>
      </c>
      <c r="E7" s="119">
        <v>24.947900000000001</v>
      </c>
      <c r="F7" s="119">
        <v>25.026</v>
      </c>
      <c r="G7" s="119">
        <v>1710.71</v>
      </c>
      <c r="H7" s="119">
        <v>1710.96</v>
      </c>
      <c r="I7" s="119">
        <v>1709.6</v>
      </c>
      <c r="J7" s="119">
        <v>1710.9</v>
      </c>
      <c r="K7" s="119">
        <v>1710.54</v>
      </c>
      <c r="L7" s="119">
        <v>1710.63</v>
      </c>
      <c r="M7" s="119">
        <v>1709.89</v>
      </c>
      <c r="N7" s="119">
        <v>1710.07</v>
      </c>
      <c r="O7" s="119">
        <v>1.1366099999999999</v>
      </c>
      <c r="P7" s="119">
        <v>2500.0300000000002</v>
      </c>
      <c r="Q7" s="119">
        <v>2499.94</v>
      </c>
      <c r="R7" s="119">
        <v>2499.64</v>
      </c>
      <c r="S7" s="119">
        <v>2500.33</v>
      </c>
      <c r="T7" s="119">
        <v>2499.7399999999998</v>
      </c>
      <c r="U7" s="119">
        <v>2499.83</v>
      </c>
      <c r="V7" s="119">
        <v>2500.62</v>
      </c>
      <c r="W7" s="119">
        <v>2000.05</v>
      </c>
      <c r="X7" s="119">
        <v>209.9</v>
      </c>
      <c r="Y7" s="119">
        <v>6.3050700000000001E-2</v>
      </c>
      <c r="Z7" s="119">
        <v>-6.5182400000000001E-2</v>
      </c>
      <c r="AA7" s="119">
        <v>-6.1962999999999997E-2</v>
      </c>
      <c r="AB7" s="119">
        <v>-1.51453E-3</v>
      </c>
      <c r="AC7" s="119">
        <v>-7.9419799999999999E-2</v>
      </c>
      <c r="AD7" s="119">
        <v>-4.2286999999999998E-2</v>
      </c>
      <c r="AE7" s="119">
        <v>-6.1247500000000003E-2</v>
      </c>
      <c r="AF7" s="119">
        <v>-7.2790900000000006E-2</v>
      </c>
      <c r="AG7" s="119" t="s">
        <v>245</v>
      </c>
      <c r="AH7" s="119" t="s">
        <v>173</v>
      </c>
      <c r="AI7" s="119">
        <v>39.429741</v>
      </c>
      <c r="AJ7" s="119">
        <v>39.688510000000001</v>
      </c>
      <c r="AK7" s="119">
        <v>7048918</v>
      </c>
      <c r="AL7" s="119">
        <v>1.6183333396912001</v>
      </c>
      <c r="AN7" s="123">
        <f t="shared" si="0"/>
        <v>46249</v>
      </c>
      <c r="AO7" s="124">
        <f t="shared" si="1"/>
        <v>0.66893518518518513</v>
      </c>
      <c r="AQ7" s="125">
        <v>60.570259</v>
      </c>
      <c r="AR7" s="125">
        <v>60.967768999999997</v>
      </c>
      <c r="AS7" s="125">
        <v>290958662</v>
      </c>
      <c r="AT7" s="125">
        <v>3.992</v>
      </c>
      <c r="AV7" s="126">
        <f t="shared" si="2"/>
        <v>2.0831208795062275</v>
      </c>
      <c r="AW7" s="125">
        <f t="shared" si="3"/>
        <v>1.9409283280040959</v>
      </c>
    </row>
    <row r="8" spans="1:49">
      <c r="A8" s="118" t="s">
        <v>246</v>
      </c>
      <c r="B8" s="119">
        <v>7</v>
      </c>
      <c r="C8" s="119">
        <v>210</v>
      </c>
      <c r="D8" s="119">
        <v>210.1</v>
      </c>
      <c r="E8" s="119">
        <v>24.956600000000002</v>
      </c>
      <c r="F8" s="119">
        <v>25.026</v>
      </c>
      <c r="G8" s="119">
        <v>1732.6</v>
      </c>
      <c r="H8" s="119">
        <v>1732.76</v>
      </c>
      <c r="I8" s="119">
        <v>1732.26</v>
      </c>
      <c r="J8" s="119">
        <v>1730.99</v>
      </c>
      <c r="K8" s="119">
        <v>1732</v>
      </c>
      <c r="L8" s="119">
        <v>1732.54</v>
      </c>
      <c r="M8" s="119">
        <v>1732.36</v>
      </c>
      <c r="N8" s="119">
        <v>1731.76</v>
      </c>
      <c r="O8" s="119">
        <v>1.09718</v>
      </c>
      <c r="P8" s="119">
        <v>2500.0300000000002</v>
      </c>
      <c r="Q8" s="119">
        <v>2499.88</v>
      </c>
      <c r="R8" s="119">
        <v>2500.2800000000002</v>
      </c>
      <c r="S8" s="119">
        <v>2500.06</v>
      </c>
      <c r="T8" s="119">
        <v>2499.77</v>
      </c>
      <c r="U8" s="119">
        <v>2500.6</v>
      </c>
      <c r="V8" s="119">
        <v>2500.31</v>
      </c>
      <c r="W8" s="119">
        <v>1999.6</v>
      </c>
      <c r="X8" s="119">
        <v>209.9</v>
      </c>
      <c r="Y8" s="119">
        <v>5.9129899999999999E-2</v>
      </c>
      <c r="Z8" s="119">
        <v>-6.7630800000000005E-2</v>
      </c>
      <c r="AA8" s="119">
        <v>-6.4307900000000001E-2</v>
      </c>
      <c r="AB8" s="119">
        <v>-3.35907E-3</v>
      </c>
      <c r="AC8" s="119">
        <v>-8.4851200000000002E-2</v>
      </c>
      <c r="AD8" s="119">
        <v>-4.3892100000000003E-2</v>
      </c>
      <c r="AE8" s="119">
        <v>-6.7011699999999993E-2</v>
      </c>
      <c r="AF8" s="119">
        <v>-7.2801099999999994E-2</v>
      </c>
      <c r="AG8" s="119" t="s">
        <v>247</v>
      </c>
      <c r="AH8" s="119" t="s">
        <v>173</v>
      </c>
      <c r="AI8" s="119">
        <v>40.093980000000002</v>
      </c>
      <c r="AJ8" s="119">
        <v>40.357360999999997</v>
      </c>
      <c r="AK8" s="119">
        <v>7167710</v>
      </c>
      <c r="AL8" s="119">
        <v>1.6183333396912001</v>
      </c>
      <c r="AN8" s="123">
        <f t="shared" si="0"/>
        <v>46249</v>
      </c>
      <c r="AO8" s="124">
        <f t="shared" si="1"/>
        <v>0.67820601851851847</v>
      </c>
      <c r="AQ8" s="125">
        <v>59.906019999999998</v>
      </c>
      <c r="AR8" s="125">
        <v>60.299548000000001</v>
      </c>
      <c r="AS8" s="125">
        <v>287769688</v>
      </c>
      <c r="AT8" s="125">
        <v>3.9950000000000001</v>
      </c>
      <c r="AV8" s="126">
        <f t="shared" si="2"/>
        <v>2.1417002164390162</v>
      </c>
      <c r="AW8" s="125">
        <f t="shared" si="3"/>
        <v>1.9955090753851583</v>
      </c>
    </row>
    <row r="9" spans="1:49">
      <c r="A9" s="118" t="s">
        <v>248</v>
      </c>
      <c r="B9" s="119">
        <v>8</v>
      </c>
      <c r="C9" s="119">
        <v>210</v>
      </c>
      <c r="D9" s="119">
        <v>210</v>
      </c>
      <c r="E9" s="119">
        <v>24.988399999999999</v>
      </c>
      <c r="F9" s="119">
        <v>25.047699999999999</v>
      </c>
      <c r="G9" s="119">
        <v>1746.36</v>
      </c>
      <c r="H9" s="119">
        <v>1746.05</v>
      </c>
      <c r="I9" s="119">
        <v>1746.45</v>
      </c>
      <c r="J9" s="119">
        <v>1744.76</v>
      </c>
      <c r="K9" s="119">
        <v>1745.23</v>
      </c>
      <c r="L9" s="119">
        <v>1746.53</v>
      </c>
      <c r="M9" s="119">
        <v>1746.33</v>
      </c>
      <c r="N9" s="119">
        <v>1746.07</v>
      </c>
      <c r="O9" s="119">
        <v>1.1136600000000001</v>
      </c>
      <c r="P9" s="119">
        <v>2500.06</v>
      </c>
      <c r="Q9" s="119">
        <v>2500.11</v>
      </c>
      <c r="R9" s="119">
        <v>2499.31</v>
      </c>
      <c r="S9" s="119">
        <v>2500.31</v>
      </c>
      <c r="T9" s="119">
        <v>2500.0700000000002</v>
      </c>
      <c r="U9" s="119">
        <v>2499.23</v>
      </c>
      <c r="V9" s="119">
        <v>2499.54</v>
      </c>
      <c r="W9" s="119">
        <v>1999.8</v>
      </c>
      <c r="X9" s="119">
        <v>209.9</v>
      </c>
      <c r="Y9" s="119">
        <v>6.3555E-2</v>
      </c>
      <c r="Z9" s="119">
        <v>-6.4113600000000007E-2</v>
      </c>
      <c r="AA9" s="119">
        <v>-6.3030199999999995E-2</v>
      </c>
      <c r="AB9" s="119">
        <v>-7.2155400000000001E-4</v>
      </c>
      <c r="AC9" s="119">
        <v>-7.7598100000000003E-2</v>
      </c>
      <c r="AD9" s="119">
        <v>-3.9084000000000001E-2</v>
      </c>
      <c r="AE9" s="119">
        <v>-6.4779199999999995E-2</v>
      </c>
      <c r="AF9" s="119">
        <v>-6.9990999999999998E-2</v>
      </c>
      <c r="AG9" s="119" t="s">
        <v>249</v>
      </c>
      <c r="AH9" s="119" t="s">
        <v>173</v>
      </c>
      <c r="AI9" s="119">
        <v>44.706395999999998</v>
      </c>
      <c r="AJ9" s="119">
        <v>45.005457999999997</v>
      </c>
      <c r="AK9" s="119">
        <v>7993240</v>
      </c>
      <c r="AL9" s="119">
        <v>1.6216666698455999</v>
      </c>
      <c r="AN9" s="123">
        <f t="shared" si="0"/>
        <v>46249</v>
      </c>
      <c r="AO9" s="124">
        <f t="shared" si="1"/>
        <v>0.68747685185185181</v>
      </c>
      <c r="AQ9" s="125">
        <v>55.293604000000002</v>
      </c>
      <c r="AR9" s="125">
        <v>55.663488000000001</v>
      </c>
      <c r="AS9" s="125">
        <v>265644853</v>
      </c>
      <c r="AT9" s="125">
        <v>3.9980000000000002</v>
      </c>
      <c r="AV9" s="126">
        <f t="shared" si="2"/>
        <v>2.5872878027628654</v>
      </c>
      <c r="AW9" s="125">
        <f t="shared" si="3"/>
        <v>2.4106811268063559</v>
      </c>
    </row>
    <row r="10" spans="1:49">
      <c r="A10" s="118" t="s">
        <v>250</v>
      </c>
      <c r="B10" s="119">
        <v>1</v>
      </c>
      <c r="C10" s="119">
        <v>210</v>
      </c>
      <c r="D10" s="119">
        <v>210</v>
      </c>
      <c r="E10" s="119">
        <v>24.963799999999999</v>
      </c>
      <c r="F10" s="119">
        <v>25.047699999999999</v>
      </c>
      <c r="G10" s="119">
        <v>1726.7</v>
      </c>
      <c r="H10" s="119">
        <v>1726.1</v>
      </c>
      <c r="I10" s="119">
        <v>1726.66</v>
      </c>
      <c r="J10" s="119">
        <v>1725.29</v>
      </c>
      <c r="K10" s="119">
        <v>1726.62</v>
      </c>
      <c r="L10" s="119">
        <v>1726.76</v>
      </c>
      <c r="M10" s="119">
        <v>1726.44</v>
      </c>
      <c r="N10" s="119">
        <v>1726.99</v>
      </c>
      <c r="O10" s="119">
        <v>1.0906800000000001</v>
      </c>
      <c r="P10" s="119">
        <v>2498.58</v>
      </c>
      <c r="Q10" s="119">
        <v>2500.04</v>
      </c>
      <c r="R10" s="119">
        <v>2498.9299999999998</v>
      </c>
      <c r="S10" s="119">
        <v>2499.9299999999998</v>
      </c>
      <c r="T10" s="119">
        <v>2500.02</v>
      </c>
      <c r="U10" s="119">
        <v>2499.5100000000002</v>
      </c>
      <c r="V10" s="119">
        <v>2499.9</v>
      </c>
      <c r="W10" s="119">
        <v>1999.59</v>
      </c>
      <c r="X10" s="119">
        <v>209.9</v>
      </c>
      <c r="Y10" s="119">
        <v>6.1993399999999997E-2</v>
      </c>
      <c r="Z10" s="119">
        <v>-6.4959799999999998E-2</v>
      </c>
      <c r="AA10" s="119">
        <v>-6.7928100000000005E-2</v>
      </c>
      <c r="AB10" s="119">
        <v>-6.61796E-3</v>
      </c>
      <c r="AC10" s="119">
        <v>-8.0494999999999997E-2</v>
      </c>
      <c r="AD10" s="119">
        <v>-4.1911900000000002E-2</v>
      </c>
      <c r="AE10" s="119">
        <v>-6.2024099999999999E-2</v>
      </c>
      <c r="AF10" s="119">
        <v>-7.3970400000000006E-2</v>
      </c>
      <c r="AG10" s="119" t="s">
        <v>251</v>
      </c>
      <c r="AH10" s="119" t="s">
        <v>173</v>
      </c>
      <c r="AI10" s="119">
        <v>40.864173999999998</v>
      </c>
      <c r="AJ10" s="119">
        <v>41.164028999999999</v>
      </c>
      <c r="AK10" s="119">
        <v>7310979</v>
      </c>
      <c r="AL10" s="119">
        <v>1.6200001239777</v>
      </c>
      <c r="AN10" s="123">
        <f t="shared" si="0"/>
        <v>46249</v>
      </c>
      <c r="AO10" s="124">
        <f t="shared" si="1"/>
        <v>0.69674768518518515</v>
      </c>
      <c r="AQ10" s="125">
        <v>59.135826000000002</v>
      </c>
      <c r="AR10" s="125">
        <v>59.569754000000003</v>
      </c>
      <c r="AS10" s="125">
        <v>284286865</v>
      </c>
      <c r="AT10" s="125">
        <v>3.9950000000000001</v>
      </c>
      <c r="AV10" s="126">
        <f t="shared" si="2"/>
        <v>2.211271333218547</v>
      </c>
      <c r="AW10" s="125">
        <f t="shared" si="3"/>
        <v>2.0603313104732535</v>
      </c>
    </row>
    <row r="11" spans="1:49">
      <c r="A11" s="118" t="s">
        <v>252</v>
      </c>
      <c r="B11" s="119">
        <v>2</v>
      </c>
      <c r="C11" s="119">
        <v>210</v>
      </c>
      <c r="D11" s="119">
        <v>210</v>
      </c>
      <c r="E11" s="119">
        <v>25.1374</v>
      </c>
      <c r="F11" s="119">
        <v>25.020299999999999</v>
      </c>
      <c r="G11" s="119">
        <v>1719.66</v>
      </c>
      <c r="H11" s="119">
        <v>1719.81</v>
      </c>
      <c r="I11" s="119">
        <v>1719.19</v>
      </c>
      <c r="J11" s="119">
        <v>1718.65</v>
      </c>
      <c r="K11" s="119">
        <v>1719</v>
      </c>
      <c r="L11" s="119">
        <v>1719.79</v>
      </c>
      <c r="M11" s="119">
        <v>1719.02</v>
      </c>
      <c r="N11" s="119">
        <v>1718.66</v>
      </c>
      <c r="O11" s="119">
        <v>1.15011</v>
      </c>
      <c r="P11" s="119">
        <v>2499.9299999999998</v>
      </c>
      <c r="Q11" s="119">
        <v>2500.5500000000002</v>
      </c>
      <c r="R11" s="119">
        <v>2500.14</v>
      </c>
      <c r="S11" s="119">
        <v>2499.66</v>
      </c>
      <c r="T11" s="119">
        <v>2499.5</v>
      </c>
      <c r="U11" s="119">
        <v>2499.21</v>
      </c>
      <c r="V11" s="119">
        <v>2500.21</v>
      </c>
      <c r="W11" s="119">
        <v>2000.63</v>
      </c>
      <c r="X11" s="119">
        <v>209.9</v>
      </c>
      <c r="Y11" s="119">
        <v>6.2169500000000003E-2</v>
      </c>
      <c r="Z11" s="119">
        <v>-7.0568000000000006E-2</v>
      </c>
      <c r="AA11" s="119">
        <v>-6.1461599999999998E-2</v>
      </c>
      <c r="AB11" s="119">
        <v>-6.2409400000000004E-3</v>
      </c>
      <c r="AC11" s="119">
        <v>-8.0894400000000005E-2</v>
      </c>
      <c r="AD11" s="119">
        <v>-4.3640900000000003E-2</v>
      </c>
      <c r="AE11" s="119">
        <v>-6.2853099999999995E-2</v>
      </c>
      <c r="AF11" s="119">
        <v>-7.3305800000000004E-2</v>
      </c>
      <c r="AG11" s="119" t="s">
        <v>253</v>
      </c>
      <c r="AH11" s="119" t="s">
        <v>173</v>
      </c>
      <c r="AI11" s="119">
        <v>38.785206000000002</v>
      </c>
      <c r="AJ11" s="119">
        <v>39.064076999999997</v>
      </c>
      <c r="AK11" s="119">
        <v>6938015</v>
      </c>
      <c r="AL11" s="119">
        <v>1.6183333396912001</v>
      </c>
      <c r="AN11" s="123">
        <f t="shared" si="0"/>
        <v>46249</v>
      </c>
      <c r="AO11" s="124">
        <f t="shared" si="1"/>
        <v>0.70601851851851849</v>
      </c>
      <c r="AQ11" s="125">
        <v>61.214793999999998</v>
      </c>
      <c r="AR11" s="125">
        <v>61.654936999999997</v>
      </c>
      <c r="AS11" s="125">
        <v>294238060</v>
      </c>
      <c r="AT11" s="125">
        <v>3.99</v>
      </c>
      <c r="AV11" s="126">
        <f t="shared" si="2"/>
        <v>2.0274945170933685</v>
      </c>
      <c r="AW11" s="125">
        <f t="shared" si="3"/>
        <v>1.8890989869163466</v>
      </c>
    </row>
    <row r="12" spans="1:49">
      <c r="A12" s="118" t="s">
        <v>254</v>
      </c>
      <c r="B12" s="119">
        <v>3</v>
      </c>
      <c r="C12" s="119">
        <v>210</v>
      </c>
      <c r="D12" s="119">
        <v>210.1</v>
      </c>
      <c r="E12" s="119">
        <v>25.154800000000002</v>
      </c>
      <c r="F12" s="119">
        <v>25.0275</v>
      </c>
      <c r="G12" s="119">
        <v>1671.91</v>
      </c>
      <c r="H12" s="119">
        <v>1670.95</v>
      </c>
      <c r="I12" s="119">
        <v>1671.15</v>
      </c>
      <c r="J12" s="119">
        <v>1671.24</v>
      </c>
      <c r="K12" s="119">
        <v>1671.32</v>
      </c>
      <c r="L12" s="119">
        <v>1671.48</v>
      </c>
      <c r="M12" s="119">
        <v>1671.87</v>
      </c>
      <c r="N12" s="119">
        <v>1671.52</v>
      </c>
      <c r="O12" s="119">
        <v>1.2097599999999999</v>
      </c>
      <c r="P12" s="119">
        <v>2499.6999999999998</v>
      </c>
      <c r="Q12" s="119">
        <v>2500.44</v>
      </c>
      <c r="R12" s="119">
        <v>2499.83</v>
      </c>
      <c r="S12" s="119">
        <v>2499.94</v>
      </c>
      <c r="T12" s="119">
        <v>2499.9499999999998</v>
      </c>
      <c r="U12" s="119">
        <v>2500.0700000000002</v>
      </c>
      <c r="V12" s="119">
        <v>2500.42</v>
      </c>
      <c r="W12" s="119">
        <v>2000.03</v>
      </c>
      <c r="X12" s="119">
        <v>209.9</v>
      </c>
      <c r="Y12" s="119">
        <v>6.6088099999999997E-2</v>
      </c>
      <c r="Z12" s="119">
        <v>-6.4380000000000007E-2</v>
      </c>
      <c r="AA12" s="119">
        <v>-6.1734200000000003E-2</v>
      </c>
      <c r="AB12" s="119">
        <v>4.6706299999999998E-4</v>
      </c>
      <c r="AC12" s="119">
        <v>-7.8687999999999994E-2</v>
      </c>
      <c r="AD12" s="119">
        <v>-3.9280700000000002E-2</v>
      </c>
      <c r="AE12" s="119">
        <v>-6.1420299999999997E-2</v>
      </c>
      <c r="AF12" s="119">
        <v>-7.10755E-2</v>
      </c>
      <c r="AG12" s="119" t="s">
        <v>255</v>
      </c>
      <c r="AH12" s="119" t="s">
        <v>173</v>
      </c>
      <c r="AI12" s="119">
        <v>39.031326999999997</v>
      </c>
      <c r="AJ12" s="119">
        <v>39.333505000000002</v>
      </c>
      <c r="AK12" s="119">
        <v>6985867</v>
      </c>
      <c r="AL12" s="119">
        <v>1.6166666746139999</v>
      </c>
      <c r="AN12" s="123">
        <f t="shared" si="0"/>
        <v>46249</v>
      </c>
      <c r="AO12" s="124">
        <f t="shared" si="1"/>
        <v>0.71530092592592598</v>
      </c>
      <c r="AQ12" s="125">
        <v>60.968673000000003</v>
      </c>
      <c r="AR12" s="125">
        <v>61.440688999999999</v>
      </c>
      <c r="AS12" s="125">
        <v>293215595</v>
      </c>
      <c r="AT12" s="125">
        <v>3.99</v>
      </c>
      <c r="AV12" s="126">
        <f t="shared" si="2"/>
        <v>2.0485970951016106</v>
      </c>
      <c r="AW12" s="125">
        <f t="shared" si="3"/>
        <v>1.9087611159137876</v>
      </c>
    </row>
    <row r="13" spans="1:49">
      <c r="A13" s="118" t="s">
        <v>256</v>
      </c>
      <c r="B13" s="119">
        <v>4</v>
      </c>
      <c r="C13" s="119">
        <v>210</v>
      </c>
      <c r="D13" s="119">
        <v>210</v>
      </c>
      <c r="E13" s="119">
        <v>25.036200000000001</v>
      </c>
      <c r="F13" s="119">
        <v>25.037600000000001</v>
      </c>
      <c r="G13" s="119">
        <v>1720.3</v>
      </c>
      <c r="H13" s="119">
        <v>1720.45</v>
      </c>
      <c r="I13" s="119">
        <v>1720.62</v>
      </c>
      <c r="J13" s="119">
        <v>1720.64</v>
      </c>
      <c r="K13" s="119">
        <v>1720.89</v>
      </c>
      <c r="L13" s="119">
        <v>1721.5</v>
      </c>
      <c r="M13" s="119">
        <v>1720.72</v>
      </c>
      <c r="N13" s="119">
        <v>1720.62</v>
      </c>
      <c r="O13" s="119">
        <v>1.1380600000000001</v>
      </c>
      <c r="P13" s="119">
        <v>2499.6799999999998</v>
      </c>
      <c r="Q13" s="119">
        <v>2499.85</v>
      </c>
      <c r="R13" s="119">
        <v>2499.6999999999998</v>
      </c>
      <c r="S13" s="119">
        <v>2500.46</v>
      </c>
      <c r="T13" s="119">
        <v>2500.04</v>
      </c>
      <c r="U13" s="119">
        <v>2499.98</v>
      </c>
      <c r="V13" s="119">
        <v>2498.56</v>
      </c>
      <c r="W13" s="119">
        <v>1999.51</v>
      </c>
      <c r="X13" s="119">
        <v>209.9</v>
      </c>
      <c r="Y13" s="119">
        <v>6.2449499999999998E-2</v>
      </c>
      <c r="Z13" s="119">
        <v>-6.2916799999999995E-2</v>
      </c>
      <c r="AA13" s="119">
        <v>-6.0867900000000003E-2</v>
      </c>
      <c r="AB13" s="119">
        <v>-9.2732299999999997E-4</v>
      </c>
      <c r="AC13" s="119">
        <v>-7.9825300000000002E-2</v>
      </c>
      <c r="AD13" s="119">
        <v>-3.7816799999999998E-2</v>
      </c>
      <c r="AE13" s="119">
        <v>-6.37876E-2</v>
      </c>
      <c r="AF13" s="119">
        <v>-7.2173299999999996E-2</v>
      </c>
      <c r="AG13" s="119" t="s">
        <v>257</v>
      </c>
      <c r="AH13" s="119" t="s">
        <v>173</v>
      </c>
      <c r="AI13" s="119">
        <v>40.488397999999997</v>
      </c>
      <c r="AJ13" s="119">
        <v>40.810229</v>
      </c>
      <c r="AK13" s="119">
        <v>7248142</v>
      </c>
      <c r="AL13" s="119">
        <v>1.6183333396912001</v>
      </c>
      <c r="AN13" s="123">
        <f t="shared" si="0"/>
        <v>46249</v>
      </c>
      <c r="AO13" s="124">
        <f t="shared" si="1"/>
        <v>0.72456018518518517</v>
      </c>
      <c r="AQ13" s="125">
        <v>59.511602000000003</v>
      </c>
      <c r="AR13" s="125">
        <v>59.984642000000001</v>
      </c>
      <c r="AS13" s="125">
        <v>286266848</v>
      </c>
      <c r="AT13" s="125">
        <v>3.992</v>
      </c>
      <c r="AV13" s="126">
        <f t="shared" si="2"/>
        <v>2.1771027706496624</v>
      </c>
      <c r="AW13" s="125">
        <f t="shared" si="3"/>
        <v>2.0284950729943954</v>
      </c>
    </row>
    <row r="14" spans="1:49">
      <c r="A14" s="118" t="s">
        <v>258</v>
      </c>
      <c r="B14" s="119">
        <v>5</v>
      </c>
      <c r="C14" s="119">
        <v>210</v>
      </c>
      <c r="D14" s="119">
        <v>210</v>
      </c>
      <c r="E14" s="119">
        <v>25.015899999999998</v>
      </c>
      <c r="F14" s="119">
        <v>25.026</v>
      </c>
      <c r="G14" s="119">
        <v>1713.65</v>
      </c>
      <c r="H14" s="119">
        <v>1713.75</v>
      </c>
      <c r="I14" s="119">
        <v>1713.27</v>
      </c>
      <c r="J14" s="119">
        <v>1712.34</v>
      </c>
      <c r="K14" s="119">
        <v>1713.96</v>
      </c>
      <c r="L14" s="119">
        <v>1713.26</v>
      </c>
      <c r="M14" s="119">
        <v>1713.29</v>
      </c>
      <c r="N14" s="119">
        <v>1713.51</v>
      </c>
      <c r="O14" s="119">
        <v>1.1760299999999999</v>
      </c>
      <c r="P14" s="119">
        <v>2499.89</v>
      </c>
      <c r="Q14" s="119">
        <v>2499.5300000000002</v>
      </c>
      <c r="R14" s="119">
        <v>2500.46</v>
      </c>
      <c r="S14" s="119">
        <v>2500.4</v>
      </c>
      <c r="T14" s="119">
        <v>2499.87</v>
      </c>
      <c r="U14" s="119">
        <v>2500.38</v>
      </c>
      <c r="V14" s="119">
        <v>2499.83</v>
      </c>
      <c r="W14" s="119">
        <v>1999.84</v>
      </c>
      <c r="X14" s="119">
        <v>210.1</v>
      </c>
      <c r="Y14" s="119">
        <v>6.6812899999999995E-2</v>
      </c>
      <c r="Z14" s="119">
        <v>-6.0051599999999997E-2</v>
      </c>
      <c r="AA14" s="119">
        <v>-5.8990099999999997E-2</v>
      </c>
      <c r="AB14" s="119">
        <v>1.0489900000000001E-3</v>
      </c>
      <c r="AC14" s="119">
        <v>-8.1313399999999994E-2</v>
      </c>
      <c r="AD14" s="119">
        <v>-3.8067499999999997E-2</v>
      </c>
      <c r="AE14" s="119">
        <v>-6.2258599999999997E-2</v>
      </c>
      <c r="AF14" s="119">
        <v>-6.8109500000000003E-2</v>
      </c>
      <c r="AG14" s="119" t="s">
        <v>259</v>
      </c>
      <c r="AH14" s="119" t="s">
        <v>173</v>
      </c>
      <c r="AI14" s="119">
        <v>40.206935000000001</v>
      </c>
      <c r="AJ14" s="119">
        <v>40.494422999999998</v>
      </c>
      <c r="AK14" s="119">
        <v>7192053</v>
      </c>
      <c r="AL14" s="119">
        <v>1.6166666746139999</v>
      </c>
      <c r="AN14" s="123">
        <f t="shared" si="0"/>
        <v>46249</v>
      </c>
      <c r="AO14" s="124">
        <f t="shared" si="1"/>
        <v>0.73384259259259255</v>
      </c>
      <c r="AQ14" s="125">
        <v>59.793064999999999</v>
      </c>
      <c r="AR14" s="125">
        <v>60.220598000000003</v>
      </c>
      <c r="AS14" s="125">
        <v>287392913</v>
      </c>
      <c r="AT14" s="125">
        <v>3.992</v>
      </c>
      <c r="AV14" s="126">
        <f t="shared" si="2"/>
        <v>2.1517912152521368</v>
      </c>
      <c r="AW14" s="125">
        <f t="shared" si="3"/>
        <v>2.0049112688185438</v>
      </c>
    </row>
    <row r="15" spans="1:49">
      <c r="A15" s="118" t="s">
        <v>260</v>
      </c>
      <c r="B15" s="119">
        <v>6</v>
      </c>
      <c r="C15" s="119">
        <v>210</v>
      </c>
      <c r="D15" s="119">
        <v>210</v>
      </c>
      <c r="E15" s="119">
        <v>25.1722</v>
      </c>
      <c r="F15" s="119">
        <v>25.042000000000002</v>
      </c>
      <c r="G15" s="119">
        <v>1725.94</v>
      </c>
      <c r="H15" s="119">
        <v>1724.8</v>
      </c>
      <c r="I15" s="119">
        <v>1725.5</v>
      </c>
      <c r="J15" s="119">
        <v>1725.34</v>
      </c>
      <c r="K15" s="119">
        <v>1724.61</v>
      </c>
      <c r="L15" s="119">
        <v>1725.35</v>
      </c>
      <c r="M15" s="119">
        <v>1724.64</v>
      </c>
      <c r="N15" s="119">
        <v>1724.67</v>
      </c>
      <c r="O15" s="119">
        <v>1.0324800000000001</v>
      </c>
      <c r="P15" s="119">
        <v>2500.0700000000002</v>
      </c>
      <c r="Q15" s="119">
        <v>2500</v>
      </c>
      <c r="R15" s="119">
        <v>2499.62</v>
      </c>
      <c r="S15" s="119">
        <v>2500.2600000000002</v>
      </c>
      <c r="T15" s="119">
        <v>2500.0500000000002</v>
      </c>
      <c r="U15" s="119">
        <v>2500.0300000000002</v>
      </c>
      <c r="V15" s="119">
        <v>2500.27</v>
      </c>
      <c r="W15" s="119">
        <v>2000.49</v>
      </c>
      <c r="X15" s="119">
        <v>209.9</v>
      </c>
      <c r="Y15" s="119">
        <v>6.2791700000000006E-2</v>
      </c>
      <c r="Z15" s="119">
        <v>-6.4601500000000006E-2</v>
      </c>
      <c r="AA15" s="119">
        <v>-6.0680199999999997E-2</v>
      </c>
      <c r="AB15" s="119">
        <v>2.8971700000000001E-3</v>
      </c>
      <c r="AC15" s="119">
        <v>-7.8453099999999998E-2</v>
      </c>
      <c r="AD15" s="119">
        <v>-3.7192799999999998E-2</v>
      </c>
      <c r="AE15" s="119">
        <v>-8.2811899999999994E-2</v>
      </c>
      <c r="AF15" s="119">
        <v>-7.2905399999999995E-2</v>
      </c>
      <c r="AG15" s="119" t="s">
        <v>261</v>
      </c>
      <c r="AH15" s="119" t="s">
        <v>173</v>
      </c>
      <c r="AI15" s="119">
        <v>39.381737000000001</v>
      </c>
      <c r="AJ15" s="119">
        <v>39.693071000000003</v>
      </c>
      <c r="AK15" s="119">
        <v>7049728</v>
      </c>
      <c r="AL15" s="119">
        <v>1.6166666746139999</v>
      </c>
      <c r="AN15" s="123">
        <f t="shared" si="0"/>
        <v>46249</v>
      </c>
      <c r="AO15" s="124">
        <f t="shared" si="1"/>
        <v>0.74310185185185185</v>
      </c>
      <c r="AQ15" s="125">
        <v>60.618262999999999</v>
      </c>
      <c r="AR15" s="125">
        <v>61.097481999999999</v>
      </c>
      <c r="AS15" s="125">
        <v>291577696</v>
      </c>
      <c r="AT15" s="125">
        <v>3.99</v>
      </c>
      <c r="AV15" s="126">
        <f t="shared" si="2"/>
        <v>2.0789371414354121</v>
      </c>
      <c r="AW15" s="125">
        <f t="shared" si="3"/>
        <v>1.9370301693237797</v>
      </c>
    </row>
    <row r="16" spans="1:49">
      <c r="A16" s="118" t="s">
        <v>262</v>
      </c>
      <c r="B16" s="119">
        <v>7</v>
      </c>
      <c r="C16" s="119">
        <v>210</v>
      </c>
      <c r="D16" s="119">
        <v>210</v>
      </c>
      <c r="E16" s="119">
        <v>25.193899999999999</v>
      </c>
      <c r="F16" s="119">
        <v>25.023099999999999</v>
      </c>
      <c r="G16" s="119">
        <v>1742.54</v>
      </c>
      <c r="H16" s="119">
        <v>1742.48</v>
      </c>
      <c r="I16" s="119">
        <v>1742.88</v>
      </c>
      <c r="J16" s="119">
        <v>1742.79</v>
      </c>
      <c r="K16" s="119">
        <v>1742.21</v>
      </c>
      <c r="L16" s="119">
        <v>1742.3</v>
      </c>
      <c r="M16" s="119">
        <v>1741.63</v>
      </c>
      <c r="N16" s="119">
        <v>1742.52</v>
      </c>
      <c r="O16" s="119">
        <v>1.09463</v>
      </c>
      <c r="P16" s="119">
        <v>2500.2199999999998</v>
      </c>
      <c r="Q16" s="119">
        <v>2499.46</v>
      </c>
      <c r="R16" s="119">
        <v>2499.7800000000002</v>
      </c>
      <c r="S16" s="119">
        <v>2499.66</v>
      </c>
      <c r="T16" s="119">
        <v>2499.71</v>
      </c>
      <c r="U16" s="119">
        <v>2499.56</v>
      </c>
      <c r="V16" s="119">
        <v>2499.8200000000002</v>
      </c>
      <c r="W16" s="119">
        <v>1999.75</v>
      </c>
      <c r="X16" s="119">
        <v>210.1</v>
      </c>
      <c r="Y16" s="119">
        <v>6.7403699999999997E-2</v>
      </c>
      <c r="Z16" s="119">
        <v>-6.1210500000000001E-2</v>
      </c>
      <c r="AA16" s="119">
        <v>-5.6821000000000003E-2</v>
      </c>
      <c r="AB16" s="119">
        <v>3.9431900000000002E-4</v>
      </c>
      <c r="AC16" s="119">
        <v>-7.8801099999999999E-2</v>
      </c>
      <c r="AD16" s="119">
        <v>-3.5923200000000002E-2</v>
      </c>
      <c r="AE16" s="119">
        <v>-6.3222600000000004E-2</v>
      </c>
      <c r="AF16" s="119">
        <v>-6.8780900000000006E-2</v>
      </c>
      <c r="AG16" s="119" t="s">
        <v>263</v>
      </c>
      <c r="AH16" s="119" t="s">
        <v>173</v>
      </c>
      <c r="AI16" s="119">
        <v>40.099606000000001</v>
      </c>
      <c r="AJ16" s="119">
        <v>40.421835000000002</v>
      </c>
      <c r="AK16" s="119">
        <v>7179161</v>
      </c>
      <c r="AL16" s="119">
        <v>1.6183333396912001</v>
      </c>
      <c r="AN16" s="123">
        <f t="shared" si="0"/>
        <v>46249</v>
      </c>
      <c r="AO16" s="124">
        <f t="shared" si="1"/>
        <v>0.75237268518518519</v>
      </c>
      <c r="AQ16" s="125">
        <v>59.900393999999999</v>
      </c>
      <c r="AR16" s="125">
        <v>60.381737000000001</v>
      </c>
      <c r="AS16" s="125">
        <v>288161921</v>
      </c>
      <c r="AT16" s="125">
        <v>3.99</v>
      </c>
      <c r="AV16" s="126">
        <f t="shared" si="2"/>
        <v>2.1422019227452829</v>
      </c>
      <c r="AW16" s="125">
        <f t="shared" si="3"/>
        <v>1.9959765355271748</v>
      </c>
    </row>
    <row r="17" spans="1:49">
      <c r="A17" s="118" t="s">
        <v>264</v>
      </c>
      <c r="B17" s="119">
        <v>8</v>
      </c>
      <c r="C17" s="119">
        <v>210</v>
      </c>
      <c r="D17" s="119">
        <v>210</v>
      </c>
      <c r="E17" s="119">
        <v>25.216999999999999</v>
      </c>
      <c r="F17" s="119">
        <v>25.026</v>
      </c>
      <c r="G17" s="119">
        <v>1731.44</v>
      </c>
      <c r="H17" s="119">
        <v>1731.08</v>
      </c>
      <c r="I17" s="119">
        <v>1731.54</v>
      </c>
      <c r="J17" s="119">
        <v>1731.21</v>
      </c>
      <c r="K17" s="119">
        <v>1731.81</v>
      </c>
      <c r="L17" s="119">
        <v>1730.95</v>
      </c>
      <c r="M17" s="119">
        <v>1731.43</v>
      </c>
      <c r="N17" s="119">
        <v>1731.49</v>
      </c>
      <c r="O17" s="119">
        <v>1.10561</v>
      </c>
      <c r="P17" s="119">
        <v>2500.4499999999998</v>
      </c>
      <c r="Q17" s="119">
        <v>2500.69</v>
      </c>
      <c r="R17" s="119">
        <v>2500.75</v>
      </c>
      <c r="S17" s="119">
        <v>2498.91</v>
      </c>
      <c r="T17" s="119">
        <v>2499.75</v>
      </c>
      <c r="U17" s="119">
        <v>2500.4699999999998</v>
      </c>
      <c r="V17" s="119">
        <v>2500.15</v>
      </c>
      <c r="W17" s="119">
        <v>2000.18</v>
      </c>
      <c r="X17" s="119">
        <v>210</v>
      </c>
      <c r="Y17" s="119">
        <v>6.4910200000000001E-2</v>
      </c>
      <c r="Z17" s="119">
        <v>-6.5281500000000006E-2</v>
      </c>
      <c r="AA17" s="119">
        <v>-6.1675300000000002E-2</v>
      </c>
      <c r="AB17" s="119">
        <v>-3.0746599999999999E-3</v>
      </c>
      <c r="AC17" s="119">
        <v>-8.2583699999999996E-2</v>
      </c>
      <c r="AD17" s="119">
        <v>-3.9742199999999998E-2</v>
      </c>
      <c r="AE17" s="119">
        <v>-6.80061E-2</v>
      </c>
      <c r="AF17" s="119">
        <v>-7.3054400000000005E-2</v>
      </c>
      <c r="AG17" s="119" t="s">
        <v>265</v>
      </c>
      <c r="AH17" s="119" t="s">
        <v>173</v>
      </c>
      <c r="AI17" s="119">
        <v>44.726844</v>
      </c>
      <c r="AJ17" s="119">
        <v>45.073574999999998</v>
      </c>
      <c r="AK17" s="119">
        <v>8005338</v>
      </c>
      <c r="AL17" s="119">
        <v>1.6200001239777</v>
      </c>
      <c r="AN17" s="123">
        <f t="shared" si="0"/>
        <v>46249</v>
      </c>
      <c r="AO17" s="124">
        <f t="shared" si="1"/>
        <v>0.76163194444444449</v>
      </c>
      <c r="AQ17" s="125">
        <v>55.273156</v>
      </c>
      <c r="AR17" s="125">
        <v>55.701644000000002</v>
      </c>
      <c r="AS17" s="125">
        <v>265826947</v>
      </c>
      <c r="AT17" s="125">
        <v>3.9980000000000002</v>
      </c>
      <c r="AV17" s="126">
        <f t="shared" si="2"/>
        <v>2.5894287780491494</v>
      </c>
      <c r="AW17" s="125">
        <f t="shared" si="3"/>
        <v>2.4126759604348731</v>
      </c>
    </row>
    <row r="18" spans="1:49">
      <c r="A18" s="118" t="s">
        <v>266</v>
      </c>
      <c r="B18" s="119">
        <v>1</v>
      </c>
      <c r="C18" s="119">
        <v>210</v>
      </c>
      <c r="D18" s="119">
        <v>210</v>
      </c>
      <c r="E18" s="119">
        <v>25.1678</v>
      </c>
      <c r="F18" s="119">
        <v>25.0318</v>
      </c>
      <c r="G18" s="119">
        <v>1707.05</v>
      </c>
      <c r="H18" s="119">
        <v>1706.27</v>
      </c>
      <c r="I18" s="119">
        <v>1706.87</v>
      </c>
      <c r="J18" s="119">
        <v>1706.34</v>
      </c>
      <c r="K18" s="119">
        <v>1706.31</v>
      </c>
      <c r="L18" s="119">
        <v>1706.55</v>
      </c>
      <c r="M18" s="119">
        <v>1706.78</v>
      </c>
      <c r="N18" s="119">
        <v>1707.5</v>
      </c>
      <c r="O18" s="119">
        <v>1.1268100000000001</v>
      </c>
      <c r="P18" s="119">
        <v>2499.69</v>
      </c>
      <c r="Q18" s="119">
        <v>2500.4299999999998</v>
      </c>
      <c r="R18" s="119">
        <v>2499.46</v>
      </c>
      <c r="S18" s="119">
        <v>2500.2199999999998</v>
      </c>
      <c r="T18" s="119">
        <v>2499.34</v>
      </c>
      <c r="U18" s="119">
        <v>2499.5500000000002</v>
      </c>
      <c r="V18" s="119">
        <v>2499.58</v>
      </c>
      <c r="W18" s="119">
        <v>2000.55</v>
      </c>
      <c r="X18" s="119">
        <v>210</v>
      </c>
      <c r="Y18" s="119">
        <v>6.1197000000000001E-2</v>
      </c>
      <c r="Z18" s="119">
        <v>-6.4869399999999994E-2</v>
      </c>
      <c r="AA18" s="119">
        <v>-6.8990099999999999E-2</v>
      </c>
      <c r="AB18" s="119">
        <v>-1.5583000000000001E-3</v>
      </c>
      <c r="AC18" s="119">
        <v>-7.8707600000000003E-2</v>
      </c>
      <c r="AD18" s="119">
        <v>-4.0027600000000003E-2</v>
      </c>
      <c r="AE18" s="119">
        <v>-6.5828399999999995E-2</v>
      </c>
      <c r="AF18" s="119">
        <v>-7.30793E-2</v>
      </c>
      <c r="AG18" s="119" t="s">
        <v>267</v>
      </c>
      <c r="AH18" s="119" t="s">
        <v>173</v>
      </c>
      <c r="AI18" s="119">
        <v>40.785815999999997</v>
      </c>
      <c r="AJ18" s="119">
        <v>41.125532999999997</v>
      </c>
      <c r="AK18" s="119">
        <v>7304142</v>
      </c>
      <c r="AL18" s="119">
        <v>1.6183333396912001</v>
      </c>
      <c r="AN18" s="123">
        <f t="shared" si="0"/>
        <v>46249</v>
      </c>
      <c r="AO18" s="124">
        <f t="shared" si="1"/>
        <v>0.77091435185185186</v>
      </c>
      <c r="AQ18" s="125">
        <v>59.214184000000003</v>
      </c>
      <c r="AR18" s="125">
        <v>59.707396000000003</v>
      </c>
      <c r="AS18" s="125">
        <v>284943737</v>
      </c>
      <c r="AT18" s="125">
        <v>3.992</v>
      </c>
      <c r="AV18" s="126">
        <f t="shared" si="2"/>
        <v>2.2041106097147263</v>
      </c>
      <c r="AW18" s="125">
        <f t="shared" si="3"/>
        <v>2.0536593735567248</v>
      </c>
    </row>
    <row r="19" spans="1:49">
      <c r="A19" s="118" t="s">
        <v>268</v>
      </c>
      <c r="B19" s="119">
        <v>2</v>
      </c>
      <c r="C19" s="119">
        <v>210</v>
      </c>
      <c r="D19" s="119">
        <v>210</v>
      </c>
      <c r="E19" s="119">
        <v>25.2271</v>
      </c>
      <c r="F19" s="119">
        <v>25.070900000000002</v>
      </c>
      <c r="G19" s="119">
        <v>1711.12</v>
      </c>
      <c r="H19" s="119">
        <v>1713.19</v>
      </c>
      <c r="I19" s="119">
        <v>1711.92</v>
      </c>
      <c r="J19" s="119">
        <v>1713.98</v>
      </c>
      <c r="K19" s="119">
        <v>1713.03</v>
      </c>
      <c r="L19" s="119">
        <v>1712.42</v>
      </c>
      <c r="M19" s="119">
        <v>1712.32</v>
      </c>
      <c r="N19" s="119">
        <v>1711.91</v>
      </c>
      <c r="O19" s="119">
        <v>1.20902</v>
      </c>
      <c r="P19" s="119">
        <v>2499.38</v>
      </c>
      <c r="Q19" s="119">
        <v>2499.9899999999998</v>
      </c>
      <c r="R19" s="119">
        <v>2499.84</v>
      </c>
      <c r="S19" s="119">
        <v>2500.42</v>
      </c>
      <c r="T19" s="119">
        <v>2500.13</v>
      </c>
      <c r="U19" s="119">
        <v>2499.9299999999998</v>
      </c>
      <c r="V19" s="119">
        <v>2499.2199999999998</v>
      </c>
      <c r="W19" s="119">
        <v>2001.4</v>
      </c>
      <c r="X19" s="119">
        <v>210.1</v>
      </c>
      <c r="Y19" s="119">
        <v>6.6056299999999998E-2</v>
      </c>
      <c r="Z19" s="119">
        <v>-6.0666499999999998E-2</v>
      </c>
      <c r="AA19" s="119">
        <v>-5.7908300000000003E-2</v>
      </c>
      <c r="AB19" s="119">
        <v>6.0502300000000002E-3</v>
      </c>
      <c r="AC19" s="119">
        <v>-7.9521999999999995E-2</v>
      </c>
      <c r="AD19" s="119">
        <v>-3.7809200000000001E-2</v>
      </c>
      <c r="AE19" s="119">
        <v>-6.6370200000000004E-2</v>
      </c>
      <c r="AF19" s="119">
        <v>-6.8751999999999994E-2</v>
      </c>
      <c r="AG19" s="119" t="s">
        <v>269</v>
      </c>
      <c r="AH19" s="119" t="s">
        <v>173</v>
      </c>
      <c r="AI19" s="119">
        <v>38.932706000000003</v>
      </c>
      <c r="AJ19" s="119">
        <v>39.282493000000002</v>
      </c>
      <c r="AK19" s="119">
        <v>6976807</v>
      </c>
      <c r="AL19" s="119">
        <v>1.6183333396912001</v>
      </c>
      <c r="AN19" s="123">
        <f t="shared" si="0"/>
        <v>46249</v>
      </c>
      <c r="AO19" s="124">
        <f t="shared" si="1"/>
        <v>0.78019675925925924</v>
      </c>
      <c r="AQ19" s="125">
        <v>61.067293999999997</v>
      </c>
      <c r="AR19" s="125">
        <v>61.615946999999998</v>
      </c>
      <c r="AS19" s="125">
        <v>294051983</v>
      </c>
      <c r="AT19" s="125">
        <v>3.99</v>
      </c>
      <c r="AV19" s="126">
        <f t="shared" si="2"/>
        <v>2.0401208411166873</v>
      </c>
      <c r="AW19" s="125">
        <f t="shared" si="3"/>
        <v>1.9008634458186198</v>
      </c>
    </row>
    <row r="20" spans="1:49">
      <c r="A20" s="118" t="s">
        <v>270</v>
      </c>
      <c r="B20" s="119">
        <v>3</v>
      </c>
      <c r="C20" s="119">
        <v>210</v>
      </c>
      <c r="D20" s="119">
        <v>209.9</v>
      </c>
      <c r="E20" s="119">
        <v>25.214099999999998</v>
      </c>
      <c r="F20" s="119">
        <v>25.0275</v>
      </c>
      <c r="G20" s="119">
        <v>1718.59</v>
      </c>
      <c r="H20" s="119">
        <v>1719.23</v>
      </c>
      <c r="I20" s="119">
        <v>1718.04</v>
      </c>
      <c r="J20" s="119">
        <v>1718.99</v>
      </c>
      <c r="K20" s="119">
        <v>1718.56</v>
      </c>
      <c r="L20" s="119">
        <v>1718.98</v>
      </c>
      <c r="M20" s="119">
        <v>1719.15</v>
      </c>
      <c r="N20" s="119">
        <v>1718.79</v>
      </c>
      <c r="O20" s="119">
        <v>1.19624</v>
      </c>
      <c r="P20" s="119">
        <v>2499.86</v>
      </c>
      <c r="Q20" s="119">
        <v>2499.7399999999998</v>
      </c>
      <c r="R20" s="119">
        <v>2498.8000000000002</v>
      </c>
      <c r="S20" s="119">
        <v>2499.48</v>
      </c>
      <c r="T20" s="119">
        <v>2499.62</v>
      </c>
      <c r="U20" s="119">
        <v>2499.65</v>
      </c>
      <c r="V20" s="119">
        <v>2500.3000000000002</v>
      </c>
      <c r="W20" s="119">
        <v>2000.12</v>
      </c>
      <c r="X20" s="119">
        <v>210</v>
      </c>
      <c r="Y20" s="119">
        <v>6.3842999999999997E-2</v>
      </c>
      <c r="Z20" s="119">
        <v>-6.3681199999999993E-2</v>
      </c>
      <c r="AA20" s="119">
        <v>-6.2361699999999999E-2</v>
      </c>
      <c r="AB20" s="119">
        <v>-1.93939E-3</v>
      </c>
      <c r="AC20" s="119">
        <v>-7.9911899999999994E-2</v>
      </c>
      <c r="AD20" s="119">
        <v>-3.8602999999999998E-2</v>
      </c>
      <c r="AE20" s="119">
        <v>-6.7486400000000002E-2</v>
      </c>
      <c r="AF20" s="119">
        <v>-7.0574999999999999E-2</v>
      </c>
      <c r="AG20" s="119" t="s">
        <v>271</v>
      </c>
      <c r="AH20" s="119" t="s">
        <v>173</v>
      </c>
      <c r="AI20" s="119">
        <v>39.264620999999998</v>
      </c>
      <c r="AJ20" s="119">
        <v>39.632570999999999</v>
      </c>
      <c r="AK20" s="119">
        <v>7038983</v>
      </c>
      <c r="AL20" s="119">
        <v>1.6166666746139999</v>
      </c>
      <c r="AN20" s="123">
        <f t="shared" ref="AN20:AN36" si="4">DATEVALUE(SUBSTITUTE(LEFT(A20,10),".","/"))</f>
        <v>46249</v>
      </c>
      <c r="AO20" s="124">
        <f t="shared" ref="AO20:AO36" si="5">TIMEVALUE(RIGHT(A20,8))</f>
        <v>0.78945601851851854</v>
      </c>
      <c r="AQ20" s="125">
        <v>60.735379000000002</v>
      </c>
      <c r="AR20" s="125">
        <v>61.304533999999997</v>
      </c>
      <c r="AS20" s="125">
        <v>292565818</v>
      </c>
      <c r="AT20" s="125">
        <v>3.988</v>
      </c>
      <c r="AV20" s="126">
        <f t="shared" si="2"/>
        <v>2.0687577696683181</v>
      </c>
      <c r="AW20" s="125">
        <f t="shared" si="3"/>
        <v>1.9275456352199687</v>
      </c>
    </row>
    <row r="21" spans="1:49">
      <c r="A21" s="118" t="s">
        <v>272</v>
      </c>
      <c r="B21" s="119">
        <v>4</v>
      </c>
      <c r="C21" s="119">
        <v>210</v>
      </c>
      <c r="D21" s="119">
        <v>209.9</v>
      </c>
      <c r="E21" s="119">
        <v>25.234400000000001</v>
      </c>
      <c r="F21" s="119">
        <v>25.033300000000001</v>
      </c>
      <c r="G21" s="119">
        <v>1410.28</v>
      </c>
      <c r="H21" s="119">
        <v>1410.63</v>
      </c>
      <c r="I21" s="119">
        <v>1410.24</v>
      </c>
      <c r="J21" s="119">
        <v>1410.97</v>
      </c>
      <c r="K21" s="119">
        <v>1410.56</v>
      </c>
      <c r="L21" s="119">
        <v>1410.48</v>
      </c>
      <c r="M21" s="119">
        <v>1410.08</v>
      </c>
      <c r="N21" s="119">
        <v>1410.65</v>
      </c>
      <c r="O21" s="119">
        <v>0.88529500000000005</v>
      </c>
      <c r="P21" s="119">
        <v>2499.9699999999998</v>
      </c>
      <c r="Q21" s="119">
        <v>2500.08</v>
      </c>
      <c r="R21" s="119">
        <v>2499.98</v>
      </c>
      <c r="S21" s="119">
        <v>2500.38</v>
      </c>
      <c r="T21" s="119">
        <v>2500.0100000000002</v>
      </c>
      <c r="U21" s="119">
        <v>2500.79</v>
      </c>
      <c r="V21" s="119">
        <v>2499.27</v>
      </c>
      <c r="W21" s="119">
        <v>2498.7600000000002</v>
      </c>
      <c r="X21" s="119">
        <v>209.9</v>
      </c>
      <c r="Y21" s="119">
        <v>6.3634300000000005E-2</v>
      </c>
      <c r="Z21" s="119">
        <v>-6.3469600000000001E-2</v>
      </c>
      <c r="AA21" s="119">
        <v>-6.1187699999999998E-2</v>
      </c>
      <c r="AB21" s="119">
        <v>-4.18974E-3</v>
      </c>
      <c r="AC21" s="119">
        <v>-7.9259999999999997E-2</v>
      </c>
      <c r="AD21" s="119">
        <v>-3.5901700000000002E-2</v>
      </c>
      <c r="AE21" s="119">
        <v>-6.9948999999999997E-2</v>
      </c>
      <c r="AF21" s="119">
        <v>-7.0649500000000004E-2</v>
      </c>
      <c r="AG21" s="119" t="s">
        <v>273</v>
      </c>
      <c r="AH21" s="119" t="s">
        <v>173</v>
      </c>
      <c r="AI21" s="119">
        <v>39.158706000000002</v>
      </c>
      <c r="AJ21" s="119">
        <v>39.532198000000001</v>
      </c>
      <c r="AK21" s="119">
        <v>7021156</v>
      </c>
      <c r="AL21" s="119">
        <v>1.6183333396912001</v>
      </c>
      <c r="AN21" s="123">
        <f t="shared" si="4"/>
        <v>46249</v>
      </c>
      <c r="AO21" s="124">
        <f t="shared" si="5"/>
        <v>0.79874999999999996</v>
      </c>
      <c r="AQ21" s="125">
        <v>60.841293999999998</v>
      </c>
      <c r="AR21" s="125">
        <v>61.421591999999997</v>
      </c>
      <c r="AS21" s="125">
        <v>293124457</v>
      </c>
      <c r="AT21" s="125">
        <v>3.988</v>
      </c>
      <c r="AV21" s="126">
        <f t="shared" si="2"/>
        <v>2.0595857017768231</v>
      </c>
      <c r="AW21" s="125">
        <f t="shared" si="3"/>
        <v>1.9189996470480297</v>
      </c>
    </row>
    <row r="22" spans="1:49">
      <c r="A22" s="118" t="s">
        <v>274</v>
      </c>
      <c r="B22" s="119">
        <v>5</v>
      </c>
      <c r="C22" s="119">
        <v>210</v>
      </c>
      <c r="D22" s="119">
        <v>210</v>
      </c>
      <c r="E22" s="119">
        <v>25.244499999999999</v>
      </c>
      <c r="F22" s="119">
        <v>25.017399999999999</v>
      </c>
      <c r="G22" s="119">
        <v>1412.21</v>
      </c>
      <c r="H22" s="119">
        <v>1412.56</v>
      </c>
      <c r="I22" s="119">
        <v>1412.66</v>
      </c>
      <c r="J22" s="119">
        <v>1413.15</v>
      </c>
      <c r="K22" s="119">
        <v>1412.59</v>
      </c>
      <c r="L22" s="119">
        <v>1411.14</v>
      </c>
      <c r="M22" s="119">
        <v>1412.34</v>
      </c>
      <c r="N22" s="119">
        <v>1413.03</v>
      </c>
      <c r="O22" s="119">
        <v>0.89757699999999996</v>
      </c>
      <c r="P22" s="119">
        <v>2500.15</v>
      </c>
      <c r="Q22" s="119">
        <v>2499.98</v>
      </c>
      <c r="R22" s="119">
        <v>2499.9299999999998</v>
      </c>
      <c r="S22" s="119">
        <v>2499.75</v>
      </c>
      <c r="T22" s="119">
        <v>2499.91</v>
      </c>
      <c r="U22" s="119">
        <v>2499.7800000000002</v>
      </c>
      <c r="V22" s="119">
        <v>2498.11</v>
      </c>
      <c r="W22" s="119">
        <v>2498.66</v>
      </c>
      <c r="X22" s="119">
        <v>210.2</v>
      </c>
      <c r="Y22" s="119">
        <v>6.4326400000000006E-2</v>
      </c>
      <c r="Z22" s="119">
        <v>-6.3553299999999993E-2</v>
      </c>
      <c r="AA22" s="119">
        <v>-6.1942799999999999E-2</v>
      </c>
      <c r="AB22" s="119">
        <v>-1.07051E-3</v>
      </c>
      <c r="AC22" s="119">
        <v>-7.8011800000000006E-2</v>
      </c>
      <c r="AD22" s="119">
        <v>-3.8890800000000003E-2</v>
      </c>
      <c r="AE22" s="119">
        <v>-6.6686400000000007E-2</v>
      </c>
      <c r="AF22" s="119">
        <v>-7.0311200000000004E-2</v>
      </c>
      <c r="AG22" s="119" t="s">
        <v>275</v>
      </c>
      <c r="AH22" s="119" t="s">
        <v>173</v>
      </c>
      <c r="AI22" s="119">
        <v>36.759006999999997</v>
      </c>
      <c r="AJ22" s="119">
        <v>37.089537999999997</v>
      </c>
      <c r="AK22" s="119">
        <v>6587325</v>
      </c>
      <c r="AL22" s="119">
        <v>1.6150000095367001</v>
      </c>
      <c r="AN22" s="123">
        <f t="shared" si="4"/>
        <v>46249</v>
      </c>
      <c r="AO22" s="124">
        <f t="shared" si="5"/>
        <v>0.80803240740740745</v>
      </c>
      <c r="AQ22" s="125">
        <v>63.240993000000003</v>
      </c>
      <c r="AR22" s="125">
        <v>63.809645000000003</v>
      </c>
      <c r="AS22" s="125">
        <v>304521050</v>
      </c>
      <c r="AT22" s="125">
        <v>3.9849999999999999</v>
      </c>
      <c r="AV22" s="126">
        <f t="shared" si="2"/>
        <v>1.8600090988451115</v>
      </c>
      <c r="AW22" s="125">
        <f t="shared" si="3"/>
        <v>1.7330460204256499</v>
      </c>
    </row>
    <row r="23" spans="1:49">
      <c r="A23" s="118" t="s">
        <v>276</v>
      </c>
      <c r="B23" s="119">
        <v>6</v>
      </c>
      <c r="C23" s="128">
        <v>209.9</v>
      </c>
      <c r="D23" s="119">
        <v>210</v>
      </c>
      <c r="E23" s="119">
        <v>25.2286</v>
      </c>
      <c r="F23" s="119">
        <v>25.014500000000002</v>
      </c>
      <c r="G23" s="119">
        <v>1394.15</v>
      </c>
      <c r="H23" s="119">
        <v>1393.98</v>
      </c>
      <c r="I23" s="119">
        <v>1394.25</v>
      </c>
      <c r="J23" s="119">
        <v>1395.11</v>
      </c>
      <c r="K23" s="119">
        <v>1394.05</v>
      </c>
      <c r="L23" s="119">
        <v>1394.02</v>
      </c>
      <c r="M23" s="119">
        <v>1393.64</v>
      </c>
      <c r="N23" s="119">
        <v>1393.48</v>
      </c>
      <c r="O23" s="119">
        <v>0.94226900000000002</v>
      </c>
      <c r="P23" s="119">
        <v>2500.2800000000002</v>
      </c>
      <c r="Q23" s="119">
        <v>2499.6999999999998</v>
      </c>
      <c r="R23" s="119">
        <v>2500.31</v>
      </c>
      <c r="S23" s="119">
        <v>2500.33</v>
      </c>
      <c r="T23" s="119">
        <v>2500.1</v>
      </c>
      <c r="U23" s="119">
        <v>2500.09</v>
      </c>
      <c r="V23" s="119">
        <v>2499.5500000000002</v>
      </c>
      <c r="W23" s="119">
        <v>2500.2800000000002</v>
      </c>
      <c r="X23" s="119">
        <v>209.9</v>
      </c>
      <c r="Y23" s="119">
        <v>6.2807500000000002E-2</v>
      </c>
      <c r="Z23" s="119">
        <v>-6.5041399999999999E-2</v>
      </c>
      <c r="AA23" s="119">
        <v>-6.5288899999999997E-2</v>
      </c>
      <c r="AB23" s="119">
        <v>-2.3724499999999999E-3</v>
      </c>
      <c r="AC23" s="119">
        <v>-8.0157500000000007E-2</v>
      </c>
      <c r="AD23" s="119">
        <v>-3.6767899999999999E-2</v>
      </c>
      <c r="AE23" s="119">
        <v>-6.7635799999999996E-2</v>
      </c>
      <c r="AF23" s="119">
        <v>-7.3243299999999997E-2</v>
      </c>
      <c r="AG23" s="119" t="s">
        <v>277</v>
      </c>
      <c r="AH23" s="119" t="s">
        <v>173</v>
      </c>
      <c r="AI23" s="119">
        <v>35.326566999999997</v>
      </c>
      <c r="AJ23" s="119">
        <v>35.668916000000003</v>
      </c>
      <c r="AK23" s="119">
        <v>6335014</v>
      </c>
      <c r="AL23" s="119">
        <v>1.6150000095367001</v>
      </c>
      <c r="AN23" s="123">
        <f t="shared" si="4"/>
        <v>46249</v>
      </c>
      <c r="AO23" s="124">
        <f t="shared" si="5"/>
        <v>0.81730324074074079</v>
      </c>
      <c r="AQ23" s="125">
        <v>64.673433000000003</v>
      </c>
      <c r="AR23" s="125">
        <v>65.300180999999995</v>
      </c>
      <c r="AS23" s="125">
        <v>311634386</v>
      </c>
      <c r="AT23" s="125">
        <v>3.9820000000000002</v>
      </c>
      <c r="AV23" s="126">
        <f t="shared" si="2"/>
        <v>1.747935885821926</v>
      </c>
      <c r="AW23" s="125">
        <f t="shared" si="3"/>
        <v>1.6286228560729892</v>
      </c>
    </row>
    <row r="24" spans="1:49">
      <c r="A24" s="118" t="s">
        <v>278</v>
      </c>
      <c r="B24" s="119">
        <v>7</v>
      </c>
      <c r="C24" s="119">
        <v>210</v>
      </c>
      <c r="D24" s="119">
        <v>210</v>
      </c>
      <c r="E24" s="119">
        <v>25.305299999999999</v>
      </c>
      <c r="F24" s="119">
        <v>25.0318</v>
      </c>
      <c r="G24" s="119">
        <v>1439.23</v>
      </c>
      <c r="H24" s="119">
        <v>1439.68</v>
      </c>
      <c r="I24" s="119">
        <v>1439.38</v>
      </c>
      <c r="J24" s="119">
        <v>1439.52</v>
      </c>
      <c r="K24" s="119">
        <v>1439.7</v>
      </c>
      <c r="L24" s="119">
        <v>1439.59</v>
      </c>
      <c r="M24" s="119">
        <v>1439.49</v>
      </c>
      <c r="N24" s="119">
        <v>1439.45</v>
      </c>
      <c r="O24" s="119">
        <v>0.92674299999999998</v>
      </c>
      <c r="P24" s="119">
        <v>2500.08</v>
      </c>
      <c r="Q24" s="119">
        <v>2499.79</v>
      </c>
      <c r="R24" s="119">
        <v>2500.08</v>
      </c>
      <c r="S24" s="119">
        <v>2499.94</v>
      </c>
      <c r="T24" s="119">
        <v>2499.8000000000002</v>
      </c>
      <c r="U24" s="119">
        <v>2499.36</v>
      </c>
      <c r="V24" s="119">
        <v>2500.63</v>
      </c>
      <c r="W24" s="119">
        <v>2500.73</v>
      </c>
      <c r="X24" s="119">
        <v>210</v>
      </c>
      <c r="Y24" s="119">
        <v>6.4209000000000002E-2</v>
      </c>
      <c r="Z24" s="119">
        <v>-6.0226700000000001E-2</v>
      </c>
      <c r="AA24" s="119">
        <v>-6.4352300000000001E-2</v>
      </c>
      <c r="AB24" s="119">
        <v>-3.7766399999999999E-4</v>
      </c>
      <c r="AC24" s="119">
        <v>-8.0179700000000007E-2</v>
      </c>
      <c r="AD24" s="119">
        <v>-3.7651299999999999E-2</v>
      </c>
      <c r="AE24" s="119">
        <v>-6.6211800000000001E-2</v>
      </c>
      <c r="AF24" s="119">
        <v>-7.5412000000000007E-2</v>
      </c>
      <c r="AG24" s="119" t="s">
        <v>279</v>
      </c>
      <c r="AH24" s="119" t="s">
        <v>173</v>
      </c>
      <c r="AI24" s="119">
        <v>35.828062000000003</v>
      </c>
      <c r="AJ24" s="119">
        <v>36.157491999999998</v>
      </c>
      <c r="AK24" s="119">
        <v>6421788</v>
      </c>
      <c r="AL24" s="119">
        <v>1.6150000095367001</v>
      </c>
      <c r="AN24" s="123">
        <f t="shared" si="4"/>
        <v>46249</v>
      </c>
      <c r="AO24" s="124">
        <f t="shared" si="5"/>
        <v>0.82656249999999998</v>
      </c>
      <c r="AQ24" s="125">
        <v>64.171937999999997</v>
      </c>
      <c r="AR24" s="125">
        <v>64.761983000000001</v>
      </c>
      <c r="AS24" s="125">
        <v>309065925</v>
      </c>
      <c r="AT24" s="125">
        <v>3.9830000000000001</v>
      </c>
      <c r="AV24" s="126">
        <f t="shared" si="2"/>
        <v>1.7866033343110199</v>
      </c>
      <c r="AW24" s="125">
        <f t="shared" si="3"/>
        <v>1.664650888282964</v>
      </c>
    </row>
    <row r="25" spans="1:49">
      <c r="A25" s="118" t="s">
        <v>280</v>
      </c>
      <c r="B25" s="119">
        <v>8</v>
      </c>
      <c r="C25" s="119">
        <v>210</v>
      </c>
      <c r="D25" s="119">
        <v>210</v>
      </c>
      <c r="E25" s="119">
        <v>25.3139</v>
      </c>
      <c r="F25" s="119">
        <v>25.023099999999999</v>
      </c>
      <c r="G25" s="119">
        <v>1419.11</v>
      </c>
      <c r="H25" s="119">
        <v>1418.91</v>
      </c>
      <c r="I25" s="119">
        <v>1419.06</v>
      </c>
      <c r="J25" s="119">
        <v>1418.98</v>
      </c>
      <c r="K25" s="119">
        <v>1419.29</v>
      </c>
      <c r="L25" s="119">
        <v>1419.84</v>
      </c>
      <c r="M25" s="119">
        <v>1418.84</v>
      </c>
      <c r="N25" s="119">
        <v>1418.68</v>
      </c>
      <c r="O25" s="119">
        <v>0.97648900000000005</v>
      </c>
      <c r="P25" s="119">
        <v>2499.4699999999998</v>
      </c>
      <c r="Q25" s="119">
        <v>2500.39</v>
      </c>
      <c r="R25" s="119">
        <v>2499.9699999999998</v>
      </c>
      <c r="S25" s="119">
        <v>2499.92</v>
      </c>
      <c r="T25" s="119">
        <v>2499.4899999999998</v>
      </c>
      <c r="U25" s="119">
        <v>2500.16</v>
      </c>
      <c r="V25" s="119">
        <v>2500.75</v>
      </c>
      <c r="W25" s="119">
        <v>2499.4</v>
      </c>
      <c r="X25" s="119">
        <v>209.9</v>
      </c>
      <c r="Y25" s="119">
        <v>6.6939600000000002E-2</v>
      </c>
      <c r="Z25" s="119">
        <v>-6.5706600000000004E-2</v>
      </c>
      <c r="AA25" s="119">
        <v>-6.1039599999999999E-2</v>
      </c>
      <c r="AB25" s="119">
        <v>-1.81499E-3</v>
      </c>
      <c r="AC25" s="119">
        <v>-7.6928899999999995E-2</v>
      </c>
      <c r="AD25" s="119">
        <v>-3.8485699999999998E-2</v>
      </c>
      <c r="AE25" s="119">
        <v>-5.4413700000000002E-2</v>
      </c>
      <c r="AF25" s="119">
        <v>-6.9059099999999998E-2</v>
      </c>
      <c r="AG25" s="119" t="s">
        <v>281</v>
      </c>
      <c r="AH25" s="119" t="s">
        <v>173</v>
      </c>
      <c r="AI25" s="119">
        <v>35.155656</v>
      </c>
      <c r="AJ25" s="119">
        <v>35.502661000000003</v>
      </c>
      <c r="AK25" s="119">
        <v>6305486</v>
      </c>
      <c r="AL25" s="119">
        <v>1.6150000095367001</v>
      </c>
      <c r="AN25" s="123">
        <f t="shared" si="4"/>
        <v>46249</v>
      </c>
      <c r="AO25" s="124">
        <f t="shared" si="5"/>
        <v>0.83584490740740736</v>
      </c>
      <c r="AQ25" s="125">
        <v>64.844344000000007</v>
      </c>
      <c r="AR25" s="125">
        <v>65.484392</v>
      </c>
      <c r="AS25" s="125">
        <v>312513501</v>
      </c>
      <c r="AT25" s="125">
        <v>3.98</v>
      </c>
      <c r="AV25" s="126">
        <f t="shared" si="2"/>
        <v>1.7348945530237765</v>
      </c>
      <c r="AW25" s="125">
        <f t="shared" si="3"/>
        <v>1.616471716639901</v>
      </c>
    </row>
    <row r="26" spans="1:49">
      <c r="A26" s="118" t="s">
        <v>282</v>
      </c>
      <c r="B26" s="119">
        <v>1</v>
      </c>
      <c r="C26" s="119">
        <v>210</v>
      </c>
      <c r="D26" s="119">
        <v>210</v>
      </c>
      <c r="E26" s="119">
        <v>25.306699999999999</v>
      </c>
      <c r="F26" s="119">
        <v>25.034700000000001</v>
      </c>
      <c r="G26" s="119">
        <v>1404.32</v>
      </c>
      <c r="H26" s="119">
        <v>1403.68</v>
      </c>
      <c r="I26" s="119">
        <v>1403.94</v>
      </c>
      <c r="J26" s="119">
        <v>1402.37</v>
      </c>
      <c r="K26" s="119">
        <v>1404.11</v>
      </c>
      <c r="L26" s="119">
        <v>1403.73</v>
      </c>
      <c r="M26" s="119">
        <v>1403.34</v>
      </c>
      <c r="N26" s="119">
        <v>1404.39</v>
      </c>
      <c r="O26" s="119">
        <v>0.91969400000000001</v>
      </c>
      <c r="P26" s="119">
        <v>2499.73</v>
      </c>
      <c r="Q26" s="119">
        <v>2499.9699999999998</v>
      </c>
      <c r="R26" s="119">
        <v>2499.83</v>
      </c>
      <c r="S26" s="119">
        <v>2498.59</v>
      </c>
      <c r="T26" s="119">
        <v>2499.83</v>
      </c>
      <c r="U26" s="119">
        <v>2499.6999999999998</v>
      </c>
      <c r="V26" s="119">
        <v>2499.88</v>
      </c>
      <c r="W26" s="119">
        <v>2501.3000000000002</v>
      </c>
      <c r="X26" s="119">
        <v>209.9</v>
      </c>
      <c r="Y26" s="119">
        <v>6.4337599999999995E-2</v>
      </c>
      <c r="Z26" s="119">
        <v>-6.5516400000000002E-2</v>
      </c>
      <c r="AA26" s="119">
        <v>-6.2067700000000003E-2</v>
      </c>
      <c r="AB26" s="119">
        <v>-2.3472699999999998E-3</v>
      </c>
      <c r="AC26" s="119">
        <v>-8.2122500000000001E-2</v>
      </c>
      <c r="AD26" s="119">
        <v>-3.8114299999999997E-2</v>
      </c>
      <c r="AE26" s="119">
        <v>-6.4332700000000007E-2</v>
      </c>
      <c r="AF26" s="119">
        <v>-7.0511799999999999E-2</v>
      </c>
      <c r="AG26" s="119" t="s">
        <v>283</v>
      </c>
      <c r="AH26" s="119" t="s">
        <v>173</v>
      </c>
      <c r="AI26" s="119">
        <v>36.543137000000002</v>
      </c>
      <c r="AJ26" s="119">
        <v>36.901470000000003</v>
      </c>
      <c r="AK26" s="119">
        <v>6553923</v>
      </c>
      <c r="AL26" s="119">
        <v>1.6166666746139999</v>
      </c>
      <c r="AN26" s="123">
        <f t="shared" si="4"/>
        <v>46249</v>
      </c>
      <c r="AO26" s="124">
        <f t="shared" si="5"/>
        <v>0.8451157407407407</v>
      </c>
      <c r="AQ26" s="125">
        <v>63.456862999999998</v>
      </c>
      <c r="AR26" s="125">
        <v>64.079105999999996</v>
      </c>
      <c r="AS26" s="125">
        <v>305807005</v>
      </c>
      <c r="AT26" s="125">
        <v>3.9849999999999999</v>
      </c>
      <c r="AV26" s="126">
        <f t="shared" si="2"/>
        <v>1.8427957650538136</v>
      </c>
      <c r="AW26" s="125">
        <f t="shared" si="3"/>
        <v>1.7170076582242018</v>
      </c>
    </row>
    <row r="27" spans="1:49">
      <c r="A27" s="118" t="s">
        <v>284</v>
      </c>
      <c r="B27" s="119">
        <v>2</v>
      </c>
      <c r="C27" s="119">
        <v>210</v>
      </c>
      <c r="D27" s="119">
        <v>210</v>
      </c>
      <c r="E27" s="119">
        <v>25.235800000000001</v>
      </c>
      <c r="F27" s="119">
        <v>25.023099999999999</v>
      </c>
      <c r="G27" s="119">
        <v>1428.63</v>
      </c>
      <c r="H27" s="119">
        <v>1428.34</v>
      </c>
      <c r="I27" s="119">
        <v>1428.43</v>
      </c>
      <c r="J27" s="119">
        <v>1428.2</v>
      </c>
      <c r="K27" s="119">
        <v>1428.38</v>
      </c>
      <c r="L27" s="119">
        <v>1428.66</v>
      </c>
      <c r="M27" s="119">
        <v>1428.52</v>
      </c>
      <c r="N27" s="119">
        <v>1428.97</v>
      </c>
      <c r="O27" s="119">
        <v>0.89580899999999997</v>
      </c>
      <c r="P27" s="119">
        <v>2498.81</v>
      </c>
      <c r="Q27" s="119">
        <v>2499.91</v>
      </c>
      <c r="R27" s="119">
        <v>2499.5100000000002</v>
      </c>
      <c r="S27" s="119">
        <v>2499.0700000000002</v>
      </c>
      <c r="T27" s="119">
        <v>2499.91</v>
      </c>
      <c r="U27" s="119">
        <v>2499.33</v>
      </c>
      <c r="V27" s="119">
        <v>2499.87</v>
      </c>
      <c r="W27" s="119">
        <v>2500.6999999999998</v>
      </c>
      <c r="X27" s="119">
        <v>210.2</v>
      </c>
      <c r="Y27" s="119">
        <v>6.4504300000000001E-2</v>
      </c>
      <c r="Z27" s="119">
        <v>-6.3998399999999997E-2</v>
      </c>
      <c r="AA27" s="119">
        <v>-5.4790899999999997E-2</v>
      </c>
      <c r="AB27" s="119">
        <v>-1.0860500000000001E-3</v>
      </c>
      <c r="AC27" s="119">
        <v>-7.75922E-2</v>
      </c>
      <c r="AD27" s="119">
        <v>-3.6357800000000003E-2</v>
      </c>
      <c r="AE27" s="119">
        <v>-5.5598000000000002E-2</v>
      </c>
      <c r="AF27" s="119">
        <v>-6.9055800000000001E-2</v>
      </c>
      <c r="AG27" s="119" t="s">
        <v>285</v>
      </c>
      <c r="AH27" s="119" t="s">
        <v>173</v>
      </c>
      <c r="AI27" s="119">
        <v>34.800023000000003</v>
      </c>
      <c r="AJ27" s="119">
        <v>35.156331999999999</v>
      </c>
      <c r="AK27" s="119">
        <v>6243976</v>
      </c>
      <c r="AL27" s="119">
        <v>1.6150000095367001</v>
      </c>
      <c r="AN27" s="123">
        <f t="shared" si="4"/>
        <v>46249</v>
      </c>
      <c r="AO27" s="124">
        <f t="shared" si="5"/>
        <v>0.854375</v>
      </c>
      <c r="AQ27" s="125">
        <v>65.199977000000004</v>
      </c>
      <c r="AR27" s="125">
        <v>65.867545000000007</v>
      </c>
      <c r="AS27" s="125">
        <v>314342039</v>
      </c>
      <c r="AT27" s="125">
        <v>3.9820000000000002</v>
      </c>
      <c r="AV27" s="126">
        <f t="shared" si="2"/>
        <v>1.7079771914643467</v>
      </c>
      <c r="AW27" s="125">
        <f t="shared" si="3"/>
        <v>1.5913917176442549</v>
      </c>
    </row>
    <row r="28" spans="1:49">
      <c r="A28" s="118" t="s">
        <v>286</v>
      </c>
      <c r="B28" s="119">
        <v>3</v>
      </c>
      <c r="C28" s="119">
        <v>210</v>
      </c>
      <c r="D28" s="119">
        <v>210</v>
      </c>
      <c r="E28" s="119">
        <v>25.124400000000001</v>
      </c>
      <c r="F28" s="119">
        <v>25.014500000000002</v>
      </c>
      <c r="G28" s="119">
        <v>1408.85</v>
      </c>
      <c r="H28" s="119">
        <v>1408.3</v>
      </c>
      <c r="I28" s="119">
        <v>1409.04</v>
      </c>
      <c r="J28" s="119">
        <v>1409.44</v>
      </c>
      <c r="K28" s="119">
        <v>1409.03</v>
      </c>
      <c r="L28" s="119">
        <v>1408.35</v>
      </c>
      <c r="M28" s="119">
        <v>1408.54</v>
      </c>
      <c r="N28" s="119">
        <v>1408.37</v>
      </c>
      <c r="O28" s="119">
        <v>1.0030300000000001</v>
      </c>
      <c r="P28" s="119">
        <v>2500.16</v>
      </c>
      <c r="Q28" s="119">
        <v>2500.12</v>
      </c>
      <c r="R28" s="119">
        <v>2500.11</v>
      </c>
      <c r="S28" s="119">
        <v>2500.29</v>
      </c>
      <c r="T28" s="119">
        <v>2500.44</v>
      </c>
      <c r="U28" s="119">
        <v>2499.1</v>
      </c>
      <c r="V28" s="119">
        <v>2500.84</v>
      </c>
      <c r="W28" s="119">
        <v>2499.04</v>
      </c>
      <c r="X28" s="119">
        <v>209.8</v>
      </c>
      <c r="Y28" s="119">
        <v>6.2019900000000003E-2</v>
      </c>
      <c r="Z28" s="119">
        <v>-6.4832699999999993E-2</v>
      </c>
      <c r="AA28" s="119">
        <v>-6.4624799999999996E-2</v>
      </c>
      <c r="AB28" s="119">
        <v>-2.1549899999999999E-3</v>
      </c>
      <c r="AC28" s="119">
        <v>-8.0800300000000005E-2</v>
      </c>
      <c r="AD28" s="119">
        <v>-4.2420800000000002E-2</v>
      </c>
      <c r="AE28" s="119">
        <v>-6.5705399999999997E-2</v>
      </c>
      <c r="AF28" s="119">
        <v>-7.4342500000000006E-2</v>
      </c>
      <c r="AG28" s="119" t="s">
        <v>287</v>
      </c>
      <c r="AH28" s="119" t="s">
        <v>173</v>
      </c>
      <c r="AI28" s="119">
        <v>35.027929999999998</v>
      </c>
      <c r="AJ28" s="119">
        <v>35.387112999999999</v>
      </c>
      <c r="AK28" s="119">
        <v>6284964</v>
      </c>
      <c r="AL28" s="119">
        <v>1.6150000095367001</v>
      </c>
      <c r="AN28" s="123">
        <f t="shared" si="4"/>
        <v>46249</v>
      </c>
      <c r="AO28" s="124">
        <f t="shared" si="5"/>
        <v>0.86364583333333333</v>
      </c>
      <c r="AQ28" s="125">
        <v>64.972070000000002</v>
      </c>
      <c r="AR28" s="125">
        <v>65.638305000000003</v>
      </c>
      <c r="AS28" s="125">
        <v>313248028</v>
      </c>
      <c r="AT28" s="125">
        <v>3.98</v>
      </c>
      <c r="AV28" s="126">
        <f t="shared" si="2"/>
        <v>1.7251932407263613</v>
      </c>
      <c r="AW28" s="125">
        <f t="shared" si="3"/>
        <v>1.6074326099600569</v>
      </c>
    </row>
    <row r="29" spans="1:49">
      <c r="A29" s="118" t="s">
        <v>288</v>
      </c>
      <c r="B29" s="119">
        <v>4</v>
      </c>
      <c r="C29" s="119">
        <v>210</v>
      </c>
      <c r="D29" s="119">
        <v>210</v>
      </c>
      <c r="E29" s="119">
        <v>25.011600000000001</v>
      </c>
      <c r="F29" s="119">
        <v>25.021699999999999</v>
      </c>
      <c r="G29" s="119">
        <v>1450.62</v>
      </c>
      <c r="H29" s="119">
        <v>1449.94</v>
      </c>
      <c r="I29" s="119">
        <v>1450.59</v>
      </c>
      <c r="J29" s="119">
        <v>1451.76</v>
      </c>
      <c r="K29" s="119">
        <v>1450.74</v>
      </c>
      <c r="L29" s="119">
        <v>1450.2</v>
      </c>
      <c r="M29" s="119">
        <v>1450.8</v>
      </c>
      <c r="N29" s="119">
        <v>1450.66</v>
      </c>
      <c r="O29" s="119">
        <v>0.90198999999999996</v>
      </c>
      <c r="P29" s="119">
        <v>2500.2800000000002</v>
      </c>
      <c r="Q29" s="119">
        <v>2500.2399999999998</v>
      </c>
      <c r="R29" s="119">
        <v>2500.29</v>
      </c>
      <c r="S29" s="119">
        <v>2499.9</v>
      </c>
      <c r="T29" s="119">
        <v>2499.9699999999998</v>
      </c>
      <c r="U29" s="119">
        <v>2498.66</v>
      </c>
      <c r="V29" s="119">
        <v>2500.39</v>
      </c>
      <c r="W29" s="119">
        <v>2499.77</v>
      </c>
      <c r="X29" s="119">
        <v>209.9</v>
      </c>
      <c r="Y29" s="119">
        <v>6.5488299999999999E-2</v>
      </c>
      <c r="Z29" s="119">
        <v>-6.4227900000000004E-2</v>
      </c>
      <c r="AA29" s="119">
        <v>-6.1404399999999998E-2</v>
      </c>
      <c r="AB29" s="119">
        <v>3.4473000000000001E-4</v>
      </c>
      <c r="AC29" s="119">
        <v>-7.6314699999999999E-2</v>
      </c>
      <c r="AD29" s="119">
        <v>-3.8786500000000002E-2</v>
      </c>
      <c r="AE29" s="119">
        <v>-6.7504800000000004E-2</v>
      </c>
      <c r="AF29" s="119">
        <v>-6.9474499999999995E-2</v>
      </c>
      <c r="AG29" s="119" t="s">
        <v>289</v>
      </c>
      <c r="AH29" s="119" t="s">
        <v>173</v>
      </c>
      <c r="AI29" s="119">
        <v>36.334600000000002</v>
      </c>
      <c r="AJ29" s="223">
        <v>36.730874</v>
      </c>
      <c r="AK29" s="119">
        <v>6523624</v>
      </c>
      <c r="AL29" s="119">
        <v>1.6150000095367001</v>
      </c>
      <c r="AN29" s="123">
        <f t="shared" si="4"/>
        <v>46249</v>
      </c>
      <c r="AO29" s="124">
        <f t="shared" si="5"/>
        <v>0.87291666666666667</v>
      </c>
      <c r="AQ29" s="224">
        <v>63.665399999999998</v>
      </c>
      <c r="AR29" s="224">
        <v>64.359748999999994</v>
      </c>
      <c r="AS29" s="125">
        <v>307146330</v>
      </c>
      <c r="AT29" s="125">
        <v>3.9820000000000002</v>
      </c>
      <c r="AV29" s="126">
        <f t="shared" si="2"/>
        <v>1.8262780097195654</v>
      </c>
      <c r="AW29" s="125">
        <f t="shared" si="3"/>
        <v>1.7016173947216429</v>
      </c>
    </row>
    <row r="30" spans="1:49">
      <c r="A30" s="118" t="s">
        <v>290</v>
      </c>
      <c r="B30" s="119">
        <v>5</v>
      </c>
      <c r="C30" s="119">
        <v>210</v>
      </c>
      <c r="D30" s="119">
        <v>210</v>
      </c>
      <c r="E30" s="119">
        <v>25.004300000000001</v>
      </c>
      <c r="F30" s="119">
        <v>25.047699999999999</v>
      </c>
      <c r="G30" s="119">
        <v>1418.68</v>
      </c>
      <c r="H30" s="119">
        <v>1418.46</v>
      </c>
      <c r="I30" s="119">
        <v>1417.87</v>
      </c>
      <c r="J30" s="119">
        <v>1416.96</v>
      </c>
      <c r="K30" s="119">
        <v>1417.86</v>
      </c>
      <c r="L30" s="119">
        <v>1417.94</v>
      </c>
      <c r="M30" s="119">
        <v>1417.94</v>
      </c>
      <c r="N30" s="119">
        <v>1419.1</v>
      </c>
      <c r="O30" s="119">
        <v>0.92818100000000003</v>
      </c>
      <c r="P30" s="119">
        <v>2500.64</v>
      </c>
      <c r="Q30" s="119">
        <v>2499.8000000000002</v>
      </c>
      <c r="R30" s="119">
        <v>2500.0500000000002</v>
      </c>
      <c r="S30" s="119">
        <v>2499.6999999999998</v>
      </c>
      <c r="T30" s="119">
        <v>2500.59</v>
      </c>
      <c r="U30" s="119">
        <v>2499.61</v>
      </c>
      <c r="V30" s="119">
        <v>2500.52</v>
      </c>
      <c r="W30" s="119">
        <v>2498.5300000000002</v>
      </c>
      <c r="X30" s="119">
        <v>210.2</v>
      </c>
      <c r="Y30" s="119">
        <v>6.2385200000000002E-2</v>
      </c>
      <c r="Z30" s="119">
        <v>-6.7134700000000005E-2</v>
      </c>
      <c r="AA30" s="119">
        <v>-6.2506900000000004E-2</v>
      </c>
      <c r="AB30" s="119">
        <v>-5.5990500000000004E-3</v>
      </c>
      <c r="AC30" s="119">
        <v>-7.4524400000000005E-2</v>
      </c>
      <c r="AD30" s="119">
        <v>-3.7962900000000001E-2</v>
      </c>
      <c r="AE30" s="119">
        <v>-5.4109200000000003E-2</v>
      </c>
      <c r="AF30" s="119">
        <v>-6.6477300000000003E-2</v>
      </c>
      <c r="AG30" s="119" t="s">
        <v>291</v>
      </c>
      <c r="AH30" s="119" t="s">
        <v>173</v>
      </c>
      <c r="AI30" s="119">
        <v>36.056449000000001</v>
      </c>
      <c r="AJ30" s="223">
        <v>36.427594999999997</v>
      </c>
      <c r="AK30" s="119">
        <v>6469760</v>
      </c>
      <c r="AL30" s="119">
        <v>1.6150000095367001</v>
      </c>
      <c r="AN30" s="123">
        <f t="shared" si="4"/>
        <v>46249</v>
      </c>
      <c r="AO30" s="124">
        <f t="shared" si="5"/>
        <v>0.88218750000000001</v>
      </c>
      <c r="AQ30" s="224">
        <v>63.943550999999999</v>
      </c>
      <c r="AR30" s="224">
        <v>64.601752000000005</v>
      </c>
      <c r="AS30" s="125">
        <v>308301248</v>
      </c>
      <c r="AT30" s="125">
        <v>3.9820000000000002</v>
      </c>
      <c r="AV30" s="126">
        <f t="shared" si="2"/>
        <v>1.8044139713166698</v>
      </c>
      <c r="AW30" s="125">
        <f t="shared" si="3"/>
        <v>1.6812457821482965</v>
      </c>
    </row>
    <row r="31" spans="1:49">
      <c r="A31" s="118" t="s">
        <v>292</v>
      </c>
      <c r="B31" s="119">
        <v>6</v>
      </c>
      <c r="C31" s="119">
        <v>210</v>
      </c>
      <c r="D31" s="119">
        <v>210</v>
      </c>
      <c r="E31" s="119">
        <v>24.9754</v>
      </c>
      <c r="F31" s="119">
        <v>25.023099999999999</v>
      </c>
      <c r="G31" s="119">
        <v>1417.62</v>
      </c>
      <c r="H31" s="119">
        <v>1417.12</v>
      </c>
      <c r="I31" s="119">
        <v>1417.12</v>
      </c>
      <c r="J31" s="119">
        <v>1416.01</v>
      </c>
      <c r="K31" s="119">
        <v>1417.22</v>
      </c>
      <c r="L31" s="119">
        <v>1417.15</v>
      </c>
      <c r="M31" s="119">
        <v>1417.16</v>
      </c>
      <c r="N31" s="119">
        <v>1417.85</v>
      </c>
      <c r="O31" s="119">
        <v>0.91338600000000003</v>
      </c>
      <c r="P31" s="119">
        <v>2499.88</v>
      </c>
      <c r="Q31" s="119">
        <v>2500.0500000000002</v>
      </c>
      <c r="R31" s="119">
        <v>2500.29</v>
      </c>
      <c r="S31" s="119">
        <v>2499.87</v>
      </c>
      <c r="T31" s="119">
        <v>2499.44</v>
      </c>
      <c r="U31" s="119">
        <v>2500.39</v>
      </c>
      <c r="V31" s="119">
        <v>2500.34</v>
      </c>
      <c r="W31" s="119">
        <v>2500.2399999999998</v>
      </c>
      <c r="X31" s="119">
        <v>209.9</v>
      </c>
      <c r="Y31" s="119">
        <v>6.1870799999999997E-2</v>
      </c>
      <c r="Z31" s="119">
        <v>-6.4233100000000001E-2</v>
      </c>
      <c r="AA31" s="119">
        <v>-6.4956799999999995E-2</v>
      </c>
      <c r="AB31" s="119">
        <v>-2.7224300000000001E-3</v>
      </c>
      <c r="AC31" s="119">
        <v>-8.3855700000000005E-2</v>
      </c>
      <c r="AD31" s="119">
        <v>-4.0577099999999998E-2</v>
      </c>
      <c r="AE31" s="119">
        <v>-6.4183900000000002E-2</v>
      </c>
      <c r="AF31" s="119">
        <v>-7.1257899999999999E-2</v>
      </c>
      <c r="AG31" s="119" t="s">
        <v>293</v>
      </c>
      <c r="AH31" s="119" t="s">
        <v>173</v>
      </c>
      <c r="AI31" s="119">
        <v>35.153818999999999</v>
      </c>
      <c r="AJ31" s="223">
        <v>35.532412000000001</v>
      </c>
      <c r="AK31" s="119">
        <v>6310770</v>
      </c>
      <c r="AL31" s="119">
        <v>1.6150000095367001</v>
      </c>
      <c r="AN31" s="123">
        <f t="shared" si="4"/>
        <v>46249</v>
      </c>
      <c r="AO31" s="124">
        <f t="shared" si="5"/>
        <v>0.89144675925925931</v>
      </c>
      <c r="AQ31" s="224">
        <v>64.846181000000001</v>
      </c>
      <c r="AR31" s="224">
        <v>65.544550000000001</v>
      </c>
      <c r="AS31" s="125">
        <v>312800598</v>
      </c>
      <c r="AT31" s="125">
        <v>3.98</v>
      </c>
      <c r="AV31" s="126">
        <f t="shared" si="2"/>
        <v>1.7347547544858501</v>
      </c>
      <c r="AW31" s="125">
        <f t="shared" si="3"/>
        <v>1.6163414606642905</v>
      </c>
    </row>
    <row r="32" spans="1:49">
      <c r="A32" s="118" t="s">
        <v>294</v>
      </c>
      <c r="B32" s="119">
        <v>7</v>
      </c>
      <c r="C32" s="119">
        <v>210</v>
      </c>
      <c r="D32" s="119">
        <v>210</v>
      </c>
      <c r="E32" s="119">
        <v>25.0593</v>
      </c>
      <c r="F32" s="119">
        <v>25.0275</v>
      </c>
      <c r="G32" s="119">
        <v>1408.63</v>
      </c>
      <c r="H32" s="119">
        <v>1408.17</v>
      </c>
      <c r="I32" s="119">
        <v>1408.12</v>
      </c>
      <c r="J32" s="119">
        <v>1408.49</v>
      </c>
      <c r="K32" s="119">
        <v>1408.57</v>
      </c>
      <c r="L32" s="119">
        <v>1406.96</v>
      </c>
      <c r="M32" s="119">
        <v>1407.62</v>
      </c>
      <c r="N32" s="119">
        <v>1407.83</v>
      </c>
      <c r="O32" s="119">
        <v>0.87775899999999996</v>
      </c>
      <c r="P32" s="119">
        <v>2500.59</v>
      </c>
      <c r="Q32" s="119">
        <v>2500.15</v>
      </c>
      <c r="R32" s="119">
        <v>2500.4699999999998</v>
      </c>
      <c r="S32" s="119">
        <v>2499.35</v>
      </c>
      <c r="T32" s="119">
        <v>2500.16</v>
      </c>
      <c r="U32" s="119">
        <v>2499.83</v>
      </c>
      <c r="V32" s="119">
        <v>2499.65</v>
      </c>
      <c r="W32" s="119">
        <v>2500.15</v>
      </c>
      <c r="X32" s="119">
        <v>210.1</v>
      </c>
      <c r="Y32" s="119">
        <v>6.7665199999999995E-2</v>
      </c>
      <c r="Z32" s="119">
        <v>-6.2163000000000003E-2</v>
      </c>
      <c r="AA32" s="119">
        <v>-5.8347999999999997E-2</v>
      </c>
      <c r="AB32" s="119">
        <v>-1.7386700000000001E-3</v>
      </c>
      <c r="AC32" s="119">
        <v>-7.3536299999999999E-2</v>
      </c>
      <c r="AD32" s="119">
        <v>-3.3071400000000001E-2</v>
      </c>
      <c r="AE32" s="119">
        <v>-7.3219199999999998E-2</v>
      </c>
      <c r="AF32" s="119">
        <v>-6.6990099999999997E-2</v>
      </c>
      <c r="AG32" s="119" t="s">
        <v>295</v>
      </c>
      <c r="AH32" s="119" t="s">
        <v>173</v>
      </c>
      <c r="AI32" s="119">
        <v>35.797168999999997</v>
      </c>
      <c r="AJ32" s="223">
        <v>36.195238000000003</v>
      </c>
      <c r="AK32" s="119">
        <v>6428492</v>
      </c>
      <c r="AL32" s="119">
        <v>1.6166666746139999</v>
      </c>
      <c r="AN32" s="123">
        <f t="shared" si="4"/>
        <v>46249</v>
      </c>
      <c r="AO32" s="124">
        <f t="shared" si="5"/>
        <v>0.90072916666666669</v>
      </c>
      <c r="AQ32" s="224">
        <v>64.202831000000003</v>
      </c>
      <c r="AR32" s="224">
        <v>64.916774000000004</v>
      </c>
      <c r="AS32" s="125">
        <v>309804640</v>
      </c>
      <c r="AT32" s="125">
        <v>3.9820000000000002</v>
      </c>
      <c r="AV32" s="126">
        <f t="shared" si="2"/>
        <v>1.7842038897007513</v>
      </c>
      <c r="AW32" s="125">
        <f t="shared" si="3"/>
        <v>1.6624152282877307</v>
      </c>
    </row>
    <row r="33" spans="1:49">
      <c r="A33" s="118" t="s">
        <v>296</v>
      </c>
      <c r="B33" s="119">
        <v>8</v>
      </c>
      <c r="C33" s="119">
        <v>210</v>
      </c>
      <c r="D33" s="119">
        <v>210</v>
      </c>
      <c r="E33" s="119">
        <v>25.0579</v>
      </c>
      <c r="F33" s="119">
        <v>25.044799999999999</v>
      </c>
      <c r="G33" s="119">
        <v>1433.17</v>
      </c>
      <c r="H33" s="119">
        <v>1433.79</v>
      </c>
      <c r="I33" s="119">
        <v>1433.01</v>
      </c>
      <c r="J33" s="119">
        <v>1433.45</v>
      </c>
      <c r="K33" s="119">
        <v>1433.38</v>
      </c>
      <c r="L33" s="119">
        <v>1433.34</v>
      </c>
      <c r="M33" s="119">
        <v>1433.29</v>
      </c>
      <c r="N33" s="119">
        <v>1433.56</v>
      </c>
      <c r="O33" s="119">
        <v>0.92100700000000002</v>
      </c>
      <c r="P33" s="119">
        <v>2500.29</v>
      </c>
      <c r="Q33" s="119">
        <v>2500.33</v>
      </c>
      <c r="R33" s="119">
        <v>2499.96</v>
      </c>
      <c r="S33" s="119">
        <v>2499.92</v>
      </c>
      <c r="T33" s="119">
        <v>2499.81</v>
      </c>
      <c r="U33" s="119">
        <v>2499.4299999999998</v>
      </c>
      <c r="V33" s="119">
        <v>2499.62</v>
      </c>
      <c r="W33" s="119">
        <v>2500.5</v>
      </c>
      <c r="X33" s="119">
        <v>210</v>
      </c>
      <c r="Y33" s="119">
        <v>6.4779100000000006E-2</v>
      </c>
      <c r="Z33" s="119">
        <v>-6.2529399999999999E-2</v>
      </c>
      <c r="AA33" s="119">
        <v>-6.22155E-2</v>
      </c>
      <c r="AB33" s="119">
        <v>-1.9667399999999998E-3</v>
      </c>
      <c r="AC33" s="119">
        <v>-7.7247399999999994E-2</v>
      </c>
      <c r="AD33" s="119">
        <v>-3.74723E-2</v>
      </c>
      <c r="AE33" s="119">
        <v>-5.7475199999999997E-2</v>
      </c>
      <c r="AF33" s="119">
        <v>-6.9952399999999998E-2</v>
      </c>
      <c r="AG33" s="119" t="s">
        <v>297</v>
      </c>
      <c r="AH33" s="119" t="s">
        <v>173</v>
      </c>
      <c r="AI33" s="119">
        <v>35.228149999999999</v>
      </c>
      <c r="AJ33" s="223">
        <v>35.637419999999999</v>
      </c>
      <c r="AK33" s="119">
        <v>6329420</v>
      </c>
      <c r="AL33" s="119">
        <v>1.6150000095367001</v>
      </c>
      <c r="AN33" s="123">
        <f t="shared" si="4"/>
        <v>46249</v>
      </c>
      <c r="AO33" s="124">
        <f t="shared" si="5"/>
        <v>0.90998842592592588</v>
      </c>
      <c r="AQ33" s="224">
        <v>64.771850000000001</v>
      </c>
      <c r="AR33" s="224">
        <v>65.524349999999998</v>
      </c>
      <c r="AS33" s="125">
        <v>312704195</v>
      </c>
      <c r="AT33" s="125">
        <v>3.9820000000000002</v>
      </c>
      <c r="AV33" s="126">
        <f t="shared" si="2"/>
        <v>1.7404177895181316</v>
      </c>
      <c r="AW33" s="125">
        <f t="shared" si="3"/>
        <v>1.6216179404042661</v>
      </c>
    </row>
    <row r="34" spans="1:49">
      <c r="A34" s="118" t="s">
        <v>298</v>
      </c>
      <c r="B34" s="119">
        <v>1</v>
      </c>
      <c r="C34" s="119">
        <v>210</v>
      </c>
      <c r="D34" s="119">
        <v>210</v>
      </c>
      <c r="E34" s="119">
        <v>25.108499999999999</v>
      </c>
      <c r="F34" s="119">
        <v>25.020299999999999</v>
      </c>
      <c r="G34" s="119">
        <v>1451.93</v>
      </c>
      <c r="H34" s="119">
        <v>1451.84</v>
      </c>
      <c r="I34" s="119">
        <v>1451.51</v>
      </c>
      <c r="J34" s="119">
        <v>1451.42</v>
      </c>
      <c r="K34" s="119">
        <v>1452.04</v>
      </c>
      <c r="L34" s="119">
        <v>1453.67</v>
      </c>
      <c r="M34" s="119">
        <v>1452.68</v>
      </c>
      <c r="N34" s="119">
        <v>1453.07</v>
      </c>
      <c r="O34" s="119">
        <v>0.88765700000000003</v>
      </c>
      <c r="P34" s="119">
        <v>2500.0300000000002</v>
      </c>
      <c r="Q34" s="119">
        <v>2499.44</v>
      </c>
      <c r="R34" s="119">
        <v>2500.0700000000002</v>
      </c>
      <c r="S34" s="119">
        <v>2500.16</v>
      </c>
      <c r="T34" s="119">
        <v>2499.5500000000002</v>
      </c>
      <c r="U34" s="119">
        <v>2500.38</v>
      </c>
      <c r="V34" s="119">
        <v>2499.91</v>
      </c>
      <c r="W34" s="119">
        <v>2499.98</v>
      </c>
      <c r="X34" s="119">
        <v>210</v>
      </c>
      <c r="Y34" s="119">
        <v>6.4024399999999995E-2</v>
      </c>
      <c r="Z34" s="119">
        <v>-6.5920999999999993E-2</v>
      </c>
      <c r="AA34" s="119">
        <v>-5.95925E-2</v>
      </c>
      <c r="AB34" s="119">
        <v>5.6301400000000003E-4</v>
      </c>
      <c r="AC34" s="119">
        <v>-7.6810900000000001E-2</v>
      </c>
      <c r="AD34" s="119">
        <v>-4.1165599999999997E-2</v>
      </c>
      <c r="AE34" s="119">
        <v>-6.3177499999999998E-2</v>
      </c>
      <c r="AF34" s="119">
        <v>-7.1592000000000003E-2</v>
      </c>
      <c r="AG34" s="119" t="s">
        <v>299</v>
      </c>
      <c r="AH34" s="119" t="s">
        <v>173</v>
      </c>
      <c r="AI34" s="119">
        <v>36.452101999999996</v>
      </c>
      <c r="AJ34" s="223">
        <v>36.866629000000003</v>
      </c>
      <c r="AK34" s="119">
        <v>6547735</v>
      </c>
      <c r="AL34" s="119">
        <v>1.6166666746139999</v>
      </c>
      <c r="AN34" s="123">
        <f t="shared" si="4"/>
        <v>46249</v>
      </c>
      <c r="AO34" s="124">
        <f t="shared" si="5"/>
        <v>0.91927083333333337</v>
      </c>
      <c r="AQ34" s="224">
        <v>63.547898000000004</v>
      </c>
      <c r="AR34" s="224">
        <v>64.270554000000004</v>
      </c>
      <c r="AS34" s="125">
        <v>306720659</v>
      </c>
      <c r="AT34" s="125">
        <v>3.9830000000000001</v>
      </c>
      <c r="AV34" s="126">
        <f t="shared" si="2"/>
        <v>1.8355717509334453</v>
      </c>
      <c r="AW34" s="125">
        <f t="shared" si="3"/>
        <v>1.7102767508697287</v>
      </c>
    </row>
    <row r="35" spans="1:49">
      <c r="A35" s="118" t="s">
        <v>300</v>
      </c>
      <c r="B35" s="119">
        <v>2</v>
      </c>
      <c r="C35" s="119">
        <v>210</v>
      </c>
      <c r="D35" s="119">
        <v>210</v>
      </c>
      <c r="E35" s="119">
        <v>25.154800000000002</v>
      </c>
      <c r="F35" s="119">
        <v>25.0318</v>
      </c>
      <c r="G35" s="119">
        <v>1416.66</v>
      </c>
      <c r="H35" s="119">
        <v>1416.74</v>
      </c>
      <c r="I35" s="119">
        <v>1416.59</v>
      </c>
      <c r="J35" s="119">
        <v>1417.6</v>
      </c>
      <c r="K35" s="119">
        <v>1417.22</v>
      </c>
      <c r="L35" s="119">
        <v>1417.09</v>
      </c>
      <c r="M35" s="119">
        <v>1416.89</v>
      </c>
      <c r="N35" s="119">
        <v>1416.74</v>
      </c>
      <c r="O35" s="119">
        <v>0.95456799999999997</v>
      </c>
      <c r="P35" s="119">
        <v>2500.7800000000002</v>
      </c>
      <c r="Q35" s="119">
        <v>2499.94</v>
      </c>
      <c r="R35" s="119">
        <v>2500.85</v>
      </c>
      <c r="S35" s="119">
        <v>2499.15</v>
      </c>
      <c r="T35" s="119">
        <v>2500.16</v>
      </c>
      <c r="U35" s="119">
        <v>2500.9499999999998</v>
      </c>
      <c r="V35" s="119">
        <v>2498.85</v>
      </c>
      <c r="W35" s="119">
        <v>2500.11</v>
      </c>
      <c r="X35" s="119">
        <v>210</v>
      </c>
      <c r="Y35" s="119">
        <v>6.5219799999999994E-2</v>
      </c>
      <c r="Z35" s="119">
        <v>-6.3359399999999996E-2</v>
      </c>
      <c r="AA35" s="119">
        <v>-5.8215099999999999E-2</v>
      </c>
      <c r="AB35" s="119">
        <v>-9.3061399999999996E-4</v>
      </c>
      <c r="AC35" s="119">
        <v>-7.7295500000000003E-2</v>
      </c>
      <c r="AD35" s="119">
        <v>-3.7427700000000001E-2</v>
      </c>
      <c r="AE35" s="119">
        <v>-5.8988600000000002E-2</v>
      </c>
      <c r="AF35" s="119">
        <v>-7.0618100000000003E-2</v>
      </c>
      <c r="AG35" s="119" t="s">
        <v>301</v>
      </c>
      <c r="AH35" s="119" t="s">
        <v>173</v>
      </c>
      <c r="AI35" s="119">
        <v>100</v>
      </c>
      <c r="AJ35" s="119">
        <v>35.073362000000003</v>
      </c>
      <c r="AK35" s="119">
        <v>6229240</v>
      </c>
      <c r="AL35" s="119">
        <v>1.6150000095367001</v>
      </c>
      <c r="AN35" s="123">
        <f t="shared" si="4"/>
        <v>46249</v>
      </c>
      <c r="AO35" s="124">
        <f t="shared" si="5"/>
        <v>0.92854166666666671</v>
      </c>
      <c r="AQ35" s="125">
        <v>0</v>
      </c>
      <c r="AR35" s="125">
        <v>0</v>
      </c>
      <c r="AS35" s="125">
        <v>0</v>
      </c>
      <c r="AT35" s="125">
        <v>0</v>
      </c>
      <c r="AV35" s="126" t="e">
        <f t="shared" si="2"/>
        <v>#DIV/0!</v>
      </c>
      <c r="AW35" s="125"/>
    </row>
    <row r="36" spans="1:49">
      <c r="A36" s="118" t="s">
        <v>302</v>
      </c>
      <c r="B36" s="119">
        <v>3</v>
      </c>
      <c r="C36" s="119">
        <v>210</v>
      </c>
      <c r="D36" s="119">
        <v>210</v>
      </c>
      <c r="E36" s="119">
        <v>25.176500000000001</v>
      </c>
      <c r="F36" s="119">
        <v>25.0289</v>
      </c>
      <c r="G36" s="119">
        <v>1422.05</v>
      </c>
      <c r="H36" s="119">
        <v>1421.86</v>
      </c>
      <c r="I36" s="119">
        <v>1421.5</v>
      </c>
      <c r="J36" s="119">
        <v>1421.31</v>
      </c>
      <c r="K36" s="119">
        <v>1421.89</v>
      </c>
      <c r="L36" s="119">
        <v>1421.32</v>
      </c>
      <c r="M36" s="119">
        <v>1421.55</v>
      </c>
      <c r="N36" s="119">
        <v>1421.66</v>
      </c>
      <c r="O36" s="119">
        <v>0.89634599999999998</v>
      </c>
      <c r="P36" s="119">
        <v>2499.4899999999998</v>
      </c>
      <c r="Q36" s="119">
        <v>2499.91</v>
      </c>
      <c r="R36" s="119">
        <v>2499.67</v>
      </c>
      <c r="S36" s="119">
        <v>2500.21</v>
      </c>
      <c r="T36" s="119">
        <v>2500</v>
      </c>
      <c r="U36" s="119">
        <v>2499.71</v>
      </c>
      <c r="V36" s="119">
        <v>2500.5300000000002</v>
      </c>
      <c r="W36" s="119">
        <v>2500.1</v>
      </c>
      <c r="X36" s="119">
        <v>209.9</v>
      </c>
      <c r="Y36" s="119">
        <v>6.2869099999999997E-2</v>
      </c>
      <c r="Z36" s="119">
        <v>-6.5871200000000005E-2</v>
      </c>
      <c r="AA36" s="119">
        <v>-5.8246899999999997E-2</v>
      </c>
      <c r="AB36" s="119">
        <v>-3.4666599999999998E-4</v>
      </c>
      <c r="AC36" s="119">
        <v>-7.8789100000000001E-2</v>
      </c>
      <c r="AD36" s="119">
        <v>-3.7728100000000001E-2</v>
      </c>
      <c r="AE36" s="119">
        <v>-5.8031800000000001E-2</v>
      </c>
      <c r="AF36" s="119">
        <v>-6.8258200000000005E-2</v>
      </c>
      <c r="AG36" s="119" t="s">
        <v>303</v>
      </c>
      <c r="AH36" s="119" t="s">
        <v>173</v>
      </c>
      <c r="AI36" s="119">
        <v>34.818162000000001</v>
      </c>
      <c r="AJ36" s="119">
        <v>35.213143000000002</v>
      </c>
      <c r="AK36" s="119">
        <v>6254066</v>
      </c>
      <c r="AL36" s="119">
        <v>1.6166666746139999</v>
      </c>
      <c r="AN36" s="123">
        <f t="shared" si="4"/>
        <v>46249</v>
      </c>
      <c r="AO36" s="124">
        <f t="shared" si="5"/>
        <v>0.9378009259259259</v>
      </c>
      <c r="AQ36" s="125">
        <v>65.181837999999999</v>
      </c>
      <c r="AR36" s="125">
        <v>65.921268999999995</v>
      </c>
      <c r="AS36" s="125">
        <v>314598429</v>
      </c>
      <c r="AT36" s="125">
        <v>3.9820000000000002</v>
      </c>
      <c r="AV36" s="126">
        <f t="shared" si="2"/>
        <v>1.7093429982750719</v>
      </c>
      <c r="AW36" s="125">
        <f t="shared" si="3"/>
        <v>1.5926642953211421</v>
      </c>
    </row>
    <row r="37" spans="1:49">
      <c r="A37" s="118" t="s">
        <v>304</v>
      </c>
      <c r="B37" s="119">
        <v>4</v>
      </c>
      <c r="C37" s="119">
        <v>209.9</v>
      </c>
      <c r="D37" s="119">
        <v>210</v>
      </c>
      <c r="E37" s="119">
        <v>25.151900000000001</v>
      </c>
      <c r="F37" s="119">
        <v>25.020299999999999</v>
      </c>
      <c r="G37" s="119">
        <v>1407.86</v>
      </c>
      <c r="H37" s="119">
        <v>1408.06</v>
      </c>
      <c r="I37" s="119">
        <v>1407.55</v>
      </c>
      <c r="J37" s="119">
        <v>1407.57</v>
      </c>
      <c r="K37" s="119">
        <v>1407.41</v>
      </c>
      <c r="L37" s="119">
        <v>1407.77</v>
      </c>
      <c r="M37" s="119">
        <v>1408.07</v>
      </c>
      <c r="N37" s="119">
        <v>1407.63</v>
      </c>
      <c r="O37" s="119">
        <v>0.93023</v>
      </c>
      <c r="P37" s="119">
        <v>2500.42</v>
      </c>
      <c r="Q37" s="119">
        <v>2500.34</v>
      </c>
      <c r="R37" s="119">
        <v>2498.98</v>
      </c>
      <c r="S37" s="119">
        <v>2500.12</v>
      </c>
      <c r="T37" s="119">
        <v>2500.08</v>
      </c>
      <c r="U37" s="119">
        <v>2499.7199999999998</v>
      </c>
      <c r="V37" s="119">
        <v>2499.8200000000002</v>
      </c>
      <c r="W37" s="119">
        <v>2500.46</v>
      </c>
      <c r="X37" s="119">
        <v>210</v>
      </c>
      <c r="Y37" s="119">
        <v>6.5127299999999999E-2</v>
      </c>
      <c r="Z37" s="119">
        <v>-6.3341300000000003E-2</v>
      </c>
      <c r="AA37" s="119">
        <v>-5.7589899999999999E-2</v>
      </c>
      <c r="AB37" s="119">
        <v>-1.5849799999999999E-3</v>
      </c>
      <c r="AC37" s="119">
        <v>-8.2680500000000004E-2</v>
      </c>
      <c r="AD37" s="119">
        <v>-3.9100299999999998E-2</v>
      </c>
      <c r="AE37" s="119">
        <v>-6.6516099999999995E-2</v>
      </c>
      <c r="AF37" s="119">
        <v>-7.0866299999999993E-2</v>
      </c>
      <c r="AG37" s="119" t="s">
        <v>305</v>
      </c>
      <c r="AH37" s="119" t="s">
        <v>173</v>
      </c>
      <c r="AI37" s="119">
        <v>36.048870000000001</v>
      </c>
      <c r="AJ37" s="119">
        <v>36.474052</v>
      </c>
      <c r="AK37" s="119">
        <v>6478011</v>
      </c>
      <c r="AL37" s="119">
        <v>1.6150000095367001</v>
      </c>
      <c r="AN37" s="123">
        <f t="shared" ref="AN37:AN100" si="6">DATEVALUE(SUBSTITUTE(LEFT(A37,10),".","/"))</f>
        <v>46249</v>
      </c>
      <c r="AO37" s="124">
        <f t="shared" ref="AO37:AO100" si="7">TIMEVALUE(RIGHT(A37,8))</f>
        <v>0.94709490740740743</v>
      </c>
      <c r="AQ37" s="125">
        <v>63.951129999999999</v>
      </c>
      <c r="AR37" s="125">
        <v>64.705409000000003</v>
      </c>
      <c r="AS37" s="125">
        <v>308795936</v>
      </c>
      <c r="AT37" s="125">
        <v>3.9820000000000002</v>
      </c>
      <c r="AV37" s="126">
        <f t="shared" ref="AV37:AV55" si="8">3.2/(AQ37/100)*(AI37/100)</f>
        <v>1.8038208863549403</v>
      </c>
      <c r="AW37" s="125">
        <f t="shared" ref="AW37:AW55" si="9">AV37*273/293</f>
        <v>1.680693180801702</v>
      </c>
    </row>
    <row r="38" spans="1:49">
      <c r="A38" s="118" t="s">
        <v>306</v>
      </c>
      <c r="B38" s="119">
        <v>5</v>
      </c>
      <c r="C38" s="119">
        <v>210.1</v>
      </c>
      <c r="D38" s="119">
        <v>210</v>
      </c>
      <c r="E38" s="119">
        <v>25.193899999999999</v>
      </c>
      <c r="F38" s="119">
        <v>25.0289</v>
      </c>
      <c r="G38" s="119">
        <v>1430.31</v>
      </c>
      <c r="H38" s="119">
        <v>1430.5</v>
      </c>
      <c r="I38" s="119">
        <v>1430.48</v>
      </c>
      <c r="J38" s="119">
        <v>1430.19</v>
      </c>
      <c r="K38" s="119">
        <v>1430.33</v>
      </c>
      <c r="L38" s="119">
        <v>1430.49</v>
      </c>
      <c r="M38" s="119">
        <v>1430.5</v>
      </c>
      <c r="N38" s="119">
        <v>1429.8</v>
      </c>
      <c r="O38" s="119">
        <v>0.93064499999999994</v>
      </c>
      <c r="P38" s="119">
        <v>2498.56</v>
      </c>
      <c r="Q38" s="119">
        <v>2499.8200000000002</v>
      </c>
      <c r="R38" s="119">
        <v>2499.94</v>
      </c>
      <c r="S38" s="119">
        <v>2499.75</v>
      </c>
      <c r="T38" s="119">
        <v>2500.0700000000002</v>
      </c>
      <c r="U38" s="119">
        <v>2500.14</v>
      </c>
      <c r="V38" s="119">
        <v>2500.7199999999998</v>
      </c>
      <c r="W38" s="119">
        <v>2499.2600000000002</v>
      </c>
      <c r="X38" s="119">
        <v>209.9</v>
      </c>
      <c r="Y38" s="119">
        <v>6.3633899999999993E-2</v>
      </c>
      <c r="Z38" s="119">
        <v>-6.5376900000000002E-2</v>
      </c>
      <c r="AA38" s="119">
        <v>-6.4999500000000002E-2</v>
      </c>
      <c r="AB38" s="119">
        <v>1.7130400000000001E-3</v>
      </c>
      <c r="AC38" s="119">
        <v>-7.8046500000000005E-2</v>
      </c>
      <c r="AD38" s="119">
        <v>-3.2606299999999998E-2</v>
      </c>
      <c r="AE38" s="119">
        <v>-5.78281E-2</v>
      </c>
      <c r="AF38" s="119">
        <v>-6.8456699999999995E-2</v>
      </c>
      <c r="AG38" s="119" t="s">
        <v>307</v>
      </c>
      <c r="AH38" s="119" t="s">
        <v>173</v>
      </c>
      <c r="AI38" s="119">
        <v>36.012061000000003</v>
      </c>
      <c r="AJ38" s="119">
        <v>36.406841999999997</v>
      </c>
      <c r="AK38" s="119">
        <v>6466074</v>
      </c>
      <c r="AL38" s="119">
        <v>1.6150000095367001</v>
      </c>
      <c r="AN38" s="123">
        <f t="shared" si="6"/>
        <v>46249</v>
      </c>
      <c r="AO38" s="124">
        <f t="shared" si="7"/>
        <v>0.95637731481481481</v>
      </c>
      <c r="AQ38" s="125">
        <v>63.987938999999997</v>
      </c>
      <c r="AR38" s="125">
        <v>64.689403999999996</v>
      </c>
      <c r="AS38" s="125">
        <v>308719556</v>
      </c>
      <c r="AT38" s="125">
        <v>3.98</v>
      </c>
      <c r="AV38" s="126">
        <f t="shared" si="8"/>
        <v>1.8009424432313723</v>
      </c>
      <c r="AW38" s="125">
        <f t="shared" si="9"/>
        <v>1.6780112184374221</v>
      </c>
    </row>
    <row r="39" spans="1:49">
      <c r="A39" s="118" t="s">
        <v>308</v>
      </c>
      <c r="B39" s="119">
        <v>6</v>
      </c>
      <c r="C39" s="119">
        <v>210</v>
      </c>
      <c r="D39" s="119">
        <v>210.1</v>
      </c>
      <c r="E39" s="119">
        <v>25.1968</v>
      </c>
      <c r="F39" s="119">
        <v>25.039100000000001</v>
      </c>
      <c r="G39" s="119">
        <v>1415.14</v>
      </c>
      <c r="H39" s="119">
        <v>1414.5</v>
      </c>
      <c r="I39" s="119">
        <v>1414.8</v>
      </c>
      <c r="J39" s="119">
        <v>1414.69</v>
      </c>
      <c r="K39" s="119">
        <v>1415.26</v>
      </c>
      <c r="L39" s="119">
        <v>1414.08</v>
      </c>
      <c r="M39" s="119">
        <v>1414.52</v>
      </c>
      <c r="N39" s="119">
        <v>1414.66</v>
      </c>
      <c r="O39" s="119">
        <v>0.914323</v>
      </c>
      <c r="P39" s="119">
        <v>2498.83</v>
      </c>
      <c r="Q39" s="119">
        <v>2500.0700000000002</v>
      </c>
      <c r="R39" s="119">
        <v>2499.94</v>
      </c>
      <c r="S39" s="119">
        <v>2498.52</v>
      </c>
      <c r="T39" s="119">
        <v>2499.9699999999998</v>
      </c>
      <c r="U39" s="119">
        <v>2499</v>
      </c>
      <c r="V39" s="119">
        <v>2500.6</v>
      </c>
      <c r="W39" s="119">
        <v>2500.2199999999998</v>
      </c>
      <c r="X39" s="119">
        <v>209.8</v>
      </c>
      <c r="Y39" s="119">
        <v>6.4231399999999994E-2</v>
      </c>
      <c r="Z39" s="119">
        <v>-6.9897500000000001E-2</v>
      </c>
      <c r="AA39" s="119">
        <v>-6.0896199999999998E-2</v>
      </c>
      <c r="AB39" s="119">
        <v>-3.13263E-3</v>
      </c>
      <c r="AC39" s="119">
        <v>-7.6217499999999994E-2</v>
      </c>
      <c r="AD39" s="119">
        <v>-3.6647600000000002E-2</v>
      </c>
      <c r="AE39" s="119">
        <v>-7.4378E-2</v>
      </c>
      <c r="AF39" s="119">
        <v>-6.9229899999999997E-2</v>
      </c>
      <c r="AG39" s="119" t="s">
        <v>309</v>
      </c>
      <c r="AH39" s="119" t="s">
        <v>173</v>
      </c>
      <c r="AI39" s="119">
        <v>35.123202999999997</v>
      </c>
      <c r="AJ39" s="119">
        <v>35.513443000000002</v>
      </c>
      <c r="AK39" s="119">
        <v>6307401</v>
      </c>
      <c r="AL39" s="119">
        <v>1.6166666746139999</v>
      </c>
      <c r="AN39" s="123">
        <f t="shared" si="6"/>
        <v>46249</v>
      </c>
      <c r="AO39" s="124">
        <f t="shared" si="7"/>
        <v>0.96562499999999996</v>
      </c>
      <c r="AQ39" s="125">
        <v>64.876796999999996</v>
      </c>
      <c r="AR39" s="125">
        <v>65.597616000000002</v>
      </c>
      <c r="AS39" s="125">
        <v>313053846</v>
      </c>
      <c r="AT39" s="125">
        <v>3.9820000000000002</v>
      </c>
      <c r="AV39" s="126">
        <f t="shared" si="8"/>
        <v>1.7324259950749421</v>
      </c>
      <c r="AW39" s="125">
        <f t="shared" si="9"/>
        <v>1.6141716609401338</v>
      </c>
    </row>
    <row r="40" spans="1:49">
      <c r="A40" s="118" t="s">
        <v>310</v>
      </c>
      <c r="B40" s="119">
        <v>7</v>
      </c>
      <c r="C40" s="119">
        <v>210.1</v>
      </c>
      <c r="D40" s="119">
        <v>210.1</v>
      </c>
      <c r="E40" s="119">
        <v>25.188099999999999</v>
      </c>
      <c r="F40" s="119">
        <v>25.023099999999999</v>
      </c>
      <c r="G40" s="119">
        <v>1412.35</v>
      </c>
      <c r="H40" s="119">
        <v>1412.22</v>
      </c>
      <c r="I40" s="119">
        <v>1412.15</v>
      </c>
      <c r="J40" s="119">
        <v>1413.39</v>
      </c>
      <c r="K40" s="119">
        <v>1412.4</v>
      </c>
      <c r="L40" s="119">
        <v>1412.17</v>
      </c>
      <c r="M40" s="119">
        <v>1412.06</v>
      </c>
      <c r="N40" s="119">
        <v>1412.34</v>
      </c>
      <c r="O40" s="119">
        <v>0.95966899999999999</v>
      </c>
      <c r="P40" s="119">
        <v>2500.09</v>
      </c>
      <c r="Q40" s="119">
        <v>2500.6</v>
      </c>
      <c r="R40" s="119">
        <v>2499.81</v>
      </c>
      <c r="S40" s="119">
        <v>2500.25</v>
      </c>
      <c r="T40" s="119">
        <v>2499.25</v>
      </c>
      <c r="U40" s="119">
        <v>2499.6</v>
      </c>
      <c r="V40" s="119">
        <v>2499.77</v>
      </c>
      <c r="W40" s="119">
        <v>2500.46</v>
      </c>
      <c r="X40" s="119">
        <v>210.2</v>
      </c>
      <c r="Y40" s="119">
        <v>6.5282000000000007E-2</v>
      </c>
      <c r="Z40" s="119">
        <v>-6.2637700000000004E-2</v>
      </c>
      <c r="AA40" s="119">
        <v>-6.0786899999999998E-2</v>
      </c>
      <c r="AB40" s="119">
        <v>-2.2938300000000002E-3</v>
      </c>
      <c r="AC40" s="119">
        <v>-7.8804600000000002E-2</v>
      </c>
      <c r="AD40" s="119">
        <v>-3.9394400000000003E-2</v>
      </c>
      <c r="AE40" s="119">
        <v>-6.0474800000000002E-2</v>
      </c>
      <c r="AF40" s="119">
        <v>-6.4381599999999997E-2</v>
      </c>
      <c r="AG40" s="119" t="s">
        <v>311</v>
      </c>
      <c r="AH40" s="119" t="s">
        <v>173</v>
      </c>
      <c r="AI40" s="119">
        <v>35.823931000000002</v>
      </c>
      <c r="AJ40" s="119">
        <v>36.22495</v>
      </c>
      <c r="AK40" s="119">
        <v>6433769</v>
      </c>
      <c r="AL40" s="119">
        <v>1.6150000095367001</v>
      </c>
      <c r="AN40" s="123">
        <f t="shared" si="6"/>
        <v>46249</v>
      </c>
      <c r="AO40" s="124">
        <f t="shared" si="7"/>
        <v>0.97489583333333329</v>
      </c>
      <c r="AQ40" s="125">
        <v>64.176068999999998</v>
      </c>
      <c r="AR40" s="125">
        <v>64.894465999999994</v>
      </c>
      <c r="AS40" s="125">
        <v>309698179</v>
      </c>
      <c r="AT40" s="125">
        <v>3.9820000000000002</v>
      </c>
      <c r="AV40" s="126">
        <f t="shared" si="8"/>
        <v>1.7862823477081469</v>
      </c>
      <c r="AW40" s="125">
        <f t="shared" si="9"/>
        <v>1.6643518120284098</v>
      </c>
    </row>
    <row r="41" spans="1:49">
      <c r="A41" s="118" t="s">
        <v>312</v>
      </c>
      <c r="B41" s="119">
        <v>8</v>
      </c>
      <c r="C41" s="119">
        <v>210</v>
      </c>
      <c r="D41" s="119">
        <v>210</v>
      </c>
      <c r="E41" s="119">
        <v>25.2271</v>
      </c>
      <c r="F41" s="119">
        <v>25.0318</v>
      </c>
      <c r="G41" s="119">
        <v>1404.25</v>
      </c>
      <c r="H41" s="119">
        <v>1404.1</v>
      </c>
      <c r="I41" s="119">
        <v>1405.23</v>
      </c>
      <c r="J41" s="119">
        <v>1405.21</v>
      </c>
      <c r="K41" s="119">
        <v>1405.05</v>
      </c>
      <c r="L41" s="119">
        <v>1404.85</v>
      </c>
      <c r="M41" s="119">
        <v>1404.2</v>
      </c>
      <c r="N41" s="119">
        <v>1404.58</v>
      </c>
      <c r="O41" s="119">
        <v>0.94781700000000002</v>
      </c>
      <c r="P41" s="119">
        <v>2499.5500000000002</v>
      </c>
      <c r="Q41" s="119">
        <v>2500.1</v>
      </c>
      <c r="R41" s="119">
        <v>2499.62</v>
      </c>
      <c r="S41" s="119">
        <v>2499.7199999999998</v>
      </c>
      <c r="T41" s="119">
        <v>2500.4499999999998</v>
      </c>
      <c r="U41" s="119">
        <v>2499.9499999999998</v>
      </c>
      <c r="V41" s="119">
        <v>2500.02</v>
      </c>
      <c r="W41" s="119">
        <v>2499.98</v>
      </c>
      <c r="X41" s="119">
        <v>209.9</v>
      </c>
      <c r="Y41" s="119">
        <v>6.4964900000000006E-2</v>
      </c>
      <c r="Z41" s="119">
        <v>-6.5695400000000001E-2</v>
      </c>
      <c r="AA41" s="119">
        <v>-5.7385400000000003E-2</v>
      </c>
      <c r="AB41" s="119">
        <v>-1.0917100000000001E-3</v>
      </c>
      <c r="AC41" s="119">
        <v>-7.7194299999999993E-2</v>
      </c>
      <c r="AD41" s="119">
        <v>-3.8066099999999999E-2</v>
      </c>
      <c r="AE41" s="119">
        <v>-6.2964099999999995E-2</v>
      </c>
      <c r="AF41" s="119">
        <v>-6.7594799999999997E-2</v>
      </c>
      <c r="AG41" s="119" t="s">
        <v>313</v>
      </c>
      <c r="AH41" s="119" t="s">
        <v>173</v>
      </c>
      <c r="AI41" s="119">
        <v>35.169522000000001</v>
      </c>
      <c r="AJ41" s="119">
        <v>35.574657000000002</v>
      </c>
      <c r="AK41" s="119">
        <v>6318273</v>
      </c>
      <c r="AL41" s="119">
        <v>1.6166666746139999</v>
      </c>
      <c r="AN41" s="123">
        <f t="shared" si="6"/>
        <v>46249</v>
      </c>
      <c r="AO41" s="124">
        <f t="shared" si="7"/>
        <v>0.98416666666666663</v>
      </c>
      <c r="AQ41" s="125">
        <v>64.830477999999999</v>
      </c>
      <c r="AR41" s="125">
        <v>65.577292999999997</v>
      </c>
      <c r="AS41" s="125">
        <v>312956857</v>
      </c>
      <c r="AT41" s="125">
        <v>3.98</v>
      </c>
      <c r="AV41" s="126">
        <f t="shared" si="8"/>
        <v>1.7359500326374273</v>
      </c>
      <c r="AW41" s="125">
        <f t="shared" si="9"/>
        <v>1.6174551498635414</v>
      </c>
    </row>
    <row r="42" spans="1:49">
      <c r="A42" s="118" t="s">
        <v>314</v>
      </c>
      <c r="B42" s="119">
        <v>1</v>
      </c>
      <c r="C42" s="119">
        <v>210</v>
      </c>
      <c r="D42" s="119">
        <v>209.9</v>
      </c>
      <c r="E42" s="119">
        <v>25.1968</v>
      </c>
      <c r="F42" s="119">
        <v>25.0579</v>
      </c>
      <c r="G42" s="119">
        <v>1412.94</v>
      </c>
      <c r="H42" s="119">
        <v>1413.45</v>
      </c>
      <c r="I42" s="119">
        <v>1413.68</v>
      </c>
      <c r="J42" s="119">
        <v>1415.2</v>
      </c>
      <c r="K42" s="119">
        <v>1413.64</v>
      </c>
      <c r="L42" s="119">
        <v>1413.26</v>
      </c>
      <c r="M42" s="119">
        <v>1413.3</v>
      </c>
      <c r="N42" s="119">
        <v>1413.52</v>
      </c>
      <c r="O42" s="119">
        <v>0.95659300000000003</v>
      </c>
      <c r="P42" s="119">
        <v>2499.61</v>
      </c>
      <c r="Q42" s="119">
        <v>2500</v>
      </c>
      <c r="R42" s="119">
        <v>2500.6799999999998</v>
      </c>
      <c r="S42" s="119">
        <v>2499.92</v>
      </c>
      <c r="T42" s="119">
        <v>2500.15</v>
      </c>
      <c r="U42" s="119">
        <v>2499.96</v>
      </c>
      <c r="V42" s="119">
        <v>2499.94</v>
      </c>
      <c r="W42" s="119">
        <v>2500.5300000000002</v>
      </c>
      <c r="X42" s="119">
        <v>210</v>
      </c>
      <c r="Y42" s="119">
        <v>5.9311799999999998E-2</v>
      </c>
      <c r="Z42" s="119">
        <v>-6.3336900000000002E-2</v>
      </c>
      <c r="AA42" s="119">
        <v>-6.1646100000000002E-2</v>
      </c>
      <c r="AB42" s="119">
        <v>-7.9129200000000004E-3</v>
      </c>
      <c r="AC42" s="119">
        <v>-8.0851999999999993E-2</v>
      </c>
      <c r="AD42" s="119">
        <v>-4.1125700000000001E-2</v>
      </c>
      <c r="AE42" s="119">
        <v>-9.2288899999999993E-2</v>
      </c>
      <c r="AF42" s="119">
        <v>-7.4580800000000003E-2</v>
      </c>
      <c r="AG42" s="119" t="s">
        <v>315</v>
      </c>
      <c r="AH42" s="119" t="s">
        <v>173</v>
      </c>
      <c r="AI42" s="119">
        <v>36.496473999999999</v>
      </c>
      <c r="AJ42" s="119">
        <v>36.897264</v>
      </c>
      <c r="AK42" s="119">
        <v>6553176</v>
      </c>
      <c r="AL42" s="119">
        <v>1.6166666746139999</v>
      </c>
      <c r="AN42" s="123">
        <f t="shared" si="6"/>
        <v>46249</v>
      </c>
      <c r="AO42" s="124">
        <f t="shared" si="7"/>
        <v>0.99346064814814816</v>
      </c>
      <c r="AQ42" s="125">
        <v>63.503526000000001</v>
      </c>
      <c r="AR42" s="125">
        <v>64.200897999999995</v>
      </c>
      <c r="AS42" s="125">
        <v>306388239</v>
      </c>
      <c r="AT42" s="125">
        <v>3.98</v>
      </c>
      <c r="AV42" s="126">
        <f t="shared" si="8"/>
        <v>1.8390902703575864</v>
      </c>
      <c r="AW42" s="125">
        <f t="shared" si="9"/>
        <v>1.713555098319526</v>
      </c>
    </row>
    <row r="43" spans="1:49">
      <c r="A43" s="118" t="s">
        <v>316</v>
      </c>
      <c r="B43" s="119">
        <v>2</v>
      </c>
      <c r="C43" s="119">
        <v>210</v>
      </c>
      <c r="D43" s="119">
        <v>210</v>
      </c>
      <c r="E43" s="119">
        <v>25.222799999999999</v>
      </c>
      <c r="F43" s="119">
        <v>25.039100000000001</v>
      </c>
      <c r="G43" s="119">
        <v>1418.62</v>
      </c>
      <c r="H43" s="119">
        <v>1418.9</v>
      </c>
      <c r="I43" s="119">
        <v>1418.63</v>
      </c>
      <c r="J43" s="119">
        <v>1416.69</v>
      </c>
      <c r="K43" s="119">
        <v>1418.22</v>
      </c>
      <c r="L43" s="119">
        <v>1417.43</v>
      </c>
      <c r="M43" s="119">
        <v>1417.91</v>
      </c>
      <c r="N43" s="119">
        <v>1418.06</v>
      </c>
      <c r="O43" s="119">
        <v>0.88503600000000004</v>
      </c>
      <c r="P43" s="119">
        <v>2499.9299999999998</v>
      </c>
      <c r="Q43" s="119">
        <v>2500.2600000000002</v>
      </c>
      <c r="R43" s="119">
        <v>2499.9699999999998</v>
      </c>
      <c r="S43" s="119">
        <v>2500.11</v>
      </c>
      <c r="T43" s="119">
        <v>2499.98</v>
      </c>
      <c r="U43" s="119">
        <v>2499.6999999999998</v>
      </c>
      <c r="V43" s="119">
        <v>2499.4</v>
      </c>
      <c r="W43" s="119">
        <v>2500.5500000000002</v>
      </c>
      <c r="X43" s="119">
        <v>210</v>
      </c>
      <c r="Y43" s="119">
        <v>6.6019599999999998E-2</v>
      </c>
      <c r="Z43" s="119">
        <v>-6.3691999999999999E-2</v>
      </c>
      <c r="AA43" s="119">
        <v>-6.0016399999999998E-2</v>
      </c>
      <c r="AB43" s="119">
        <v>-1.5423399999999999E-3</v>
      </c>
      <c r="AC43" s="119">
        <v>-7.5931499999999999E-2</v>
      </c>
      <c r="AD43" s="119">
        <v>-3.7447800000000003E-2</v>
      </c>
      <c r="AE43" s="119">
        <v>-7.0793700000000001E-2</v>
      </c>
      <c r="AF43" s="119">
        <v>-6.9996500000000003E-2</v>
      </c>
      <c r="AG43" s="119" t="s">
        <v>317</v>
      </c>
      <c r="AH43" s="119" t="s">
        <v>173</v>
      </c>
      <c r="AI43" s="119">
        <v>100</v>
      </c>
      <c r="AJ43" s="119">
        <v>34.992058999999998</v>
      </c>
      <c r="AK43" s="119">
        <v>6214800</v>
      </c>
      <c r="AL43" s="119">
        <v>1.6150000095367001</v>
      </c>
      <c r="AN43" s="123">
        <f t="shared" si="6"/>
        <v>46250</v>
      </c>
      <c r="AO43" s="124">
        <f t="shared" si="7"/>
        <v>2.7314814814814814E-3</v>
      </c>
      <c r="AQ43" s="125">
        <v>0</v>
      </c>
      <c r="AR43" s="125">
        <v>0</v>
      </c>
      <c r="AS43" s="125">
        <v>0</v>
      </c>
      <c r="AT43" s="125">
        <v>0</v>
      </c>
      <c r="AV43" s="126" t="e">
        <f t="shared" si="8"/>
        <v>#DIV/0!</v>
      </c>
      <c r="AW43" s="125" t="e">
        <f t="shared" si="9"/>
        <v>#DIV/0!</v>
      </c>
    </row>
    <row r="44" spans="1:49">
      <c r="A44" s="118" t="s">
        <v>318</v>
      </c>
      <c r="B44" s="119">
        <v>3</v>
      </c>
      <c r="C44" s="119">
        <v>210</v>
      </c>
      <c r="D44" s="119">
        <v>210</v>
      </c>
      <c r="E44" s="119">
        <v>25.240200000000002</v>
      </c>
      <c r="F44" s="119">
        <v>25.0275</v>
      </c>
      <c r="G44" s="119">
        <v>1434.96</v>
      </c>
      <c r="H44" s="119">
        <v>1435.88</v>
      </c>
      <c r="I44" s="119">
        <v>1435.51</v>
      </c>
      <c r="J44" s="119">
        <v>1434.81</v>
      </c>
      <c r="K44" s="119">
        <v>1436.08</v>
      </c>
      <c r="L44" s="119">
        <v>1435.84</v>
      </c>
      <c r="M44" s="119">
        <v>1436.24</v>
      </c>
      <c r="N44" s="119">
        <v>1436.39</v>
      </c>
      <c r="O44" s="119">
        <v>0.94881400000000005</v>
      </c>
      <c r="P44" s="119">
        <v>2499.3000000000002</v>
      </c>
      <c r="Q44" s="119">
        <v>2500.2600000000002</v>
      </c>
      <c r="R44" s="119">
        <v>2499.62</v>
      </c>
      <c r="S44" s="119">
        <v>2500.09</v>
      </c>
      <c r="T44" s="119">
        <v>2499.8000000000002</v>
      </c>
      <c r="U44" s="119">
        <v>2499.9899999999998</v>
      </c>
      <c r="V44" s="119">
        <v>2499.5</v>
      </c>
      <c r="W44" s="119">
        <v>2500.38</v>
      </c>
      <c r="X44" s="119">
        <v>210.1</v>
      </c>
      <c r="Y44" s="119">
        <v>6.5574499999999994E-2</v>
      </c>
      <c r="Z44" s="119">
        <v>-6.3525799999999993E-2</v>
      </c>
      <c r="AA44" s="119">
        <v>-5.8499799999999998E-2</v>
      </c>
      <c r="AB44" s="119">
        <v>1.14854E-3</v>
      </c>
      <c r="AC44" s="119">
        <v>-7.9289499999999999E-2</v>
      </c>
      <c r="AD44" s="119">
        <v>-3.8240900000000001E-2</v>
      </c>
      <c r="AE44" s="119">
        <v>-9.4229400000000005E-2</v>
      </c>
      <c r="AF44" s="119">
        <v>-7.3888999999999996E-2</v>
      </c>
      <c r="AG44" s="119" t="s">
        <v>319</v>
      </c>
      <c r="AH44" s="119" t="s">
        <v>173</v>
      </c>
      <c r="AI44" s="119">
        <v>34.913508</v>
      </c>
      <c r="AJ44" s="119">
        <v>35.301181</v>
      </c>
      <c r="AK44" s="119">
        <v>6269702</v>
      </c>
      <c r="AL44" s="119">
        <v>1.6166666746139999</v>
      </c>
      <c r="AN44" s="123">
        <f t="shared" si="6"/>
        <v>46250</v>
      </c>
      <c r="AO44" s="124">
        <f t="shared" si="7"/>
        <v>1.2002314814814815E-2</v>
      </c>
      <c r="AQ44" s="125">
        <v>65.086492000000007</v>
      </c>
      <c r="AR44" s="125">
        <v>65.809200000000004</v>
      </c>
      <c r="AS44" s="125">
        <v>314063594</v>
      </c>
      <c r="AT44" s="125">
        <v>3.98</v>
      </c>
      <c r="AV44" s="126">
        <f t="shared" si="8"/>
        <v>1.7165347550149115</v>
      </c>
      <c r="AW44" s="125">
        <f t="shared" si="9"/>
        <v>1.5993651471640642</v>
      </c>
    </row>
    <row r="45" spans="1:49">
      <c r="A45" s="118" t="s">
        <v>320</v>
      </c>
      <c r="B45" s="119">
        <v>4</v>
      </c>
      <c r="C45" s="119">
        <v>210</v>
      </c>
      <c r="D45" s="119">
        <v>210</v>
      </c>
      <c r="E45" s="119">
        <v>25.264800000000001</v>
      </c>
      <c r="F45" s="119">
        <v>25.010100000000001</v>
      </c>
      <c r="G45" s="119">
        <v>1444.48</v>
      </c>
      <c r="H45" s="119">
        <v>1444.62</v>
      </c>
      <c r="I45" s="119">
        <v>1444.25</v>
      </c>
      <c r="J45" s="119">
        <v>1445.25</v>
      </c>
      <c r="K45" s="119">
        <v>1443.76</v>
      </c>
      <c r="L45" s="119">
        <v>1444.46</v>
      </c>
      <c r="M45" s="119">
        <v>1444.35</v>
      </c>
      <c r="N45" s="119">
        <v>1444.44</v>
      </c>
      <c r="O45" s="119">
        <v>0.92055399999999998</v>
      </c>
      <c r="P45" s="119">
        <v>2499.64</v>
      </c>
      <c r="Q45" s="119">
        <v>2499.3000000000002</v>
      </c>
      <c r="R45" s="119">
        <v>2499.08</v>
      </c>
      <c r="S45" s="119">
        <v>2500.02</v>
      </c>
      <c r="T45" s="119">
        <v>2500.35</v>
      </c>
      <c r="U45" s="119">
        <v>2499.4499999999998</v>
      </c>
      <c r="V45" s="119">
        <v>2499.77</v>
      </c>
      <c r="W45" s="119">
        <v>2501.31</v>
      </c>
      <c r="X45" s="119">
        <v>209.9</v>
      </c>
      <c r="Y45" s="119">
        <v>6.2459300000000002E-2</v>
      </c>
      <c r="Z45" s="119">
        <v>-6.6144499999999995E-2</v>
      </c>
      <c r="AA45" s="119">
        <v>-6.1451499999999999E-2</v>
      </c>
      <c r="AB45" s="119">
        <v>-8.0139800000000001E-5</v>
      </c>
      <c r="AC45" s="119">
        <v>-7.7937999999999993E-2</v>
      </c>
      <c r="AD45" s="119">
        <v>-3.9805199999999999E-2</v>
      </c>
      <c r="AE45" s="119">
        <v>-0.108166</v>
      </c>
      <c r="AF45" s="119">
        <v>-7.57631E-2</v>
      </c>
      <c r="AG45" s="119" t="s">
        <v>321</v>
      </c>
      <c r="AH45" s="119" t="s">
        <v>173</v>
      </c>
      <c r="AI45" s="119">
        <v>35.999780000000001</v>
      </c>
      <c r="AJ45" s="119">
        <v>36.386825000000002</v>
      </c>
      <c r="AK45" s="119">
        <v>6462519</v>
      </c>
      <c r="AL45" s="119">
        <v>1.6150000095367001</v>
      </c>
      <c r="AN45" s="123">
        <f t="shared" si="6"/>
        <v>46250</v>
      </c>
      <c r="AO45" s="124">
        <f t="shared" si="7"/>
        <v>2.1273148148148149E-2</v>
      </c>
      <c r="AQ45" s="125">
        <v>64.000219999999999</v>
      </c>
      <c r="AR45" s="125">
        <v>64.688306999999995</v>
      </c>
      <c r="AS45" s="125">
        <v>308714317</v>
      </c>
      <c r="AT45" s="125">
        <v>3.98</v>
      </c>
      <c r="AV45" s="126">
        <f t="shared" si="8"/>
        <v>1.7999828125590822</v>
      </c>
      <c r="AW45" s="125">
        <f t="shared" si="9"/>
        <v>1.6771170915652882</v>
      </c>
    </row>
    <row r="46" spans="1:49">
      <c r="A46" s="118" t="s">
        <v>322</v>
      </c>
      <c r="B46" s="119">
        <v>5</v>
      </c>
      <c r="C46" s="119">
        <v>210</v>
      </c>
      <c r="D46" s="119">
        <v>210.1</v>
      </c>
      <c r="E46" s="119">
        <v>25.216999999999999</v>
      </c>
      <c r="F46" s="119">
        <v>25.020299999999999</v>
      </c>
      <c r="G46" s="119">
        <v>1423.51</v>
      </c>
      <c r="H46" s="119">
        <v>1423.56</v>
      </c>
      <c r="I46" s="119">
        <v>1423.35</v>
      </c>
      <c r="J46" s="119">
        <v>1423.89</v>
      </c>
      <c r="K46" s="119">
        <v>1423.61</v>
      </c>
      <c r="L46" s="119">
        <v>1423.44</v>
      </c>
      <c r="M46" s="119">
        <v>1422.98</v>
      </c>
      <c r="N46" s="119">
        <v>1423.12</v>
      </c>
      <c r="O46" s="119">
        <v>0.93969899999999995</v>
      </c>
      <c r="P46" s="119">
        <v>2500.08</v>
      </c>
      <c r="Q46" s="119">
        <v>2500.0300000000002</v>
      </c>
      <c r="R46" s="119">
        <v>2499.7800000000002</v>
      </c>
      <c r="S46" s="119">
        <v>2499.1</v>
      </c>
      <c r="T46" s="119">
        <v>2499.67</v>
      </c>
      <c r="U46" s="119">
        <v>2500.1799999999998</v>
      </c>
      <c r="V46" s="119">
        <v>2500.94</v>
      </c>
      <c r="W46" s="119">
        <v>2500.3200000000002</v>
      </c>
      <c r="X46" s="119">
        <v>210.1</v>
      </c>
      <c r="Y46" s="119">
        <v>6.6220600000000004E-2</v>
      </c>
      <c r="Z46" s="119">
        <v>-6.2712299999999999E-2</v>
      </c>
      <c r="AA46" s="119">
        <v>-5.7191499999999999E-2</v>
      </c>
      <c r="AB46" s="119">
        <v>-3.3409300000000002E-3</v>
      </c>
      <c r="AC46" s="119">
        <v>-8.1158099999999997E-2</v>
      </c>
      <c r="AD46" s="119">
        <v>-3.7148199999999999E-2</v>
      </c>
      <c r="AE46" s="119">
        <v>-8.4135000000000001E-2</v>
      </c>
      <c r="AF46" s="119">
        <v>-7.0862300000000003E-2</v>
      </c>
      <c r="AG46" s="119" t="s">
        <v>323</v>
      </c>
      <c r="AH46" s="119" t="s">
        <v>173</v>
      </c>
      <c r="AI46" s="119">
        <v>36.108970999999997</v>
      </c>
      <c r="AJ46" s="119">
        <v>36.494242999999997</v>
      </c>
      <c r="AK46" s="119">
        <v>6481597</v>
      </c>
      <c r="AL46" s="119">
        <v>1.6150000095367001</v>
      </c>
      <c r="AN46" s="123">
        <f t="shared" si="6"/>
        <v>46250</v>
      </c>
      <c r="AO46" s="124">
        <f t="shared" si="7"/>
        <v>3.0543981481481481E-2</v>
      </c>
      <c r="AQ46" s="125">
        <v>63.891029000000003</v>
      </c>
      <c r="AR46" s="125">
        <v>64.572727999999998</v>
      </c>
      <c r="AS46" s="125">
        <v>308162736</v>
      </c>
      <c r="AT46" s="125">
        <v>3.98</v>
      </c>
      <c r="AV46" s="126">
        <f t="shared" si="8"/>
        <v>1.808527879555673</v>
      </c>
      <c r="AW46" s="125">
        <f t="shared" si="9"/>
        <v>1.6850788775382208</v>
      </c>
    </row>
    <row r="47" spans="1:49">
      <c r="A47" s="118" t="s">
        <v>324</v>
      </c>
      <c r="B47" s="119">
        <v>6</v>
      </c>
      <c r="C47" s="119">
        <v>210</v>
      </c>
      <c r="D47" s="119">
        <v>210</v>
      </c>
      <c r="E47" s="119">
        <v>25.2836</v>
      </c>
      <c r="F47" s="119">
        <v>25.011600000000001</v>
      </c>
      <c r="G47" s="119">
        <v>1456.26</v>
      </c>
      <c r="H47" s="119">
        <v>1457.03</v>
      </c>
      <c r="I47" s="119">
        <v>1456.7</v>
      </c>
      <c r="J47" s="119">
        <v>1457.33</v>
      </c>
      <c r="K47" s="119">
        <v>1456.52</v>
      </c>
      <c r="L47" s="119">
        <v>1456.55</v>
      </c>
      <c r="M47" s="119">
        <v>1456.51</v>
      </c>
      <c r="N47" s="119">
        <v>1456.78</v>
      </c>
      <c r="O47" s="119">
        <v>0.89463199999999998</v>
      </c>
      <c r="P47" s="119">
        <v>2500.16</v>
      </c>
      <c r="Q47" s="119">
        <v>2499.9899999999998</v>
      </c>
      <c r="R47" s="119">
        <v>2500.19</v>
      </c>
      <c r="S47" s="119">
        <v>2499.19</v>
      </c>
      <c r="T47" s="119">
        <v>2500.2399999999998</v>
      </c>
      <c r="U47" s="119">
        <v>2499.0700000000002</v>
      </c>
      <c r="V47" s="119">
        <v>2500.31</v>
      </c>
      <c r="W47" s="119">
        <v>2499.85</v>
      </c>
      <c r="X47" s="119">
        <v>210</v>
      </c>
      <c r="Y47" s="119">
        <v>6.3309900000000002E-2</v>
      </c>
      <c r="Z47" s="119">
        <v>-6.2210000000000001E-2</v>
      </c>
      <c r="AA47" s="119">
        <v>-6.1419899999999999E-2</v>
      </c>
      <c r="AB47" s="119">
        <v>8.8491399999999999E-4</v>
      </c>
      <c r="AC47" s="119">
        <v>-7.9733100000000001E-2</v>
      </c>
      <c r="AD47" s="119">
        <v>-3.8627399999999999E-2</v>
      </c>
      <c r="AE47" s="119">
        <v>-8.1145700000000001E-2</v>
      </c>
      <c r="AF47" s="119">
        <v>-7.0611099999999996E-2</v>
      </c>
      <c r="AG47" s="119" t="s">
        <v>325</v>
      </c>
      <c r="AH47" s="119" t="s">
        <v>173</v>
      </c>
      <c r="AI47" s="119">
        <v>35.203221999999997</v>
      </c>
      <c r="AJ47" s="119">
        <v>35.586548999999998</v>
      </c>
      <c r="AK47" s="119">
        <v>6320385</v>
      </c>
      <c r="AL47" s="119">
        <v>1.6150000095367001</v>
      </c>
      <c r="AN47" s="123">
        <f t="shared" si="6"/>
        <v>46250</v>
      </c>
      <c r="AO47" s="124">
        <f t="shared" si="7"/>
        <v>3.9814814814814817E-2</v>
      </c>
      <c r="AQ47" s="125">
        <v>64.796778000000003</v>
      </c>
      <c r="AR47" s="125">
        <v>65.502348999999995</v>
      </c>
      <c r="AS47" s="125">
        <v>312599200</v>
      </c>
      <c r="AT47" s="125">
        <v>3.98</v>
      </c>
      <c r="AV47" s="126">
        <f t="shared" si="8"/>
        <v>1.7385171589858988</v>
      </c>
      <c r="AW47" s="125">
        <f t="shared" si="9"/>
        <v>1.6198470457445404</v>
      </c>
    </row>
    <row r="48" spans="1:49">
      <c r="A48" s="118" t="s">
        <v>326</v>
      </c>
      <c r="B48" s="119">
        <v>7</v>
      </c>
      <c r="C48" s="119">
        <v>210</v>
      </c>
      <c r="D48" s="119">
        <v>210</v>
      </c>
      <c r="E48" s="119">
        <v>25.260400000000001</v>
      </c>
      <c r="F48" s="119">
        <v>25.047699999999999</v>
      </c>
      <c r="G48" s="119">
        <v>1429.66</v>
      </c>
      <c r="H48" s="119">
        <v>1429.87</v>
      </c>
      <c r="I48" s="119">
        <v>1429.93</v>
      </c>
      <c r="J48" s="119">
        <v>1428.28</v>
      </c>
      <c r="K48" s="119">
        <v>1429.29</v>
      </c>
      <c r="L48" s="119">
        <v>1429.73</v>
      </c>
      <c r="M48" s="119">
        <v>1430.59</v>
      </c>
      <c r="N48" s="119">
        <v>1429.95</v>
      </c>
      <c r="O48" s="119">
        <v>0.87780400000000003</v>
      </c>
      <c r="P48" s="119">
        <v>2498.92</v>
      </c>
      <c r="Q48" s="119">
        <v>2500.1999999999998</v>
      </c>
      <c r="R48" s="119">
        <v>2499.9299999999998</v>
      </c>
      <c r="S48" s="119">
        <v>2499.0100000000002</v>
      </c>
      <c r="T48" s="119">
        <v>2500.04</v>
      </c>
      <c r="U48" s="119">
        <v>2499.9699999999998</v>
      </c>
      <c r="V48" s="119">
        <v>2499.9</v>
      </c>
      <c r="W48" s="119">
        <v>2500.02</v>
      </c>
      <c r="X48" s="119">
        <v>210.2</v>
      </c>
      <c r="Y48" s="119">
        <v>6.2814999999999996E-2</v>
      </c>
      <c r="Z48" s="119">
        <v>-6.4273200000000003E-2</v>
      </c>
      <c r="AA48" s="119">
        <v>-5.93599E-2</v>
      </c>
      <c r="AB48" s="119">
        <v>2.0503000000000001E-4</v>
      </c>
      <c r="AC48" s="119">
        <v>-8.0064999999999997E-2</v>
      </c>
      <c r="AD48" s="119">
        <v>-3.7687100000000001E-2</v>
      </c>
      <c r="AE48" s="119">
        <v>-7.9323000000000005E-2</v>
      </c>
      <c r="AF48" s="119">
        <v>-7.1096800000000002E-2</v>
      </c>
      <c r="AG48" s="119" t="s">
        <v>327</v>
      </c>
      <c r="AH48" s="119" t="s">
        <v>173</v>
      </c>
      <c r="AI48" s="119">
        <v>35.810594999999999</v>
      </c>
      <c r="AJ48" s="119">
        <v>36.182119999999998</v>
      </c>
      <c r="AK48" s="119">
        <v>6426162</v>
      </c>
      <c r="AL48" s="119">
        <v>1.6166666746139999</v>
      </c>
      <c r="AN48" s="123">
        <f t="shared" si="6"/>
        <v>46250</v>
      </c>
      <c r="AO48" s="124">
        <f t="shared" si="7"/>
        <v>4.9085648148148149E-2</v>
      </c>
      <c r="AQ48" s="125">
        <v>64.189404999999994</v>
      </c>
      <c r="AR48" s="125">
        <v>64.855352999999994</v>
      </c>
      <c r="AS48" s="125">
        <v>309511516</v>
      </c>
      <c r="AT48" s="125">
        <v>3.98</v>
      </c>
      <c r="AV48" s="126">
        <f t="shared" si="8"/>
        <v>1.7852463969715879</v>
      </c>
      <c r="AW48" s="125">
        <f t="shared" si="9"/>
        <v>1.6633865746527083</v>
      </c>
    </row>
    <row r="49" spans="1:49">
      <c r="A49" s="118" t="s">
        <v>328</v>
      </c>
      <c r="B49" s="119">
        <v>8</v>
      </c>
      <c r="C49" s="119">
        <v>210.1</v>
      </c>
      <c r="D49" s="119">
        <v>210</v>
      </c>
      <c r="E49" s="119">
        <v>25.276299999999999</v>
      </c>
      <c r="F49" s="119">
        <v>25.0318</v>
      </c>
      <c r="G49" s="119">
        <v>1429.53</v>
      </c>
      <c r="H49" s="119">
        <v>1429.73</v>
      </c>
      <c r="I49" s="119">
        <v>1429.58</v>
      </c>
      <c r="J49" s="119">
        <v>1429.3</v>
      </c>
      <c r="K49" s="119">
        <v>1429.43</v>
      </c>
      <c r="L49" s="119">
        <v>1429.17</v>
      </c>
      <c r="M49" s="119">
        <v>1430.15</v>
      </c>
      <c r="N49" s="119">
        <v>1429.48</v>
      </c>
      <c r="O49" s="119">
        <v>0.924821</v>
      </c>
      <c r="P49" s="119">
        <v>2499.7800000000002</v>
      </c>
      <c r="Q49" s="119">
        <v>2499.84</v>
      </c>
      <c r="R49" s="119">
        <v>2500.48</v>
      </c>
      <c r="S49" s="119">
        <v>2499.79</v>
      </c>
      <c r="T49" s="119">
        <v>2500.21</v>
      </c>
      <c r="U49" s="119">
        <v>2500.0700000000002</v>
      </c>
      <c r="V49" s="119">
        <v>2499.96</v>
      </c>
      <c r="W49" s="119">
        <v>2500.84</v>
      </c>
      <c r="X49" s="119">
        <v>210</v>
      </c>
      <c r="Y49" s="119">
        <v>6.5529000000000004E-2</v>
      </c>
      <c r="Z49" s="119">
        <v>-6.3325599999999996E-2</v>
      </c>
      <c r="AA49" s="119">
        <v>-6.2170900000000001E-2</v>
      </c>
      <c r="AB49" s="119">
        <v>-8.5230299999999991E-3</v>
      </c>
      <c r="AC49" s="119">
        <v>-8.1900000000000001E-2</v>
      </c>
      <c r="AD49" s="119">
        <v>-4.2740899999999998E-2</v>
      </c>
      <c r="AE49" s="119">
        <v>-8.1786200000000003E-2</v>
      </c>
      <c r="AF49" s="119">
        <v>-7.4533600000000005E-2</v>
      </c>
      <c r="AG49" s="119" t="s">
        <v>329</v>
      </c>
      <c r="AH49" s="119" t="s">
        <v>173</v>
      </c>
      <c r="AI49" s="119">
        <v>100</v>
      </c>
      <c r="AJ49" s="119">
        <v>35.653511000000002</v>
      </c>
      <c r="AK49" s="119">
        <v>6332278</v>
      </c>
      <c r="AL49" s="119">
        <v>1.6150000095367001</v>
      </c>
      <c r="AN49" s="123">
        <f t="shared" si="6"/>
        <v>46250</v>
      </c>
      <c r="AO49" s="124">
        <f t="shared" si="7"/>
        <v>5.8344907407407408E-2</v>
      </c>
      <c r="AQ49" s="125">
        <v>0</v>
      </c>
      <c r="AR49" s="125">
        <v>0</v>
      </c>
      <c r="AS49" s="125">
        <v>0</v>
      </c>
      <c r="AT49" s="125">
        <v>0</v>
      </c>
      <c r="AV49" s="126" t="e">
        <f t="shared" si="8"/>
        <v>#DIV/0!</v>
      </c>
      <c r="AW49" s="125" t="e">
        <f t="shared" si="9"/>
        <v>#DIV/0!</v>
      </c>
    </row>
    <row r="50" spans="1:49">
      <c r="A50" s="118" t="s">
        <v>330</v>
      </c>
      <c r="B50" s="119">
        <v>1</v>
      </c>
      <c r="C50" s="119">
        <v>210</v>
      </c>
      <c r="D50" s="119">
        <v>210</v>
      </c>
      <c r="E50" s="119">
        <v>25.244499999999999</v>
      </c>
      <c r="F50" s="119">
        <v>25.042000000000002</v>
      </c>
      <c r="G50" s="119">
        <v>1402.49</v>
      </c>
      <c r="H50" s="119">
        <v>1402.57</v>
      </c>
      <c r="I50" s="119">
        <v>1402.8</v>
      </c>
      <c r="J50" s="119">
        <v>1403.13</v>
      </c>
      <c r="K50" s="119">
        <v>1402.92</v>
      </c>
      <c r="L50" s="119">
        <v>1402.53</v>
      </c>
      <c r="M50" s="119">
        <v>1402.48</v>
      </c>
      <c r="N50" s="119">
        <v>1403.08</v>
      </c>
      <c r="O50" s="119">
        <v>0.96633100000000005</v>
      </c>
      <c r="P50" s="119">
        <v>2499.7800000000002</v>
      </c>
      <c r="Q50" s="119">
        <v>2499.06</v>
      </c>
      <c r="R50" s="119">
        <v>2500.08</v>
      </c>
      <c r="S50" s="119">
        <v>2499.36</v>
      </c>
      <c r="T50" s="119">
        <v>2499.29</v>
      </c>
      <c r="U50" s="119">
        <v>2499.85</v>
      </c>
      <c r="V50" s="119">
        <v>2501.17</v>
      </c>
      <c r="W50" s="119">
        <v>2498.87</v>
      </c>
      <c r="X50" s="119">
        <v>209.9</v>
      </c>
      <c r="Y50" s="119">
        <v>6.1563800000000002E-2</v>
      </c>
      <c r="Z50" s="119">
        <v>-6.4101099999999994E-2</v>
      </c>
      <c r="AA50" s="119">
        <v>-5.9913500000000001E-2</v>
      </c>
      <c r="AB50" s="119">
        <v>2.4999800000000002E-3</v>
      </c>
      <c r="AC50" s="119">
        <v>-7.7417700000000006E-2</v>
      </c>
      <c r="AD50" s="119">
        <v>-4.3684599999999997E-2</v>
      </c>
      <c r="AE50" s="119">
        <v>-6.92025E-2</v>
      </c>
      <c r="AF50" s="119">
        <v>-6.7982299999999996E-2</v>
      </c>
      <c r="AG50" s="119" t="s">
        <v>331</v>
      </c>
      <c r="AH50" s="119" t="s">
        <v>173</v>
      </c>
      <c r="AI50" s="119">
        <v>36.593024</v>
      </c>
      <c r="AJ50" s="119">
        <v>36.972509000000002</v>
      </c>
      <c r="AK50" s="119">
        <v>6566540</v>
      </c>
      <c r="AL50" s="119">
        <v>1.6166666746139999</v>
      </c>
      <c r="AN50" s="123">
        <f t="shared" si="6"/>
        <v>46250</v>
      </c>
      <c r="AO50" s="124">
        <f t="shared" si="7"/>
        <v>6.761574074074074E-2</v>
      </c>
      <c r="AQ50" s="125">
        <v>63.406976</v>
      </c>
      <c r="AR50" s="125">
        <v>64.064535000000006</v>
      </c>
      <c r="AS50" s="125">
        <v>305737467</v>
      </c>
      <c r="AT50" s="125">
        <v>3.9830000000000001</v>
      </c>
      <c r="AV50" s="126">
        <f t="shared" si="8"/>
        <v>1.8467633088195217</v>
      </c>
      <c r="AW50" s="125">
        <f t="shared" si="9"/>
        <v>1.7207043798898614</v>
      </c>
    </row>
    <row r="51" spans="1:49">
      <c r="A51" s="118" t="s">
        <v>332</v>
      </c>
      <c r="B51" s="119">
        <v>2</v>
      </c>
      <c r="C51" s="119">
        <v>210</v>
      </c>
      <c r="D51" s="119">
        <v>210.1</v>
      </c>
      <c r="E51" s="119">
        <v>25.180800000000001</v>
      </c>
      <c r="F51" s="119">
        <v>25.021699999999999</v>
      </c>
      <c r="G51" s="119">
        <v>1444.97</v>
      </c>
      <c r="H51" s="119">
        <v>1445.54</v>
      </c>
      <c r="I51" s="119">
        <v>1445.55</v>
      </c>
      <c r="J51" s="119">
        <v>1445.64</v>
      </c>
      <c r="K51" s="119">
        <v>1445.33</v>
      </c>
      <c r="L51" s="119">
        <v>1445.41</v>
      </c>
      <c r="M51" s="119">
        <v>1444.9</v>
      </c>
      <c r="N51" s="119">
        <v>1445.34</v>
      </c>
      <c r="O51" s="119">
        <v>0.90732299999999999</v>
      </c>
      <c r="P51" s="119">
        <v>2499.59</v>
      </c>
      <c r="Q51" s="119">
        <v>2499.81</v>
      </c>
      <c r="R51" s="119">
        <v>2500.19</v>
      </c>
      <c r="S51" s="119">
        <v>2499.37</v>
      </c>
      <c r="T51" s="119">
        <v>2499.38</v>
      </c>
      <c r="U51" s="119">
        <v>2499.8200000000002</v>
      </c>
      <c r="V51" s="119">
        <v>2499.84</v>
      </c>
      <c r="W51" s="119">
        <v>2500.4</v>
      </c>
      <c r="X51" s="119">
        <v>210</v>
      </c>
      <c r="Y51" s="119">
        <v>6.4329800000000006E-2</v>
      </c>
      <c r="Z51" s="119">
        <v>-6.6866400000000006E-2</v>
      </c>
      <c r="AA51" s="119">
        <v>-6.3371800000000006E-2</v>
      </c>
      <c r="AB51" s="119">
        <v>-2.4611099999999999E-3</v>
      </c>
      <c r="AC51" s="119">
        <v>-8.3566799999999997E-2</v>
      </c>
      <c r="AD51" s="119">
        <v>-3.86535E-2</v>
      </c>
      <c r="AE51" s="119">
        <v>-7.0722599999999997E-2</v>
      </c>
      <c r="AF51" s="119">
        <v>-7.1290999999999993E-2</v>
      </c>
      <c r="AG51" s="119" t="s">
        <v>333</v>
      </c>
      <c r="AH51" s="119" t="s">
        <v>173</v>
      </c>
      <c r="AI51" s="119">
        <v>100</v>
      </c>
      <c r="AJ51" s="119">
        <v>35.178702000000001</v>
      </c>
      <c r="AK51" s="119">
        <v>6247949</v>
      </c>
      <c r="AL51" s="119">
        <v>1.6166666746139999</v>
      </c>
      <c r="AN51" s="123">
        <f t="shared" si="6"/>
        <v>46250</v>
      </c>
      <c r="AO51" s="124">
        <f t="shared" si="7"/>
        <v>7.6886574074074079E-2</v>
      </c>
      <c r="AQ51" s="125">
        <v>0</v>
      </c>
      <c r="AR51" s="125">
        <v>0</v>
      </c>
      <c r="AS51" s="125">
        <v>0</v>
      </c>
      <c r="AT51" s="125">
        <v>0</v>
      </c>
      <c r="AV51" s="126" t="e">
        <f t="shared" si="8"/>
        <v>#DIV/0!</v>
      </c>
      <c r="AW51" s="125" t="e">
        <f t="shared" si="9"/>
        <v>#DIV/0!</v>
      </c>
    </row>
    <row r="52" spans="1:49">
      <c r="A52" s="118" t="s">
        <v>334</v>
      </c>
      <c r="B52" s="119">
        <v>3</v>
      </c>
      <c r="C52" s="119">
        <v>210</v>
      </c>
      <c r="D52" s="119">
        <v>210</v>
      </c>
      <c r="E52" s="119">
        <v>25.316800000000001</v>
      </c>
      <c r="F52" s="119">
        <v>25.023099999999999</v>
      </c>
      <c r="G52" s="119">
        <v>1424.54</v>
      </c>
      <c r="H52" s="119">
        <v>1423.75</v>
      </c>
      <c r="I52" s="119">
        <v>1424.45</v>
      </c>
      <c r="J52" s="119">
        <v>1424.09</v>
      </c>
      <c r="K52" s="119">
        <v>1423.96</v>
      </c>
      <c r="L52" s="119">
        <v>1424.07</v>
      </c>
      <c r="M52" s="119">
        <v>1424.48</v>
      </c>
      <c r="N52" s="119">
        <v>1424.36</v>
      </c>
      <c r="O52" s="119">
        <v>0.95012399999999997</v>
      </c>
      <c r="P52" s="119">
        <v>2502.66</v>
      </c>
      <c r="Q52" s="119">
        <v>2499.71</v>
      </c>
      <c r="R52" s="119">
        <v>2500.0100000000002</v>
      </c>
      <c r="S52" s="119">
        <v>2499.79</v>
      </c>
      <c r="T52" s="119">
        <v>2499.6</v>
      </c>
      <c r="U52" s="119">
        <v>2499.83</v>
      </c>
      <c r="V52" s="119">
        <v>2499.39</v>
      </c>
      <c r="W52" s="119">
        <v>2500.4</v>
      </c>
      <c r="X52" s="119">
        <v>210.1</v>
      </c>
      <c r="Y52" s="119">
        <v>6.0583400000000003E-2</v>
      </c>
      <c r="Z52" s="119">
        <v>-6.2446500000000002E-2</v>
      </c>
      <c r="AA52" s="119">
        <v>-5.9527799999999999E-2</v>
      </c>
      <c r="AB52" s="119">
        <v>-7.08006E-3</v>
      </c>
      <c r="AC52" s="119">
        <v>-8.0937800000000004E-2</v>
      </c>
      <c r="AD52" s="119">
        <v>-3.7219799999999997E-2</v>
      </c>
      <c r="AE52" s="119">
        <v>-7.1317699999999998E-2</v>
      </c>
      <c r="AF52" s="119">
        <v>-7.0481100000000005E-2</v>
      </c>
      <c r="AG52" s="119" t="s">
        <v>335</v>
      </c>
      <c r="AH52" s="119" t="s">
        <v>173</v>
      </c>
      <c r="AI52" s="119">
        <v>100</v>
      </c>
      <c r="AJ52" s="119">
        <v>35.052275999999999</v>
      </c>
      <c r="AK52" s="119">
        <v>6225495</v>
      </c>
      <c r="AL52" s="119">
        <v>1.6150000095367001</v>
      </c>
      <c r="AN52" s="123">
        <f t="shared" si="6"/>
        <v>46250</v>
      </c>
      <c r="AO52" s="124">
        <f t="shared" si="7"/>
        <v>8.6145833333333338E-2</v>
      </c>
      <c r="AQ52" s="125">
        <v>0</v>
      </c>
      <c r="AR52" s="125">
        <v>0</v>
      </c>
      <c r="AS52" s="125">
        <v>0</v>
      </c>
      <c r="AT52" s="125">
        <v>0</v>
      </c>
      <c r="AV52" s="126" t="e">
        <f t="shared" si="8"/>
        <v>#DIV/0!</v>
      </c>
      <c r="AW52" s="125" t="e">
        <f t="shared" si="9"/>
        <v>#DIV/0!</v>
      </c>
    </row>
    <row r="53" spans="1:49">
      <c r="A53" s="118" t="s">
        <v>336</v>
      </c>
      <c r="B53" s="119">
        <v>4</v>
      </c>
      <c r="C53" s="119">
        <v>210</v>
      </c>
      <c r="D53" s="119">
        <v>209.9</v>
      </c>
      <c r="E53" s="119">
        <v>25.308199999999999</v>
      </c>
      <c r="F53" s="119">
        <v>25.033300000000001</v>
      </c>
      <c r="G53" s="119">
        <v>1424.28</v>
      </c>
      <c r="H53" s="119">
        <v>1423.99</v>
      </c>
      <c r="I53" s="119">
        <v>1424.32</v>
      </c>
      <c r="J53" s="119">
        <v>1425.4</v>
      </c>
      <c r="K53" s="119">
        <v>1424.89</v>
      </c>
      <c r="L53" s="119">
        <v>1426.03</v>
      </c>
      <c r="M53" s="119">
        <v>1425.12</v>
      </c>
      <c r="N53" s="119">
        <v>1424.44</v>
      </c>
      <c r="O53" s="119">
        <v>0.90436700000000003</v>
      </c>
      <c r="P53" s="119">
        <v>2500.75</v>
      </c>
      <c r="Q53" s="119">
        <v>2500.33</v>
      </c>
      <c r="R53" s="119">
        <v>2499.91</v>
      </c>
      <c r="S53" s="119">
        <v>2500.46</v>
      </c>
      <c r="T53" s="119">
        <v>2500.1</v>
      </c>
      <c r="U53" s="119">
        <v>2499.5500000000002</v>
      </c>
      <c r="V53" s="119">
        <v>2499.62</v>
      </c>
      <c r="W53" s="119">
        <v>2500.16</v>
      </c>
      <c r="X53" s="119">
        <v>210</v>
      </c>
      <c r="Y53" s="119">
        <v>6.5079899999999996E-2</v>
      </c>
      <c r="Z53" s="119">
        <v>-6.3534099999999996E-2</v>
      </c>
      <c r="AA53" s="119">
        <v>-5.6104500000000002E-2</v>
      </c>
      <c r="AB53" s="119">
        <v>-1.6900400000000001E-3</v>
      </c>
      <c r="AC53" s="119">
        <v>-7.3250599999999999E-2</v>
      </c>
      <c r="AD53" s="119">
        <v>-3.5282300000000003E-2</v>
      </c>
      <c r="AE53" s="119">
        <v>-6.96938E-2</v>
      </c>
      <c r="AF53" s="119">
        <v>-6.85862E-2</v>
      </c>
      <c r="AG53" s="119" t="s">
        <v>337</v>
      </c>
      <c r="AH53" s="119" t="s">
        <v>173</v>
      </c>
      <c r="AI53" s="119">
        <v>35.963338999999998</v>
      </c>
      <c r="AJ53" s="119">
        <v>36.329338999999997</v>
      </c>
      <c r="AK53" s="119">
        <v>6452309</v>
      </c>
      <c r="AL53" s="119">
        <v>1.6150000095367001</v>
      </c>
      <c r="AN53" s="123">
        <f t="shared" si="6"/>
        <v>46250</v>
      </c>
      <c r="AO53" s="124">
        <f t="shared" si="7"/>
        <v>9.5428240740740744E-2</v>
      </c>
      <c r="AQ53" s="125">
        <v>64.036660999999995</v>
      </c>
      <c r="AR53" s="125">
        <v>64.688365000000005</v>
      </c>
      <c r="AS53" s="125">
        <v>308714593</v>
      </c>
      <c r="AT53" s="125">
        <v>3.98</v>
      </c>
      <c r="AV53" s="126">
        <f t="shared" si="8"/>
        <v>1.7971374990960258</v>
      </c>
      <c r="AW53" s="125">
        <f t="shared" si="9"/>
        <v>1.6744659974512459</v>
      </c>
    </row>
    <row r="54" spans="1:49">
      <c r="A54" s="118" t="s">
        <v>338</v>
      </c>
      <c r="B54" s="119">
        <v>5</v>
      </c>
      <c r="C54" s="119">
        <v>210</v>
      </c>
      <c r="D54" s="119">
        <v>210.1</v>
      </c>
      <c r="E54" s="119">
        <v>25.350100000000001</v>
      </c>
      <c r="F54" s="119">
        <v>25.020299999999999</v>
      </c>
      <c r="G54" s="119">
        <v>1436.65</v>
      </c>
      <c r="H54" s="119">
        <v>1436.74</v>
      </c>
      <c r="I54" s="119">
        <v>1436.24</v>
      </c>
      <c r="J54" s="119">
        <v>1436.47</v>
      </c>
      <c r="K54" s="119">
        <v>1436.41</v>
      </c>
      <c r="L54" s="119">
        <v>1436.76</v>
      </c>
      <c r="M54" s="119">
        <v>1435.88</v>
      </c>
      <c r="N54" s="119">
        <v>1436.3</v>
      </c>
      <c r="O54" s="119">
        <v>0.86027600000000004</v>
      </c>
      <c r="P54" s="119">
        <v>2500.54</v>
      </c>
      <c r="Q54" s="119">
        <v>2500</v>
      </c>
      <c r="R54" s="119">
        <v>2499.96</v>
      </c>
      <c r="S54" s="119">
        <v>2500.1</v>
      </c>
      <c r="T54" s="119">
        <v>2500.14</v>
      </c>
      <c r="U54" s="119">
        <v>2499.11</v>
      </c>
      <c r="V54" s="119">
        <v>2500.08</v>
      </c>
      <c r="W54" s="119">
        <v>2499.91</v>
      </c>
      <c r="X54" s="119">
        <v>210.1</v>
      </c>
      <c r="Y54" s="119">
        <v>6.4275899999999997E-2</v>
      </c>
      <c r="Z54" s="119">
        <v>-6.4857999999999999E-2</v>
      </c>
      <c r="AA54" s="119">
        <v>-6.0793399999999997E-2</v>
      </c>
      <c r="AB54" s="119">
        <v>-1.6175499999999999E-3</v>
      </c>
      <c r="AC54" s="119">
        <v>-7.8180600000000003E-2</v>
      </c>
      <c r="AD54" s="119">
        <v>-3.9940200000000002E-2</v>
      </c>
      <c r="AE54" s="119">
        <v>-7.5715599999999994E-2</v>
      </c>
      <c r="AF54" s="119">
        <v>-7.3117500000000002E-2</v>
      </c>
      <c r="AG54" s="119" t="s">
        <v>339</v>
      </c>
      <c r="AH54" s="119" t="s">
        <v>173</v>
      </c>
      <c r="AI54" s="119">
        <v>100</v>
      </c>
      <c r="AJ54" s="119">
        <v>36.443219999999997</v>
      </c>
      <c r="AK54" s="119">
        <v>6472535</v>
      </c>
      <c r="AL54" s="119">
        <v>1.6150000095367001</v>
      </c>
      <c r="AN54" s="123">
        <f t="shared" si="6"/>
        <v>46250</v>
      </c>
      <c r="AO54" s="124">
        <f t="shared" si="7"/>
        <v>0.10471064814814815</v>
      </c>
      <c r="AQ54" s="125">
        <v>0</v>
      </c>
      <c r="AR54" s="125">
        <v>0</v>
      </c>
      <c r="AS54" s="125">
        <v>0</v>
      </c>
      <c r="AT54" s="125">
        <v>0</v>
      </c>
      <c r="AV54" s="126" t="e">
        <f t="shared" si="8"/>
        <v>#DIV/0!</v>
      </c>
      <c r="AW54" s="125" t="e">
        <f t="shared" si="9"/>
        <v>#DIV/0!</v>
      </c>
    </row>
    <row r="55" spans="1:49">
      <c r="A55" s="118" t="s">
        <v>340</v>
      </c>
      <c r="B55" s="119">
        <v>6</v>
      </c>
      <c r="C55" s="119">
        <v>210</v>
      </c>
      <c r="D55" s="119">
        <v>210</v>
      </c>
      <c r="E55" s="119">
        <v>25.3733</v>
      </c>
      <c r="F55" s="119">
        <v>25.033300000000001</v>
      </c>
      <c r="G55" s="119">
        <v>1398.57</v>
      </c>
      <c r="H55" s="119">
        <v>1398.69</v>
      </c>
      <c r="I55" s="119">
        <v>1398.36</v>
      </c>
      <c r="J55" s="119">
        <v>1397.84</v>
      </c>
      <c r="K55" s="119">
        <v>1398.22</v>
      </c>
      <c r="L55" s="119">
        <v>1398.03</v>
      </c>
      <c r="M55" s="119">
        <v>1398.59</v>
      </c>
      <c r="N55" s="119">
        <v>1398.32</v>
      </c>
      <c r="O55" s="119">
        <v>0.91381400000000002</v>
      </c>
      <c r="P55" s="119">
        <v>2499.91</v>
      </c>
      <c r="Q55" s="119">
        <v>2499.9499999999998</v>
      </c>
      <c r="R55" s="119">
        <v>2499.85</v>
      </c>
      <c r="S55" s="119">
        <v>2499.7800000000002</v>
      </c>
      <c r="T55" s="119">
        <v>2500.37</v>
      </c>
      <c r="U55" s="119">
        <v>2499.85</v>
      </c>
      <c r="V55" s="119">
        <v>2499.81</v>
      </c>
      <c r="W55" s="119">
        <v>2499.8000000000002</v>
      </c>
      <c r="X55" s="119">
        <v>209.9</v>
      </c>
      <c r="Y55" s="119">
        <v>6.4380300000000001E-2</v>
      </c>
      <c r="Z55" s="119">
        <v>-6.4721899999999999E-2</v>
      </c>
      <c r="AA55" s="119">
        <v>-5.5229300000000002E-2</v>
      </c>
      <c r="AB55" s="119">
        <v>-2.4001500000000002E-3</v>
      </c>
      <c r="AC55" s="119">
        <v>-8.14193E-2</v>
      </c>
      <c r="AD55" s="119">
        <v>-3.74477E-2</v>
      </c>
      <c r="AE55" s="119">
        <v>-7.1060999999999999E-2</v>
      </c>
      <c r="AF55" s="119">
        <v>-6.5711000000000006E-2</v>
      </c>
      <c r="AG55" s="119" t="s">
        <v>341</v>
      </c>
      <c r="AH55" s="119" t="s">
        <v>173</v>
      </c>
      <c r="AI55" s="119">
        <v>100</v>
      </c>
      <c r="AJ55" s="119">
        <v>35.547513000000002</v>
      </c>
      <c r="AK55" s="119">
        <v>6313452</v>
      </c>
      <c r="AL55" s="119">
        <v>1.6150000095367001</v>
      </c>
      <c r="AN55" s="123">
        <f t="shared" si="6"/>
        <v>46250</v>
      </c>
      <c r="AO55" s="124">
        <f t="shared" si="7"/>
        <v>0.11396990740740741</v>
      </c>
      <c r="AQ55" s="125">
        <v>0</v>
      </c>
      <c r="AR55" s="125">
        <v>0</v>
      </c>
      <c r="AS55" s="125">
        <v>0</v>
      </c>
      <c r="AT55" s="125">
        <v>0</v>
      </c>
      <c r="AV55" s="126" t="e">
        <f t="shared" si="8"/>
        <v>#DIV/0!</v>
      </c>
      <c r="AW55" s="125" t="e">
        <f t="shared" si="9"/>
        <v>#DIV/0!</v>
      </c>
    </row>
    <row r="56" spans="1:49">
      <c r="A56" s="118" t="s">
        <v>342</v>
      </c>
      <c r="B56" s="119">
        <v>7</v>
      </c>
      <c r="C56" s="119">
        <v>209.9</v>
      </c>
      <c r="D56" s="119">
        <v>210</v>
      </c>
      <c r="E56" s="119">
        <v>25.3443</v>
      </c>
      <c r="F56" s="119">
        <v>25.039100000000001</v>
      </c>
      <c r="G56" s="119">
        <v>1416.17</v>
      </c>
      <c r="H56" s="119">
        <v>1415.74</v>
      </c>
      <c r="I56" s="119">
        <v>1416.21</v>
      </c>
      <c r="J56" s="119">
        <v>1415.68</v>
      </c>
      <c r="K56" s="119">
        <v>1415.84</v>
      </c>
      <c r="L56" s="119">
        <v>1415.47</v>
      </c>
      <c r="M56" s="119">
        <v>1416.36</v>
      </c>
      <c r="N56" s="119">
        <v>1415.52</v>
      </c>
      <c r="O56" s="119">
        <v>0.95459000000000005</v>
      </c>
      <c r="P56" s="119">
        <v>2499.67</v>
      </c>
      <c r="Q56" s="119">
        <v>2500.0300000000002</v>
      </c>
      <c r="R56" s="119">
        <v>2500.44</v>
      </c>
      <c r="S56" s="119">
        <v>2500.36</v>
      </c>
      <c r="T56" s="119">
        <v>2499.46</v>
      </c>
      <c r="U56" s="119">
        <v>2499.9299999999998</v>
      </c>
      <c r="V56" s="119">
        <v>2500.2199999999998</v>
      </c>
      <c r="W56" s="119">
        <v>2500</v>
      </c>
      <c r="X56" s="119">
        <v>210</v>
      </c>
      <c r="Y56" s="119">
        <v>6.9203500000000001E-2</v>
      </c>
      <c r="Z56" s="119">
        <v>-6.3023999999999997E-2</v>
      </c>
      <c r="AA56" s="119">
        <v>-5.5345499999999999E-2</v>
      </c>
      <c r="AB56" s="119">
        <v>4.0232899999999997E-3</v>
      </c>
      <c r="AC56" s="119">
        <v>-7.8520199999999998E-2</v>
      </c>
      <c r="AD56" s="119">
        <v>-3.7357300000000003E-2</v>
      </c>
      <c r="AE56" s="119">
        <v>-6.6434400000000005E-2</v>
      </c>
      <c r="AF56" s="119">
        <v>-6.5257800000000005E-2</v>
      </c>
      <c r="AG56" s="119" t="s">
        <v>343</v>
      </c>
      <c r="AH56" s="119" t="s">
        <v>173</v>
      </c>
      <c r="AI56" s="119">
        <v>35.788842000000002</v>
      </c>
      <c r="AJ56" s="119">
        <v>36.131636999999998</v>
      </c>
      <c r="AK56" s="119">
        <v>6417196</v>
      </c>
      <c r="AL56" s="119">
        <v>1.6150000095367001</v>
      </c>
      <c r="AN56" s="123">
        <f t="shared" si="6"/>
        <v>46250</v>
      </c>
      <c r="AO56" s="124">
        <f t="shared" si="7"/>
        <v>0.12324074074074073</v>
      </c>
      <c r="AQ56" s="125">
        <v>64.211157999999998</v>
      </c>
      <c r="AR56" s="125">
        <v>64.826190999999994</v>
      </c>
      <c r="AS56" s="125">
        <v>309372346</v>
      </c>
      <c r="AT56" s="125">
        <v>3.98</v>
      </c>
    </row>
    <row r="57" spans="1:49">
      <c r="A57" s="118" t="s">
        <v>344</v>
      </c>
      <c r="B57" s="119">
        <v>8</v>
      </c>
      <c r="C57" s="119">
        <v>210</v>
      </c>
      <c r="D57" s="119">
        <v>209.9</v>
      </c>
      <c r="E57" s="119">
        <v>25.2575</v>
      </c>
      <c r="F57" s="119">
        <v>25.0275</v>
      </c>
      <c r="G57" s="119">
        <v>1386.95</v>
      </c>
      <c r="H57" s="119">
        <v>1386.48</v>
      </c>
      <c r="I57" s="119">
        <v>1386.59</v>
      </c>
      <c r="J57" s="119">
        <v>1384.96</v>
      </c>
      <c r="K57" s="119">
        <v>1386.56</v>
      </c>
      <c r="L57" s="119">
        <v>1385.87</v>
      </c>
      <c r="M57" s="119">
        <v>1386.56</v>
      </c>
      <c r="N57" s="119">
        <v>1386.31</v>
      </c>
      <c r="O57" s="119">
        <v>0.97028400000000004</v>
      </c>
      <c r="P57" s="119">
        <v>2500.46</v>
      </c>
      <c r="Q57" s="119">
        <v>2499.85</v>
      </c>
      <c r="R57" s="119">
        <v>2500.87</v>
      </c>
      <c r="S57" s="119">
        <v>2499.5300000000002</v>
      </c>
      <c r="T57" s="119">
        <v>2500.27</v>
      </c>
      <c r="U57" s="119">
        <v>2499.98</v>
      </c>
      <c r="V57" s="119">
        <v>2500.2199999999998</v>
      </c>
      <c r="W57" s="119">
        <v>2500.0700000000002</v>
      </c>
      <c r="X57" s="119">
        <v>209.8</v>
      </c>
      <c r="Y57" s="119">
        <v>6.3836199999999996E-2</v>
      </c>
      <c r="Z57" s="119">
        <v>-6.5624600000000005E-2</v>
      </c>
      <c r="AA57" s="119">
        <v>-5.85122E-2</v>
      </c>
      <c r="AB57" s="119">
        <v>-1.69305E-3</v>
      </c>
      <c r="AC57" s="119">
        <v>-7.8201199999999998E-2</v>
      </c>
      <c r="AD57" s="119">
        <v>-4.0457E-2</v>
      </c>
      <c r="AE57" s="119">
        <v>-5.9928700000000001E-2</v>
      </c>
      <c r="AF57" s="119">
        <v>-6.8692299999999998E-2</v>
      </c>
      <c r="AG57" s="119" t="s">
        <v>345</v>
      </c>
      <c r="AH57" s="119" t="s">
        <v>173</v>
      </c>
      <c r="AI57" s="119">
        <v>100</v>
      </c>
      <c r="AJ57" s="119">
        <v>35.555266000000003</v>
      </c>
      <c r="AK57" s="119">
        <v>6314829</v>
      </c>
      <c r="AL57" s="119">
        <v>1.6166666746139999</v>
      </c>
      <c r="AN57" s="123">
        <f t="shared" si="6"/>
        <v>46250</v>
      </c>
      <c r="AO57" s="124">
        <f t="shared" si="7"/>
        <v>0.13251157407407407</v>
      </c>
      <c r="AQ57" s="125">
        <v>0</v>
      </c>
      <c r="AR57" s="125">
        <v>0</v>
      </c>
      <c r="AS57" s="125">
        <v>0</v>
      </c>
      <c r="AT57" s="125">
        <v>0</v>
      </c>
    </row>
    <row r="58" spans="1:49">
      <c r="A58" s="118" t="s">
        <v>346</v>
      </c>
      <c r="B58" s="119">
        <v>1</v>
      </c>
      <c r="C58" s="119">
        <v>209.9</v>
      </c>
      <c r="D58" s="119">
        <v>210</v>
      </c>
      <c r="E58" s="119">
        <v>25.241599999999998</v>
      </c>
      <c r="F58" s="119">
        <v>25.033300000000001</v>
      </c>
      <c r="G58" s="119">
        <v>1430.12</v>
      </c>
      <c r="H58" s="119">
        <v>1429.71</v>
      </c>
      <c r="I58" s="119">
        <v>1429.41</v>
      </c>
      <c r="J58" s="119">
        <v>1431.02</v>
      </c>
      <c r="K58" s="119">
        <v>1429.93</v>
      </c>
      <c r="L58" s="119">
        <v>1429.8</v>
      </c>
      <c r="M58" s="119">
        <v>1429.36</v>
      </c>
      <c r="N58" s="119">
        <v>1429.31</v>
      </c>
      <c r="O58" s="119">
        <v>0.91371800000000003</v>
      </c>
      <c r="P58" s="119">
        <v>2500</v>
      </c>
      <c r="Q58" s="119">
        <v>2499.86</v>
      </c>
      <c r="R58" s="119">
        <v>2500.2399999999998</v>
      </c>
      <c r="S58" s="119">
        <v>2499.5300000000002</v>
      </c>
      <c r="T58" s="119">
        <v>2499.84</v>
      </c>
      <c r="U58" s="119">
        <v>2499.77</v>
      </c>
      <c r="V58" s="119">
        <v>2501.06</v>
      </c>
      <c r="W58" s="119">
        <v>2500.0700000000002</v>
      </c>
      <c r="X58" s="119">
        <v>210.1</v>
      </c>
      <c r="Y58" s="119">
        <v>6.6067200000000006E-2</v>
      </c>
      <c r="Z58" s="119">
        <v>-6.4914799999999995E-2</v>
      </c>
      <c r="AA58" s="119">
        <v>-5.6654499999999997E-2</v>
      </c>
      <c r="AB58" s="119">
        <v>3.2656699999999999E-4</v>
      </c>
      <c r="AC58" s="119">
        <v>-7.6707399999999995E-2</v>
      </c>
      <c r="AD58" s="119">
        <v>-3.9252799999999997E-2</v>
      </c>
      <c r="AE58" s="119">
        <v>-5.5780999999999997E-2</v>
      </c>
      <c r="AF58" s="119">
        <v>-6.6771899999999995E-2</v>
      </c>
      <c r="AG58" s="119" t="s">
        <v>347</v>
      </c>
      <c r="AH58" s="119" t="s">
        <v>173</v>
      </c>
      <c r="AI58" s="119">
        <v>100</v>
      </c>
      <c r="AJ58" s="119">
        <v>36.932009999999998</v>
      </c>
      <c r="AK58" s="119">
        <v>6559347</v>
      </c>
      <c r="AL58" s="119">
        <v>1.6150000095367001</v>
      </c>
      <c r="AN58" s="123">
        <f t="shared" si="6"/>
        <v>46250</v>
      </c>
      <c r="AO58" s="124">
        <f t="shared" si="7"/>
        <v>0.14178240740740741</v>
      </c>
      <c r="AQ58" s="125">
        <v>0</v>
      </c>
      <c r="AR58" s="125">
        <v>0</v>
      </c>
      <c r="AS58" s="125">
        <v>0</v>
      </c>
      <c r="AT58" s="125">
        <v>0</v>
      </c>
    </row>
    <row r="59" spans="1:49">
      <c r="A59" s="118" t="s">
        <v>348</v>
      </c>
      <c r="B59" s="119">
        <v>2</v>
      </c>
      <c r="C59" s="119">
        <v>209.9</v>
      </c>
      <c r="D59" s="119">
        <v>210</v>
      </c>
      <c r="E59" s="119">
        <v>25.101299999999998</v>
      </c>
      <c r="F59" s="119">
        <v>25.015899999999998</v>
      </c>
      <c r="G59" s="119">
        <v>1407.23</v>
      </c>
      <c r="H59" s="119">
        <v>1407.09</v>
      </c>
      <c r="I59" s="119">
        <v>1406.12</v>
      </c>
      <c r="J59" s="119">
        <v>1403.83</v>
      </c>
      <c r="K59" s="119">
        <v>1406.05</v>
      </c>
      <c r="L59" s="119">
        <v>1407.32</v>
      </c>
      <c r="M59" s="119">
        <v>1406.82</v>
      </c>
      <c r="N59" s="119">
        <v>1407.63</v>
      </c>
      <c r="O59" s="119">
        <v>0.88119899999999995</v>
      </c>
      <c r="P59" s="119">
        <v>2500.17</v>
      </c>
      <c r="Q59" s="119">
        <v>2499.42</v>
      </c>
      <c r="R59" s="119">
        <v>2499.3200000000002</v>
      </c>
      <c r="S59" s="119">
        <v>2499.58</v>
      </c>
      <c r="T59" s="119">
        <v>2500.08</v>
      </c>
      <c r="U59" s="119">
        <v>2499.6999999999998</v>
      </c>
      <c r="V59" s="119">
        <v>2498.58</v>
      </c>
      <c r="W59" s="119">
        <v>2500.5500000000002</v>
      </c>
      <c r="X59" s="119">
        <v>209.7</v>
      </c>
      <c r="Y59" s="119">
        <v>6.4001799999999998E-2</v>
      </c>
      <c r="Z59" s="119">
        <v>-6.1234200000000003E-2</v>
      </c>
      <c r="AA59" s="119">
        <v>-5.9959999999999999E-2</v>
      </c>
      <c r="AB59" s="119">
        <v>1.9465999999999999E-3</v>
      </c>
      <c r="AC59" s="119">
        <v>-7.9666600000000004E-2</v>
      </c>
      <c r="AD59" s="119">
        <v>-3.5735500000000003E-2</v>
      </c>
      <c r="AE59" s="119">
        <v>-5.2615799999999997E-2</v>
      </c>
      <c r="AF59" s="119">
        <v>-6.6702499999999998E-2</v>
      </c>
      <c r="AG59" s="119" t="s">
        <v>349</v>
      </c>
      <c r="AH59" s="119" t="s">
        <v>173</v>
      </c>
      <c r="AI59" s="119">
        <v>100</v>
      </c>
      <c r="AJ59" s="119">
        <v>35.292515999999999</v>
      </c>
      <c r="AK59" s="119">
        <v>6268163</v>
      </c>
      <c r="AL59" s="119">
        <v>1.6166666746139999</v>
      </c>
      <c r="AN59" s="123">
        <f t="shared" si="6"/>
        <v>46250</v>
      </c>
      <c r="AO59" s="124">
        <f t="shared" si="7"/>
        <v>0.15106481481481482</v>
      </c>
      <c r="AQ59" s="125">
        <v>0</v>
      </c>
      <c r="AR59" s="125">
        <v>0</v>
      </c>
      <c r="AS59" s="125">
        <v>0</v>
      </c>
      <c r="AT59" s="125">
        <v>0</v>
      </c>
    </row>
    <row r="60" spans="1:49">
      <c r="A60" s="118" t="s">
        <v>350</v>
      </c>
      <c r="B60" s="119">
        <v>3</v>
      </c>
      <c r="C60" s="119">
        <v>210</v>
      </c>
      <c r="D60" s="119">
        <v>210</v>
      </c>
      <c r="E60" s="119">
        <v>25.062200000000001</v>
      </c>
      <c r="F60" s="119">
        <v>25.0318</v>
      </c>
      <c r="G60" s="119">
        <v>1438.6</v>
      </c>
      <c r="H60" s="119">
        <v>1439.19</v>
      </c>
      <c r="I60" s="119">
        <v>1439.4</v>
      </c>
      <c r="J60" s="119">
        <v>1439.83</v>
      </c>
      <c r="K60" s="119">
        <v>1439.2</v>
      </c>
      <c r="L60" s="119">
        <v>1438.34</v>
      </c>
      <c r="M60" s="119">
        <v>1438.67</v>
      </c>
      <c r="N60" s="119">
        <v>1438.48</v>
      </c>
      <c r="O60" s="119">
        <v>0.91540200000000005</v>
      </c>
      <c r="P60" s="119">
        <v>2500.1</v>
      </c>
      <c r="Q60" s="119">
        <v>2499.5700000000002</v>
      </c>
      <c r="R60" s="119">
        <v>2499.37</v>
      </c>
      <c r="S60" s="119">
        <v>2499.25</v>
      </c>
      <c r="T60" s="119">
        <v>2500.4299999999998</v>
      </c>
      <c r="U60" s="119">
        <v>2499.64</v>
      </c>
      <c r="V60" s="119">
        <v>2499.75</v>
      </c>
      <c r="W60" s="119">
        <v>2500.56</v>
      </c>
      <c r="X60" s="119">
        <v>209.9</v>
      </c>
      <c r="Y60" s="119">
        <v>6.5428299999999995E-2</v>
      </c>
      <c r="Z60" s="119">
        <v>-6.19496E-2</v>
      </c>
      <c r="AA60" s="119">
        <v>-5.5908600000000003E-2</v>
      </c>
      <c r="AB60" s="119">
        <v>-5.1701799999999999E-3</v>
      </c>
      <c r="AC60" s="119">
        <v>-7.8112799999999996E-2</v>
      </c>
      <c r="AD60" s="119">
        <v>-3.8208399999999997E-2</v>
      </c>
      <c r="AE60" s="119">
        <v>-6.2417199999999999E-2</v>
      </c>
      <c r="AF60" s="119">
        <v>-6.6334000000000004E-2</v>
      </c>
      <c r="AG60" s="119" t="s">
        <v>351</v>
      </c>
      <c r="AH60" s="119" t="s">
        <v>173</v>
      </c>
      <c r="AI60" s="119">
        <v>100</v>
      </c>
      <c r="AJ60" s="119">
        <v>35.532491</v>
      </c>
      <c r="AK60" s="119">
        <v>6310784</v>
      </c>
      <c r="AL60" s="119">
        <v>1.6166666746139999</v>
      </c>
      <c r="AN60" s="123">
        <f t="shared" si="6"/>
        <v>46250</v>
      </c>
      <c r="AO60" s="124">
        <f t="shared" si="7"/>
        <v>0.16033564814814816</v>
      </c>
      <c r="AQ60" s="125">
        <v>0</v>
      </c>
      <c r="AR60" s="125">
        <v>0</v>
      </c>
      <c r="AS60" s="125">
        <v>0</v>
      </c>
      <c r="AT60" s="125">
        <v>0</v>
      </c>
    </row>
    <row r="61" spans="1:49">
      <c r="A61" s="118" t="s">
        <v>352</v>
      </c>
      <c r="B61" s="119">
        <v>4</v>
      </c>
      <c r="C61" s="119">
        <v>210</v>
      </c>
      <c r="D61" s="119">
        <v>209.9</v>
      </c>
      <c r="E61" s="119">
        <v>25.107099999999999</v>
      </c>
      <c r="F61" s="119">
        <v>25.015899999999998</v>
      </c>
      <c r="G61" s="119">
        <v>1434.48</v>
      </c>
      <c r="H61" s="119">
        <v>1434.51</v>
      </c>
      <c r="I61" s="119">
        <v>1434.3</v>
      </c>
      <c r="J61" s="119">
        <v>1434.15</v>
      </c>
      <c r="K61" s="119">
        <v>1434.26</v>
      </c>
      <c r="L61" s="119">
        <v>1434.83</v>
      </c>
      <c r="M61" s="119">
        <v>1433.92</v>
      </c>
      <c r="N61" s="119">
        <v>1433.66</v>
      </c>
      <c r="O61" s="119">
        <v>0.87756500000000004</v>
      </c>
      <c r="P61" s="119">
        <v>2499.39</v>
      </c>
      <c r="Q61" s="119">
        <v>2500.0300000000002</v>
      </c>
      <c r="R61" s="119">
        <v>2499.88</v>
      </c>
      <c r="S61" s="119">
        <v>2500.15</v>
      </c>
      <c r="T61" s="119">
        <v>2499.9899999999998</v>
      </c>
      <c r="U61" s="119">
        <v>2499.52</v>
      </c>
      <c r="V61" s="119">
        <v>2499.9699999999998</v>
      </c>
      <c r="W61" s="119">
        <v>2500.06</v>
      </c>
      <c r="X61" s="119">
        <v>210.1</v>
      </c>
      <c r="Y61" s="119">
        <v>6.3140100000000005E-2</v>
      </c>
      <c r="Z61" s="119">
        <v>-5.9737899999999997E-2</v>
      </c>
      <c r="AA61" s="119">
        <v>-5.4718200000000002E-2</v>
      </c>
      <c r="AB61" s="119">
        <v>-1.1496900000000001E-3</v>
      </c>
      <c r="AC61" s="119">
        <v>-7.8730499999999995E-2</v>
      </c>
      <c r="AD61" s="119">
        <v>-3.3580400000000003E-2</v>
      </c>
      <c r="AE61" s="119">
        <v>-7.4390899999999996E-2</v>
      </c>
      <c r="AF61" s="119">
        <v>-6.6105700000000003E-2</v>
      </c>
      <c r="AG61" s="119" t="s">
        <v>353</v>
      </c>
      <c r="AH61" s="119" t="s">
        <v>173</v>
      </c>
      <c r="AI61" s="119">
        <v>100</v>
      </c>
      <c r="AJ61" s="119">
        <v>36.463225000000001</v>
      </c>
      <c r="AK61" s="119">
        <v>6476088</v>
      </c>
      <c r="AL61" s="119">
        <v>1.6150000095367001</v>
      </c>
      <c r="AN61" s="123">
        <f t="shared" si="6"/>
        <v>46250</v>
      </c>
      <c r="AO61" s="124">
        <f t="shared" si="7"/>
        <v>0.1695949074074074</v>
      </c>
      <c r="AQ61" s="125">
        <v>0</v>
      </c>
      <c r="AR61" s="125">
        <v>0</v>
      </c>
      <c r="AS61" s="125">
        <v>0</v>
      </c>
      <c r="AT61" s="125">
        <v>0</v>
      </c>
    </row>
    <row r="62" spans="1:49">
      <c r="A62" s="118" t="s">
        <v>354</v>
      </c>
      <c r="B62" s="119">
        <v>5</v>
      </c>
      <c r="C62" s="119">
        <v>210</v>
      </c>
      <c r="D62" s="119">
        <v>210</v>
      </c>
      <c r="E62" s="119">
        <v>25.047699999999999</v>
      </c>
      <c r="F62" s="119">
        <v>25.0289</v>
      </c>
      <c r="G62" s="119">
        <v>1448.35</v>
      </c>
      <c r="H62" s="119">
        <v>1448.25</v>
      </c>
      <c r="I62" s="119">
        <v>1448.9</v>
      </c>
      <c r="J62" s="119">
        <v>1449.59</v>
      </c>
      <c r="K62" s="119">
        <v>1448.77</v>
      </c>
      <c r="L62" s="119">
        <v>1449.34</v>
      </c>
      <c r="M62" s="119">
        <v>1449.16</v>
      </c>
      <c r="N62" s="119">
        <v>1449.21</v>
      </c>
      <c r="O62" s="119">
        <v>0.95546299999999995</v>
      </c>
      <c r="P62" s="119">
        <v>2500.08</v>
      </c>
      <c r="Q62" s="119">
        <v>2500.1799999999998</v>
      </c>
      <c r="R62" s="119">
        <v>2500.0500000000002</v>
      </c>
      <c r="S62" s="119">
        <v>2499.73</v>
      </c>
      <c r="T62" s="119">
        <v>2499.94</v>
      </c>
      <c r="U62" s="119">
        <v>2499.77</v>
      </c>
      <c r="V62" s="119">
        <v>2500.2199999999998</v>
      </c>
      <c r="W62" s="119">
        <v>2500.39</v>
      </c>
      <c r="X62" s="119">
        <v>210.2</v>
      </c>
      <c r="Y62" s="119">
        <v>6.3785300000000003E-2</v>
      </c>
      <c r="Z62" s="119">
        <v>-6.8215100000000001E-2</v>
      </c>
      <c r="AA62" s="119">
        <v>-6.2403899999999998E-2</v>
      </c>
      <c r="AB62" s="119">
        <v>-7.5493000000000001E-4</v>
      </c>
      <c r="AC62" s="119">
        <v>-7.55966E-2</v>
      </c>
      <c r="AD62" s="119">
        <v>-3.6672400000000001E-2</v>
      </c>
      <c r="AE62" s="119">
        <v>-6.7562300000000006E-2</v>
      </c>
      <c r="AF62" s="119">
        <v>-6.9741499999999998E-2</v>
      </c>
      <c r="AG62" s="119" t="s">
        <v>355</v>
      </c>
      <c r="AH62" s="119" t="s">
        <v>173</v>
      </c>
      <c r="AI62" s="119">
        <v>100</v>
      </c>
      <c r="AJ62" s="119">
        <v>36.381843000000003</v>
      </c>
      <c r="AK62" s="119">
        <v>6461634</v>
      </c>
      <c r="AL62" s="119">
        <v>1.6150000095367001</v>
      </c>
      <c r="AN62" s="123">
        <f t="shared" si="6"/>
        <v>46250</v>
      </c>
      <c r="AO62" s="124">
        <f t="shared" si="7"/>
        <v>0.17886574074074074</v>
      </c>
      <c r="AQ62" s="125">
        <v>0</v>
      </c>
      <c r="AR62" s="125">
        <v>0</v>
      </c>
      <c r="AS62" s="125">
        <v>0</v>
      </c>
      <c r="AT62" s="125">
        <v>0</v>
      </c>
    </row>
    <row r="63" spans="1:49">
      <c r="A63" s="118" t="s">
        <v>356</v>
      </c>
      <c r="B63" s="119">
        <v>6</v>
      </c>
      <c r="C63" s="119">
        <v>210</v>
      </c>
      <c r="D63" s="119">
        <v>210</v>
      </c>
      <c r="E63" s="119">
        <v>25.098400000000002</v>
      </c>
      <c r="F63" s="119">
        <v>25.023099999999999</v>
      </c>
      <c r="G63" s="119">
        <v>1426.21</v>
      </c>
      <c r="H63" s="119">
        <v>1425.73</v>
      </c>
      <c r="I63" s="119">
        <v>1426.06</v>
      </c>
      <c r="J63" s="119">
        <v>1424.9</v>
      </c>
      <c r="K63" s="119">
        <v>1425.58</v>
      </c>
      <c r="L63" s="119">
        <v>1425.53</v>
      </c>
      <c r="M63" s="119">
        <v>1426.25</v>
      </c>
      <c r="N63" s="119">
        <v>1426.15</v>
      </c>
      <c r="O63" s="119">
        <v>0.85031199999999996</v>
      </c>
      <c r="P63" s="119">
        <v>2499.9299999999998</v>
      </c>
      <c r="Q63" s="119">
        <v>2500.33</v>
      </c>
      <c r="R63" s="119">
        <v>2499.52</v>
      </c>
      <c r="S63" s="119">
        <v>2500.2199999999998</v>
      </c>
      <c r="T63" s="119">
        <v>2499.9699999999998</v>
      </c>
      <c r="U63" s="119">
        <v>2500.13</v>
      </c>
      <c r="V63" s="119">
        <v>2499.35</v>
      </c>
      <c r="W63" s="119">
        <v>2500.1999999999998</v>
      </c>
      <c r="X63" s="119">
        <v>209.9</v>
      </c>
      <c r="Y63" s="119">
        <v>6.3984600000000003E-2</v>
      </c>
      <c r="Z63" s="119">
        <v>-6.2901700000000005E-2</v>
      </c>
      <c r="AA63" s="119">
        <v>-5.5252000000000002E-2</v>
      </c>
      <c r="AB63" s="119">
        <v>-3.8301799999999999E-3</v>
      </c>
      <c r="AC63" s="119">
        <v>-7.7875799999999995E-2</v>
      </c>
      <c r="AD63" s="119">
        <v>-3.5624799999999998E-2</v>
      </c>
      <c r="AE63" s="119">
        <v>-6.3506900000000005E-2</v>
      </c>
      <c r="AF63" s="119">
        <v>-6.8315299999999995E-2</v>
      </c>
      <c r="AG63" s="119" t="s">
        <v>357</v>
      </c>
      <c r="AH63" s="119" t="s">
        <v>173</v>
      </c>
      <c r="AI63" s="119">
        <v>100</v>
      </c>
      <c r="AJ63" s="119">
        <v>35.504969000000003</v>
      </c>
      <c r="AK63" s="119">
        <v>6305896</v>
      </c>
      <c r="AL63" s="119">
        <v>1.6150000095367001</v>
      </c>
      <c r="AN63" s="123">
        <f t="shared" si="6"/>
        <v>46250</v>
      </c>
      <c r="AO63" s="124">
        <f t="shared" si="7"/>
        <v>0.18813657407407408</v>
      </c>
      <c r="AQ63" s="125">
        <v>0</v>
      </c>
      <c r="AR63" s="125">
        <v>0</v>
      </c>
      <c r="AS63" s="125">
        <v>0</v>
      </c>
      <c r="AT63" s="125">
        <v>0</v>
      </c>
    </row>
    <row r="64" spans="1:49">
      <c r="A64" s="118" t="s">
        <v>358</v>
      </c>
      <c r="B64" s="119">
        <v>7</v>
      </c>
      <c r="C64" s="119">
        <v>210</v>
      </c>
      <c r="D64" s="119">
        <v>210</v>
      </c>
      <c r="E64" s="119">
        <v>25.104199999999999</v>
      </c>
      <c r="F64" s="119">
        <v>25.034700000000001</v>
      </c>
      <c r="G64" s="119">
        <v>1429.39</v>
      </c>
      <c r="H64" s="119">
        <v>1429.49</v>
      </c>
      <c r="I64" s="119">
        <v>1429.81</v>
      </c>
      <c r="J64" s="119">
        <v>1429.3</v>
      </c>
      <c r="K64" s="119">
        <v>1428.75</v>
      </c>
      <c r="L64" s="119">
        <v>1429.16</v>
      </c>
      <c r="M64" s="119">
        <v>1429.74</v>
      </c>
      <c r="N64" s="119">
        <v>1428.7</v>
      </c>
      <c r="O64" s="119">
        <v>0.87967200000000001</v>
      </c>
      <c r="P64" s="119">
        <v>2499.89</v>
      </c>
      <c r="Q64" s="119">
        <v>2500.58</v>
      </c>
      <c r="R64" s="119">
        <v>2500.16</v>
      </c>
      <c r="S64" s="119">
        <v>2499.9299999999998</v>
      </c>
      <c r="T64" s="119">
        <v>2500.25</v>
      </c>
      <c r="U64" s="119">
        <v>2500.1799999999998</v>
      </c>
      <c r="V64" s="119">
        <v>2499.35</v>
      </c>
      <c r="W64" s="119">
        <v>2501.13</v>
      </c>
      <c r="X64" s="119">
        <v>210</v>
      </c>
      <c r="Y64" s="119">
        <v>6.5437200000000001E-2</v>
      </c>
      <c r="Z64" s="119">
        <v>-6.1210899999999999E-2</v>
      </c>
      <c r="AA64" s="119">
        <v>-5.7391299999999999E-2</v>
      </c>
      <c r="AB64" s="119">
        <v>-2.1112499999999998E-3</v>
      </c>
      <c r="AC64" s="119">
        <v>-8.0073699999999998E-2</v>
      </c>
      <c r="AD64" s="119">
        <v>-3.6318000000000003E-2</v>
      </c>
      <c r="AE64" s="119">
        <v>-6.5214900000000006E-2</v>
      </c>
      <c r="AF64" s="119">
        <v>-6.9855399999999998E-2</v>
      </c>
      <c r="AG64" s="119" t="s">
        <v>359</v>
      </c>
      <c r="AH64" s="119" t="s">
        <v>173</v>
      </c>
      <c r="AI64" s="119">
        <v>35.935392</v>
      </c>
      <c r="AJ64" s="119">
        <v>36.274442000000001</v>
      </c>
      <c r="AK64" s="119">
        <v>6442559</v>
      </c>
      <c r="AL64" s="119">
        <v>1.6166666746139999</v>
      </c>
      <c r="AN64" s="123">
        <f t="shared" si="6"/>
        <v>46250</v>
      </c>
      <c r="AO64" s="124">
        <f t="shared" si="7"/>
        <v>0.19740740740740742</v>
      </c>
      <c r="AQ64" s="125">
        <v>64.064608000000007</v>
      </c>
      <c r="AR64" s="125">
        <v>64.669055999999998</v>
      </c>
      <c r="AS64" s="125">
        <v>308622447</v>
      </c>
      <c r="AT64" s="125">
        <v>3.98</v>
      </c>
    </row>
    <row r="65" spans="1:46">
      <c r="A65" s="118" t="s">
        <v>360</v>
      </c>
      <c r="B65" s="119">
        <v>8</v>
      </c>
      <c r="C65" s="119">
        <v>210</v>
      </c>
      <c r="D65" s="119">
        <v>210</v>
      </c>
      <c r="E65" s="119">
        <v>25.156199999999998</v>
      </c>
      <c r="F65" s="119">
        <v>25.023099999999999</v>
      </c>
      <c r="G65" s="119">
        <v>1452.71</v>
      </c>
      <c r="H65" s="119">
        <v>1452.66</v>
      </c>
      <c r="I65" s="119">
        <v>1452.25</v>
      </c>
      <c r="J65" s="119">
        <v>1452.33</v>
      </c>
      <c r="K65" s="119">
        <v>1452.03</v>
      </c>
      <c r="L65" s="119">
        <v>1452.78</v>
      </c>
      <c r="M65" s="119">
        <v>1452.5</v>
      </c>
      <c r="N65" s="119">
        <v>1452.4</v>
      </c>
      <c r="O65" s="119">
        <v>0.94537199999999999</v>
      </c>
      <c r="P65" s="119">
        <v>2501.0100000000002</v>
      </c>
      <c r="Q65" s="119">
        <v>2499.7600000000002</v>
      </c>
      <c r="R65" s="119">
        <v>2499.4499999999998</v>
      </c>
      <c r="S65" s="119">
        <v>2499.5300000000002</v>
      </c>
      <c r="T65" s="119">
        <v>2500.33</v>
      </c>
      <c r="U65" s="119">
        <v>2499.62</v>
      </c>
      <c r="V65" s="119">
        <v>2499.1799999999998</v>
      </c>
      <c r="W65" s="119">
        <v>2500.21</v>
      </c>
      <c r="X65" s="119">
        <v>210.1</v>
      </c>
      <c r="Y65" s="119">
        <v>6.2940899999999994E-2</v>
      </c>
      <c r="Z65" s="119">
        <v>-6.4611699999999994E-2</v>
      </c>
      <c r="AA65" s="119">
        <v>-5.8237900000000002E-2</v>
      </c>
      <c r="AB65" s="119">
        <v>-4.4151700000000004E-3</v>
      </c>
      <c r="AC65" s="119">
        <v>-8.3111500000000005E-2</v>
      </c>
      <c r="AD65" s="119">
        <v>-4.1017100000000001E-2</v>
      </c>
      <c r="AE65" s="119">
        <v>-6.1506600000000002E-2</v>
      </c>
      <c r="AF65" s="119">
        <v>-7.03405E-2</v>
      </c>
      <c r="AG65" s="119" t="s">
        <v>361</v>
      </c>
      <c r="AH65" s="119" t="s">
        <v>173</v>
      </c>
      <c r="AI65" s="119">
        <v>100</v>
      </c>
      <c r="AJ65" s="119">
        <v>35.621963999999998</v>
      </c>
      <c r="AK65" s="119">
        <v>6326675</v>
      </c>
      <c r="AL65" s="119">
        <v>1.6150000095367001</v>
      </c>
      <c r="AN65" s="123">
        <f t="shared" si="6"/>
        <v>46250</v>
      </c>
      <c r="AO65" s="124">
        <f t="shared" si="7"/>
        <v>0.20667824074074073</v>
      </c>
      <c r="AQ65" s="125">
        <v>0</v>
      </c>
      <c r="AR65" s="125">
        <v>0</v>
      </c>
      <c r="AS65" s="125">
        <v>0</v>
      </c>
      <c r="AT65" s="125">
        <v>0</v>
      </c>
    </row>
    <row r="66" spans="1:46">
      <c r="A66" s="118" t="s">
        <v>362</v>
      </c>
      <c r="B66" s="119">
        <v>1</v>
      </c>
      <c r="C66" s="119">
        <v>210.1</v>
      </c>
      <c r="D66" s="119">
        <v>210.1</v>
      </c>
      <c r="E66" s="119">
        <v>25.214099999999998</v>
      </c>
      <c r="F66" s="119">
        <v>25.021699999999999</v>
      </c>
      <c r="G66" s="119">
        <v>1416.99</v>
      </c>
      <c r="H66" s="119">
        <v>1416.74</v>
      </c>
      <c r="I66" s="119">
        <v>1416.15</v>
      </c>
      <c r="J66" s="119">
        <v>1417.03</v>
      </c>
      <c r="K66" s="119">
        <v>1416.73</v>
      </c>
      <c r="L66" s="119">
        <v>1416.22</v>
      </c>
      <c r="M66" s="119">
        <v>1416.85</v>
      </c>
      <c r="N66" s="119">
        <v>1416.57</v>
      </c>
      <c r="O66" s="119">
        <v>0.95355900000000005</v>
      </c>
      <c r="P66" s="119">
        <v>2499.3000000000002</v>
      </c>
      <c r="Q66" s="119">
        <v>2499.79</v>
      </c>
      <c r="R66" s="119">
        <v>2500.0100000000002</v>
      </c>
      <c r="S66" s="119">
        <v>2499.52</v>
      </c>
      <c r="T66" s="119">
        <v>2499.64</v>
      </c>
      <c r="U66" s="119">
        <v>2499.2199999999998</v>
      </c>
      <c r="V66" s="119">
        <v>2499.88</v>
      </c>
      <c r="W66" s="119">
        <v>2499.44</v>
      </c>
      <c r="X66" s="119">
        <v>209.8</v>
      </c>
      <c r="Y66" s="119">
        <v>6.6861900000000002E-2</v>
      </c>
      <c r="Z66" s="119">
        <v>-6.5280699999999997E-2</v>
      </c>
      <c r="AA66" s="119">
        <v>-5.7285299999999997E-2</v>
      </c>
      <c r="AB66" s="119">
        <v>2.9577499999999999E-3</v>
      </c>
      <c r="AC66" s="119">
        <v>-7.7909900000000004E-2</v>
      </c>
      <c r="AD66" s="119">
        <v>-3.6720299999999997E-2</v>
      </c>
      <c r="AE66" s="119">
        <v>-6.0864599999999998E-2</v>
      </c>
      <c r="AF66" s="119">
        <v>-6.8741899999999995E-2</v>
      </c>
      <c r="AG66" s="119" t="s">
        <v>363</v>
      </c>
      <c r="AH66" s="119" t="s">
        <v>173</v>
      </c>
      <c r="AI66" s="119">
        <v>100</v>
      </c>
      <c r="AJ66" s="119">
        <v>36.894764000000002</v>
      </c>
      <c r="AK66" s="119">
        <v>6552732</v>
      </c>
      <c r="AL66" s="119">
        <v>1.6166666746139999</v>
      </c>
      <c r="AN66" s="123">
        <f t="shared" si="6"/>
        <v>46250</v>
      </c>
      <c r="AO66" s="124">
        <f t="shared" si="7"/>
        <v>0.21596064814814814</v>
      </c>
      <c r="AQ66" s="125">
        <v>0</v>
      </c>
      <c r="AR66" s="125">
        <v>0</v>
      </c>
      <c r="AS66" s="125">
        <v>0</v>
      </c>
      <c r="AT66" s="125">
        <v>0</v>
      </c>
    </row>
    <row r="67" spans="1:46">
      <c r="A67" s="118" t="s">
        <v>364</v>
      </c>
      <c r="B67" s="119">
        <v>2</v>
      </c>
      <c r="C67" s="119">
        <v>210</v>
      </c>
      <c r="D67" s="119">
        <v>210</v>
      </c>
      <c r="E67" s="119">
        <v>25.240200000000002</v>
      </c>
      <c r="F67" s="119">
        <v>25.008700000000001</v>
      </c>
      <c r="G67" s="119">
        <v>1461.7</v>
      </c>
      <c r="H67" s="119">
        <v>1461.2</v>
      </c>
      <c r="I67" s="119">
        <v>1461.23</v>
      </c>
      <c r="J67" s="119">
        <v>1461.12</v>
      </c>
      <c r="K67" s="119">
        <v>1461.11</v>
      </c>
      <c r="L67" s="119">
        <v>1461.29</v>
      </c>
      <c r="M67" s="119">
        <v>1461.65</v>
      </c>
      <c r="N67" s="119">
        <v>1461.19</v>
      </c>
      <c r="O67" s="119">
        <v>0.87270300000000001</v>
      </c>
      <c r="P67" s="119">
        <v>2500.13</v>
      </c>
      <c r="Q67" s="119">
        <v>2500.41</v>
      </c>
      <c r="R67" s="119">
        <v>2499.91</v>
      </c>
      <c r="S67" s="119">
        <v>2500.2600000000002</v>
      </c>
      <c r="T67" s="119">
        <v>2499.67</v>
      </c>
      <c r="U67" s="119">
        <v>2499.04</v>
      </c>
      <c r="V67" s="119">
        <v>2499.8200000000002</v>
      </c>
      <c r="W67" s="119">
        <v>2498.94</v>
      </c>
      <c r="X67" s="119">
        <v>209.9</v>
      </c>
      <c r="Y67" s="119">
        <v>6.2597E-2</v>
      </c>
      <c r="Z67" s="119">
        <v>-6.4174900000000007E-2</v>
      </c>
      <c r="AA67" s="119">
        <v>-5.71283E-2</v>
      </c>
      <c r="AB67" s="119">
        <v>-3.0030199999999999E-3</v>
      </c>
      <c r="AC67" s="119">
        <v>-8.06891E-2</v>
      </c>
      <c r="AD67" s="119">
        <v>-4.0620400000000001E-2</v>
      </c>
      <c r="AE67" s="119">
        <v>-6.2728099999999995E-2</v>
      </c>
      <c r="AF67" s="119">
        <v>-7.0432099999999997E-2</v>
      </c>
      <c r="AG67" s="119" t="s">
        <v>365</v>
      </c>
      <c r="AH67" s="119" t="s">
        <v>173</v>
      </c>
      <c r="AI67" s="119">
        <v>100</v>
      </c>
      <c r="AJ67" s="119">
        <v>35.052208999999998</v>
      </c>
      <c r="AK67" s="119">
        <v>6225483</v>
      </c>
      <c r="AL67" s="119">
        <v>1.6166666746139999</v>
      </c>
      <c r="AN67" s="123">
        <f t="shared" si="6"/>
        <v>46250</v>
      </c>
      <c r="AO67" s="124">
        <f t="shared" si="7"/>
        <v>0.22525462962962964</v>
      </c>
      <c r="AQ67" s="125">
        <v>0</v>
      </c>
      <c r="AR67" s="125">
        <v>0</v>
      </c>
      <c r="AS67" s="125">
        <v>0</v>
      </c>
      <c r="AT67" s="125">
        <v>0</v>
      </c>
    </row>
    <row r="68" spans="1:46">
      <c r="A68" s="118" t="s">
        <v>366</v>
      </c>
      <c r="B68" s="119">
        <v>3</v>
      </c>
      <c r="C68" s="119">
        <v>210</v>
      </c>
      <c r="D68" s="119">
        <v>210</v>
      </c>
      <c r="E68" s="119">
        <v>25.23</v>
      </c>
      <c r="F68" s="119">
        <v>25.014500000000002</v>
      </c>
      <c r="G68" s="119">
        <v>1431.01</v>
      </c>
      <c r="H68" s="119">
        <v>1429.56</v>
      </c>
      <c r="I68" s="119">
        <v>1429.42</v>
      </c>
      <c r="J68" s="119">
        <v>1429.99</v>
      </c>
      <c r="K68" s="119">
        <v>1429.39</v>
      </c>
      <c r="L68" s="119">
        <v>1429.08</v>
      </c>
      <c r="M68" s="119">
        <v>1429.13</v>
      </c>
      <c r="N68" s="119">
        <v>1430.01</v>
      </c>
      <c r="O68" s="119">
        <v>0.90812899999999996</v>
      </c>
      <c r="P68" s="119">
        <v>2499.9299999999998</v>
      </c>
      <c r="Q68" s="119">
        <v>2499.17</v>
      </c>
      <c r="R68" s="119">
        <v>2500.15</v>
      </c>
      <c r="S68" s="119">
        <v>2498.8200000000002</v>
      </c>
      <c r="T68" s="119">
        <v>2499.19</v>
      </c>
      <c r="U68" s="119">
        <v>2500.02</v>
      </c>
      <c r="V68" s="119">
        <v>2500.06</v>
      </c>
      <c r="W68" s="119">
        <v>2499.6999999999998</v>
      </c>
      <c r="X68" s="119">
        <v>209.9</v>
      </c>
      <c r="Y68" s="119">
        <v>6.29638E-2</v>
      </c>
      <c r="Z68" s="119">
        <v>-6.6432199999999997E-2</v>
      </c>
      <c r="AA68" s="119">
        <v>-5.9913099999999997E-2</v>
      </c>
      <c r="AB68" s="119">
        <v>-2.8378700000000001E-3</v>
      </c>
      <c r="AC68" s="119">
        <v>-7.9504099999999994E-2</v>
      </c>
      <c r="AD68" s="119">
        <v>-3.7279300000000001E-2</v>
      </c>
      <c r="AE68" s="119">
        <v>-5.8232800000000001E-2</v>
      </c>
      <c r="AF68" s="119">
        <v>-6.6212999999999994E-2</v>
      </c>
      <c r="AG68" s="119" t="s">
        <v>367</v>
      </c>
      <c r="AH68" s="119" t="s">
        <v>173</v>
      </c>
      <c r="AI68" s="119">
        <v>100</v>
      </c>
      <c r="AJ68" s="119">
        <v>35.169187000000001</v>
      </c>
      <c r="AK68" s="119">
        <v>6246259</v>
      </c>
      <c r="AL68" s="119">
        <v>1.6166666746139999</v>
      </c>
      <c r="AN68" s="123">
        <f t="shared" si="6"/>
        <v>46250</v>
      </c>
      <c r="AO68" s="124">
        <f t="shared" si="7"/>
        <v>0.23453703703703704</v>
      </c>
      <c r="AQ68" s="125">
        <v>0</v>
      </c>
      <c r="AR68" s="125">
        <v>0</v>
      </c>
      <c r="AS68" s="125">
        <v>0</v>
      </c>
      <c r="AT68" s="125">
        <v>0</v>
      </c>
    </row>
    <row r="69" spans="1:46">
      <c r="A69" s="118" t="s">
        <v>368</v>
      </c>
      <c r="B69" s="119">
        <v>4</v>
      </c>
      <c r="C69" s="119">
        <v>210</v>
      </c>
      <c r="D69" s="119">
        <v>210.1</v>
      </c>
      <c r="E69" s="119">
        <v>25.214099999999998</v>
      </c>
      <c r="F69" s="119">
        <v>25.004300000000001</v>
      </c>
      <c r="G69" s="119">
        <v>1443.27</v>
      </c>
      <c r="H69" s="119">
        <v>1443.58</v>
      </c>
      <c r="I69" s="119">
        <v>1443.34</v>
      </c>
      <c r="J69" s="119">
        <v>1442.32</v>
      </c>
      <c r="K69" s="119">
        <v>1443.21</v>
      </c>
      <c r="L69" s="119">
        <v>1443.43</v>
      </c>
      <c r="M69" s="119">
        <v>1443.03</v>
      </c>
      <c r="N69" s="119">
        <v>1443.44</v>
      </c>
      <c r="O69" s="119">
        <v>0.93125199999999997</v>
      </c>
      <c r="P69" s="119">
        <v>2499.62</v>
      </c>
      <c r="Q69" s="119">
        <v>2500.08</v>
      </c>
      <c r="R69" s="119">
        <v>2500.5500000000002</v>
      </c>
      <c r="S69" s="119">
        <v>2500.16</v>
      </c>
      <c r="T69" s="119">
        <v>2500.11</v>
      </c>
      <c r="U69" s="119">
        <v>2500.21</v>
      </c>
      <c r="V69" s="119">
        <v>2500.31</v>
      </c>
      <c r="W69" s="119">
        <v>2499.73</v>
      </c>
      <c r="X69" s="119">
        <v>209.9</v>
      </c>
      <c r="Y69" s="119">
        <v>6.4147599999999999E-2</v>
      </c>
      <c r="Z69" s="119">
        <v>-6.9836999999999996E-2</v>
      </c>
      <c r="AA69" s="119">
        <v>-5.8788800000000002E-2</v>
      </c>
      <c r="AB69" s="119">
        <v>-7.2967300000000004E-3</v>
      </c>
      <c r="AC69" s="119">
        <v>-7.8740699999999997E-2</v>
      </c>
      <c r="AD69" s="119">
        <v>-4.1842200000000003E-2</v>
      </c>
      <c r="AE69" s="119">
        <v>-6.2705300000000005E-2</v>
      </c>
      <c r="AF69" s="119">
        <v>-6.9964499999999999E-2</v>
      </c>
      <c r="AG69" s="119" t="s">
        <v>369</v>
      </c>
      <c r="AH69" s="119" t="s">
        <v>173</v>
      </c>
      <c r="AI69" s="119">
        <v>100</v>
      </c>
      <c r="AJ69" s="119">
        <v>36.489024000000001</v>
      </c>
      <c r="AK69" s="119">
        <v>6480670</v>
      </c>
      <c r="AL69" s="119">
        <v>1.6166666746139999</v>
      </c>
      <c r="AN69" s="123">
        <f t="shared" si="6"/>
        <v>46250</v>
      </c>
      <c r="AO69" s="124">
        <f t="shared" si="7"/>
        <v>0.24380787037037038</v>
      </c>
      <c r="AQ69" s="125">
        <v>0</v>
      </c>
      <c r="AR69" s="125">
        <v>0</v>
      </c>
      <c r="AS69" s="125">
        <v>0</v>
      </c>
      <c r="AT69" s="125">
        <v>0</v>
      </c>
    </row>
    <row r="70" spans="1:46">
      <c r="A70" s="118" t="s">
        <v>370</v>
      </c>
      <c r="B70" s="119">
        <v>5</v>
      </c>
      <c r="C70" s="119">
        <v>210</v>
      </c>
      <c r="D70" s="119">
        <v>210</v>
      </c>
      <c r="E70" s="119">
        <v>25.2807</v>
      </c>
      <c r="F70" s="119">
        <v>25.011600000000001</v>
      </c>
      <c r="G70" s="119">
        <v>1431.28</v>
      </c>
      <c r="H70" s="119">
        <v>1430.68</v>
      </c>
      <c r="I70" s="119">
        <v>1431.1</v>
      </c>
      <c r="J70" s="119">
        <v>1431.82</v>
      </c>
      <c r="K70" s="119">
        <v>1430.96</v>
      </c>
      <c r="L70" s="119">
        <v>1431.43</v>
      </c>
      <c r="M70" s="119">
        <v>1431</v>
      </c>
      <c r="N70" s="119">
        <v>1431.36</v>
      </c>
      <c r="O70" s="119">
        <v>0.94635400000000003</v>
      </c>
      <c r="P70" s="119">
        <v>2499.6999999999998</v>
      </c>
      <c r="Q70" s="119">
        <v>2500.59</v>
      </c>
      <c r="R70" s="119">
        <v>2499.87</v>
      </c>
      <c r="S70" s="119">
        <v>2500.4499999999998</v>
      </c>
      <c r="T70" s="119">
        <v>2499.69</v>
      </c>
      <c r="U70" s="119">
        <v>2499.52</v>
      </c>
      <c r="V70" s="119">
        <v>2499.36</v>
      </c>
      <c r="W70" s="119">
        <v>2500.3200000000002</v>
      </c>
      <c r="X70" s="119">
        <v>209.7</v>
      </c>
      <c r="Y70" s="119">
        <v>6.13917E-2</v>
      </c>
      <c r="Z70" s="119">
        <v>-6.5290500000000001E-2</v>
      </c>
      <c r="AA70" s="119">
        <v>-5.6818300000000002E-2</v>
      </c>
      <c r="AB70" s="119">
        <v>1.0870299999999999E-3</v>
      </c>
      <c r="AC70" s="119">
        <v>-7.8553499999999998E-2</v>
      </c>
      <c r="AD70" s="119">
        <v>-3.7768999999999997E-2</v>
      </c>
      <c r="AE70" s="119">
        <v>-5.4108700000000003E-2</v>
      </c>
      <c r="AF70" s="119">
        <v>-6.4736399999999999E-2</v>
      </c>
      <c r="AG70" s="119" t="s">
        <v>371</v>
      </c>
      <c r="AH70" s="119" t="s">
        <v>173</v>
      </c>
      <c r="AI70" s="119">
        <v>100</v>
      </c>
      <c r="AJ70" s="119">
        <v>36.445557000000001</v>
      </c>
      <c r="AK70" s="119">
        <v>6472950</v>
      </c>
      <c r="AL70" s="119">
        <v>1.6166666746139999</v>
      </c>
      <c r="AN70" s="123">
        <f t="shared" si="6"/>
        <v>46250</v>
      </c>
      <c r="AO70" s="124">
        <f t="shared" si="7"/>
        <v>0.25306712962962963</v>
      </c>
      <c r="AQ70" s="125">
        <v>0</v>
      </c>
      <c r="AR70" s="125">
        <v>0</v>
      </c>
      <c r="AS70" s="125">
        <v>0</v>
      </c>
      <c r="AT70" s="125">
        <v>0</v>
      </c>
    </row>
    <row r="71" spans="1:46">
      <c r="A71" s="118" t="s">
        <v>372</v>
      </c>
      <c r="B71" s="119">
        <v>6</v>
      </c>
      <c r="C71" s="119">
        <v>210</v>
      </c>
      <c r="D71" s="119">
        <v>210</v>
      </c>
      <c r="E71" s="119">
        <v>25.221399999999999</v>
      </c>
      <c r="F71" s="119">
        <v>25.017399999999999</v>
      </c>
      <c r="G71" s="119">
        <v>1450.27</v>
      </c>
      <c r="H71" s="119">
        <v>1450.18</v>
      </c>
      <c r="I71" s="119">
        <v>1449.36</v>
      </c>
      <c r="J71" s="119">
        <v>1448.22</v>
      </c>
      <c r="K71" s="119">
        <v>1449.45</v>
      </c>
      <c r="L71" s="119">
        <v>1449.03</v>
      </c>
      <c r="M71" s="119">
        <v>1449.96</v>
      </c>
      <c r="N71" s="119">
        <v>1449.65</v>
      </c>
      <c r="O71" s="119">
        <v>0.85750000000000004</v>
      </c>
      <c r="P71" s="119">
        <v>2498.5100000000002</v>
      </c>
      <c r="Q71" s="119">
        <v>2499.64</v>
      </c>
      <c r="R71" s="119">
        <v>2500.41</v>
      </c>
      <c r="S71" s="119">
        <v>2499.75</v>
      </c>
      <c r="T71" s="119">
        <v>2499.8200000000002</v>
      </c>
      <c r="U71" s="119">
        <v>2498.96</v>
      </c>
      <c r="V71" s="119">
        <v>2500.09</v>
      </c>
      <c r="W71" s="119">
        <v>2499.7199999999998</v>
      </c>
      <c r="X71" s="119">
        <v>210.1</v>
      </c>
      <c r="Y71" s="119">
        <v>6.3686400000000004E-2</v>
      </c>
      <c r="Z71" s="119">
        <v>-6.3768500000000006E-2</v>
      </c>
      <c r="AA71" s="119">
        <v>-5.9440800000000002E-2</v>
      </c>
      <c r="AB71" s="119">
        <v>1.49676E-3</v>
      </c>
      <c r="AC71" s="119">
        <v>-7.7466499999999994E-2</v>
      </c>
      <c r="AD71" s="119">
        <v>-4.0437099999999997E-2</v>
      </c>
      <c r="AE71" s="119">
        <v>-7.6325199999999996E-2</v>
      </c>
      <c r="AF71" s="119">
        <v>-7.1691599999999994E-2</v>
      </c>
      <c r="AG71" s="119" t="s">
        <v>373</v>
      </c>
      <c r="AH71" s="119" t="s">
        <v>173</v>
      </c>
      <c r="AI71" s="119">
        <v>100</v>
      </c>
      <c r="AJ71" s="119">
        <v>35.537242999999997</v>
      </c>
      <c r="AK71" s="119">
        <v>6311628</v>
      </c>
      <c r="AL71" s="119">
        <v>1.6166666746139999</v>
      </c>
      <c r="AN71" s="123">
        <f t="shared" si="6"/>
        <v>46250</v>
      </c>
      <c r="AO71" s="124">
        <f t="shared" si="7"/>
        <v>0.26234953703703706</v>
      </c>
      <c r="AQ71" s="125">
        <v>0</v>
      </c>
      <c r="AR71" s="125">
        <v>0</v>
      </c>
      <c r="AS71" s="125">
        <v>0</v>
      </c>
      <c r="AT71" s="125">
        <v>0</v>
      </c>
    </row>
    <row r="72" spans="1:46">
      <c r="A72" s="118" t="s">
        <v>374</v>
      </c>
      <c r="B72" s="119">
        <v>7</v>
      </c>
      <c r="C72" s="119">
        <v>210</v>
      </c>
      <c r="D72" s="119">
        <v>209.9</v>
      </c>
      <c r="E72" s="119">
        <v>25.2242</v>
      </c>
      <c r="F72" s="119">
        <v>25.017399999999999</v>
      </c>
      <c r="G72" s="119">
        <v>1450.21</v>
      </c>
      <c r="H72" s="119">
        <v>1451.06</v>
      </c>
      <c r="I72" s="119">
        <v>1451.08</v>
      </c>
      <c r="J72" s="119">
        <v>1451.7</v>
      </c>
      <c r="K72" s="119">
        <v>1451.04</v>
      </c>
      <c r="L72" s="119">
        <v>1450.88</v>
      </c>
      <c r="M72" s="119">
        <v>1450.94</v>
      </c>
      <c r="N72" s="119">
        <v>1450.53</v>
      </c>
      <c r="O72" s="119">
        <v>0.91477799999999998</v>
      </c>
      <c r="P72" s="119">
        <v>2499.39</v>
      </c>
      <c r="Q72" s="119">
        <v>2499.87</v>
      </c>
      <c r="R72" s="119">
        <v>2499.6799999999998</v>
      </c>
      <c r="S72" s="119">
        <v>2500.02</v>
      </c>
      <c r="T72" s="119">
        <v>2500.0300000000002</v>
      </c>
      <c r="U72" s="119">
        <v>2499.6799999999998</v>
      </c>
      <c r="V72" s="119">
        <v>2499.0100000000002</v>
      </c>
      <c r="W72" s="119">
        <v>2499.89</v>
      </c>
      <c r="X72" s="119">
        <v>209.9</v>
      </c>
      <c r="Y72" s="119">
        <v>6.4722500000000002E-2</v>
      </c>
      <c r="Z72" s="119">
        <v>-6.2252200000000001E-2</v>
      </c>
      <c r="AA72" s="119">
        <v>-5.8768500000000001E-2</v>
      </c>
      <c r="AB72" s="119">
        <v>-3.9558099999999997E-3</v>
      </c>
      <c r="AC72" s="119">
        <v>-7.6983700000000002E-2</v>
      </c>
      <c r="AD72" s="119">
        <v>-3.9433099999999999E-2</v>
      </c>
      <c r="AE72" s="119">
        <v>-7.7456200000000003E-2</v>
      </c>
      <c r="AF72" s="119">
        <v>-6.9237999999999994E-2</v>
      </c>
      <c r="AG72" s="119" t="s">
        <v>375</v>
      </c>
      <c r="AH72" s="119" t="s">
        <v>173</v>
      </c>
      <c r="AI72" s="119">
        <v>100</v>
      </c>
      <c r="AJ72" s="119">
        <v>36.287032000000004</v>
      </c>
      <c r="AK72" s="119">
        <v>6444795</v>
      </c>
      <c r="AL72" s="119">
        <v>1.6166666746139999</v>
      </c>
      <c r="AN72" s="123">
        <f t="shared" si="6"/>
        <v>46250</v>
      </c>
      <c r="AO72" s="124">
        <f t="shared" si="7"/>
        <v>0.27159722222222221</v>
      </c>
      <c r="AQ72" s="125">
        <v>0</v>
      </c>
      <c r="AR72" s="125">
        <v>0</v>
      </c>
      <c r="AS72" s="125">
        <v>0</v>
      </c>
      <c r="AT72" s="125">
        <v>0</v>
      </c>
    </row>
    <row r="73" spans="1:46">
      <c r="A73" s="118" t="s">
        <v>376</v>
      </c>
      <c r="B73" s="119">
        <v>8</v>
      </c>
      <c r="C73" s="119">
        <v>209.9</v>
      </c>
      <c r="D73" s="119">
        <v>210</v>
      </c>
      <c r="E73" s="119">
        <v>25.1432</v>
      </c>
      <c r="F73" s="119">
        <v>25.044799999999999</v>
      </c>
      <c r="G73" s="119">
        <v>1451.96</v>
      </c>
      <c r="H73" s="119">
        <v>1451.8</v>
      </c>
      <c r="I73" s="119">
        <v>1452.22</v>
      </c>
      <c r="J73" s="119">
        <v>1453.07</v>
      </c>
      <c r="K73" s="119">
        <v>1452.01</v>
      </c>
      <c r="L73" s="119">
        <v>1451.91</v>
      </c>
      <c r="M73" s="119">
        <v>1451.95</v>
      </c>
      <c r="N73" s="119">
        <v>1451.95</v>
      </c>
      <c r="O73" s="119">
        <v>0.91531799999999996</v>
      </c>
      <c r="P73" s="119">
        <v>2500.87</v>
      </c>
      <c r="Q73" s="119">
        <v>2499.48</v>
      </c>
      <c r="R73" s="119">
        <v>2500.0300000000002</v>
      </c>
      <c r="S73" s="119">
        <v>2499.96</v>
      </c>
      <c r="T73" s="119">
        <v>2499.8200000000002</v>
      </c>
      <c r="U73" s="119">
        <v>2499.6999999999998</v>
      </c>
      <c r="V73" s="119">
        <v>2501.33</v>
      </c>
      <c r="W73" s="119">
        <v>2499.2600000000002</v>
      </c>
      <c r="X73" s="119">
        <v>210</v>
      </c>
      <c r="Y73" s="119">
        <v>6.3009399999999993E-2</v>
      </c>
      <c r="Z73" s="119">
        <v>-6.4306000000000002E-2</v>
      </c>
      <c r="AA73" s="119">
        <v>-5.7985599999999998E-2</v>
      </c>
      <c r="AB73" s="119">
        <v>-1.36517E-3</v>
      </c>
      <c r="AC73" s="119">
        <v>-8.1868700000000003E-2</v>
      </c>
      <c r="AD73" s="119">
        <v>-3.9593099999999999E-2</v>
      </c>
      <c r="AE73" s="119">
        <v>-7.8098799999999996E-2</v>
      </c>
      <c r="AF73" s="119">
        <v>-7.1555900000000006E-2</v>
      </c>
      <c r="AG73" s="119" t="s">
        <v>377</v>
      </c>
      <c r="AH73" s="119" t="s">
        <v>173</v>
      </c>
      <c r="AI73" s="119">
        <v>100</v>
      </c>
      <c r="AJ73" s="119">
        <v>35.572432999999997</v>
      </c>
      <c r="AK73" s="119">
        <v>6317878</v>
      </c>
      <c r="AL73" s="119">
        <v>1.6166666746139999</v>
      </c>
      <c r="AN73" s="123">
        <f t="shared" si="6"/>
        <v>46250</v>
      </c>
      <c r="AO73" s="124">
        <f t="shared" si="7"/>
        <v>0.28086805555555555</v>
      </c>
      <c r="AQ73" s="125">
        <v>0</v>
      </c>
      <c r="AR73" s="125">
        <v>0</v>
      </c>
      <c r="AS73" s="125">
        <v>0</v>
      </c>
      <c r="AT73" s="125">
        <v>0</v>
      </c>
    </row>
    <row r="74" spans="1:46">
      <c r="A74" s="118" t="s">
        <v>378</v>
      </c>
      <c r="B74" s="119">
        <v>1</v>
      </c>
      <c r="C74" s="119">
        <v>210</v>
      </c>
      <c r="D74" s="119">
        <v>210</v>
      </c>
      <c r="E74" s="119">
        <v>25.176500000000001</v>
      </c>
      <c r="F74" s="119">
        <v>25.010100000000001</v>
      </c>
      <c r="G74" s="119">
        <v>1442.84</v>
      </c>
      <c r="H74" s="119">
        <v>1442.28</v>
      </c>
      <c r="I74" s="119">
        <v>1442.94</v>
      </c>
      <c r="J74" s="119">
        <v>1444.13</v>
      </c>
      <c r="K74" s="119">
        <v>1442.59</v>
      </c>
      <c r="L74" s="119">
        <v>1442.84</v>
      </c>
      <c r="M74" s="119">
        <v>1442.49</v>
      </c>
      <c r="N74" s="119">
        <v>1442.67</v>
      </c>
      <c r="O74" s="119">
        <v>0.92220599999999997</v>
      </c>
      <c r="P74" s="119">
        <v>2500.14</v>
      </c>
      <c r="Q74" s="119">
        <v>2500.41</v>
      </c>
      <c r="R74" s="119">
        <v>2500.25</v>
      </c>
      <c r="S74" s="119">
        <v>2499.5300000000002</v>
      </c>
      <c r="T74" s="119">
        <v>2499.96</v>
      </c>
      <c r="U74" s="119">
        <v>2499.86</v>
      </c>
      <c r="V74" s="119">
        <v>2499.4899999999998</v>
      </c>
      <c r="W74" s="119">
        <v>2500.85</v>
      </c>
      <c r="X74" s="119">
        <v>209.7</v>
      </c>
      <c r="Y74" s="119">
        <v>6.2639299999999995E-2</v>
      </c>
      <c r="Z74" s="119">
        <v>-6.5785399999999994E-2</v>
      </c>
      <c r="AA74" s="119">
        <v>-6.3075300000000001E-2</v>
      </c>
      <c r="AB74" s="119">
        <v>-6.1583600000000003E-4</v>
      </c>
      <c r="AC74" s="119">
        <v>-7.9937599999999998E-2</v>
      </c>
      <c r="AD74" s="119">
        <v>-4.0593900000000002E-2</v>
      </c>
      <c r="AE74" s="119">
        <v>-8.4205000000000002E-2</v>
      </c>
      <c r="AF74" s="119">
        <v>-7.0672299999999993E-2</v>
      </c>
      <c r="AG74" s="119" t="s">
        <v>379</v>
      </c>
      <c r="AH74" s="119" t="s">
        <v>173</v>
      </c>
      <c r="AI74" s="119">
        <v>36.611452999999997</v>
      </c>
      <c r="AJ74" s="119">
        <v>36.971169000000003</v>
      </c>
      <c r="AK74" s="119">
        <v>6566302</v>
      </c>
      <c r="AL74" s="119">
        <v>1.6166666746139999</v>
      </c>
      <c r="AN74" s="123">
        <f t="shared" si="6"/>
        <v>46250</v>
      </c>
      <c r="AO74" s="124">
        <f t="shared" si="7"/>
        <v>0.29013888888888889</v>
      </c>
      <c r="AQ74" s="125">
        <v>63.388547000000003</v>
      </c>
      <c r="AR74" s="125">
        <v>64.011356000000006</v>
      </c>
      <c r="AS74" s="125">
        <v>305483682</v>
      </c>
      <c r="AT74" s="125">
        <v>3.98</v>
      </c>
    </row>
    <row r="75" spans="1:46">
      <c r="A75" s="118" t="s">
        <v>380</v>
      </c>
      <c r="B75" s="119">
        <v>2</v>
      </c>
      <c r="C75" s="119">
        <v>209.9</v>
      </c>
      <c r="D75" s="119">
        <v>210</v>
      </c>
      <c r="E75" s="119">
        <v>25.1693</v>
      </c>
      <c r="F75" s="119">
        <v>25.040500000000002</v>
      </c>
      <c r="G75" s="119">
        <v>1445.99</v>
      </c>
      <c r="H75" s="119">
        <v>1446.22</v>
      </c>
      <c r="I75" s="119">
        <v>1446.14</v>
      </c>
      <c r="J75" s="119">
        <v>1444.85</v>
      </c>
      <c r="K75" s="119">
        <v>1446.28</v>
      </c>
      <c r="L75" s="119">
        <v>1445.99</v>
      </c>
      <c r="M75" s="119">
        <v>1445.38</v>
      </c>
      <c r="N75" s="119">
        <v>1445.81</v>
      </c>
      <c r="O75" s="119">
        <v>0.85775699999999999</v>
      </c>
      <c r="P75" s="119">
        <v>2501.17</v>
      </c>
      <c r="Q75" s="119">
        <v>2500.0700000000002</v>
      </c>
      <c r="R75" s="119">
        <v>2499.9299999999998</v>
      </c>
      <c r="S75" s="119">
        <v>2499.8000000000002</v>
      </c>
      <c r="T75" s="119">
        <v>2500.4299999999998</v>
      </c>
      <c r="U75" s="119">
        <v>2500.0300000000002</v>
      </c>
      <c r="V75" s="119">
        <v>2500.2800000000002</v>
      </c>
      <c r="W75" s="119">
        <v>2500.13</v>
      </c>
      <c r="X75" s="119">
        <v>209.9</v>
      </c>
      <c r="Y75" s="119">
        <v>6.3494200000000001E-2</v>
      </c>
      <c r="Z75" s="119">
        <v>-6.2598000000000001E-2</v>
      </c>
      <c r="AA75" s="119">
        <v>-5.7064299999999998E-2</v>
      </c>
      <c r="AB75" s="119">
        <v>-1.88532E-3</v>
      </c>
      <c r="AC75" s="119">
        <v>-7.4391700000000005E-2</v>
      </c>
      <c r="AD75" s="119">
        <v>-3.8139600000000003E-2</v>
      </c>
      <c r="AE75" s="119">
        <v>-9.9727300000000005E-2</v>
      </c>
      <c r="AF75" s="119">
        <v>-6.9417699999999999E-2</v>
      </c>
      <c r="AG75" s="119" t="s">
        <v>381</v>
      </c>
      <c r="AH75" s="119" t="s">
        <v>173</v>
      </c>
      <c r="AI75" s="119">
        <v>100</v>
      </c>
      <c r="AJ75" s="119">
        <v>35.123832999999998</v>
      </c>
      <c r="AK75" s="119">
        <v>6238204</v>
      </c>
      <c r="AL75" s="119">
        <v>1.6150000095367001</v>
      </c>
      <c r="AN75" s="123">
        <f t="shared" si="6"/>
        <v>46250</v>
      </c>
      <c r="AO75" s="124">
        <f t="shared" si="7"/>
        <v>0.29942129629629627</v>
      </c>
      <c r="AQ75" s="125">
        <v>0</v>
      </c>
      <c r="AR75" s="125">
        <v>0</v>
      </c>
      <c r="AS75" s="125">
        <v>0</v>
      </c>
      <c r="AT75" s="125">
        <v>0</v>
      </c>
    </row>
    <row r="76" spans="1:46">
      <c r="A76" s="118" t="s">
        <v>382</v>
      </c>
      <c r="B76" s="119">
        <v>3</v>
      </c>
      <c r="C76" s="119">
        <v>210</v>
      </c>
      <c r="D76" s="119">
        <v>210</v>
      </c>
      <c r="E76" s="119">
        <v>25.023099999999999</v>
      </c>
      <c r="F76" s="119">
        <v>25.014500000000002</v>
      </c>
      <c r="G76" s="119">
        <v>1390.65</v>
      </c>
      <c r="H76" s="119">
        <v>1390.01</v>
      </c>
      <c r="I76" s="119">
        <v>1390.46</v>
      </c>
      <c r="J76" s="119">
        <v>1390.04</v>
      </c>
      <c r="K76" s="119">
        <v>1389.87</v>
      </c>
      <c r="L76" s="119">
        <v>1389.48</v>
      </c>
      <c r="M76" s="119">
        <v>1390.07</v>
      </c>
      <c r="N76" s="119">
        <v>1390.01</v>
      </c>
      <c r="O76" s="119">
        <v>0.99007900000000004</v>
      </c>
      <c r="P76" s="119">
        <v>2500.5100000000002</v>
      </c>
      <c r="Q76" s="119">
        <v>2498.9299999999998</v>
      </c>
      <c r="R76" s="119">
        <v>2499.08</v>
      </c>
      <c r="S76" s="119">
        <v>2500.08</v>
      </c>
      <c r="T76" s="119">
        <v>2499.9699999999998</v>
      </c>
      <c r="U76" s="119">
        <v>2499.2600000000002</v>
      </c>
      <c r="V76" s="119">
        <v>2499.59</v>
      </c>
      <c r="W76" s="119">
        <v>2500.87</v>
      </c>
      <c r="X76" s="119">
        <v>209.9</v>
      </c>
      <c r="Y76" s="119">
        <v>6.4581399999999997E-2</v>
      </c>
      <c r="Z76" s="119">
        <v>-6.3474100000000006E-2</v>
      </c>
      <c r="AA76" s="119">
        <v>-5.7775699999999999E-2</v>
      </c>
      <c r="AB76" s="119">
        <v>-2.7389300000000001E-3</v>
      </c>
      <c r="AC76" s="119">
        <v>-7.9440200000000002E-2</v>
      </c>
      <c r="AD76" s="119">
        <v>-3.5922799999999998E-2</v>
      </c>
      <c r="AE76" s="119">
        <v>-7.0585400000000006E-2</v>
      </c>
      <c r="AF76" s="119">
        <v>-6.7809900000000006E-2</v>
      </c>
      <c r="AG76" s="119" t="s">
        <v>383</v>
      </c>
      <c r="AH76" s="119" t="s">
        <v>173</v>
      </c>
      <c r="AI76" s="119">
        <v>100</v>
      </c>
      <c r="AJ76" s="119">
        <v>35.519067999999997</v>
      </c>
      <c r="AK76" s="119">
        <v>6308400</v>
      </c>
      <c r="AL76" s="119">
        <v>1.6166666746139999</v>
      </c>
      <c r="AN76" s="123">
        <f t="shared" si="6"/>
        <v>46250</v>
      </c>
      <c r="AO76" s="124">
        <f t="shared" si="7"/>
        <v>0.30869212962962961</v>
      </c>
      <c r="AQ76" s="125">
        <v>0</v>
      </c>
      <c r="AR76" s="125">
        <v>0</v>
      </c>
      <c r="AS76" s="125">
        <v>0</v>
      </c>
      <c r="AT76" s="125">
        <v>0</v>
      </c>
    </row>
    <row r="77" spans="1:46">
      <c r="A77" s="118" t="s">
        <v>384</v>
      </c>
      <c r="B77" s="119">
        <v>4</v>
      </c>
      <c r="C77" s="119">
        <v>210</v>
      </c>
      <c r="D77" s="119">
        <v>209.9</v>
      </c>
      <c r="E77" s="119">
        <v>24.974</v>
      </c>
      <c r="F77" s="119">
        <v>25.037600000000001</v>
      </c>
      <c r="G77" s="119">
        <v>1388.22</v>
      </c>
      <c r="H77" s="119">
        <v>1388.33</v>
      </c>
      <c r="I77" s="119">
        <v>1388.7</v>
      </c>
      <c r="J77" s="119">
        <v>1389.81</v>
      </c>
      <c r="K77" s="119">
        <v>1388.82</v>
      </c>
      <c r="L77" s="119">
        <v>1389.02</v>
      </c>
      <c r="M77" s="119">
        <v>1389.22</v>
      </c>
      <c r="N77" s="119">
        <v>1388.43</v>
      </c>
      <c r="O77" s="119">
        <v>0.99463900000000005</v>
      </c>
      <c r="P77" s="119">
        <v>2499.8200000000002</v>
      </c>
      <c r="Q77" s="119">
        <v>2499.69</v>
      </c>
      <c r="R77" s="119">
        <v>2500.4899999999998</v>
      </c>
      <c r="S77" s="119">
        <v>2500.2800000000002</v>
      </c>
      <c r="T77" s="119">
        <v>2500.04</v>
      </c>
      <c r="U77" s="119">
        <v>2500.38</v>
      </c>
      <c r="V77" s="119">
        <v>2500.2399999999998</v>
      </c>
      <c r="W77" s="119">
        <v>2499.9699999999998</v>
      </c>
      <c r="X77" s="119">
        <v>209.9</v>
      </c>
      <c r="Y77" s="119">
        <v>6.2581899999999996E-2</v>
      </c>
      <c r="Z77" s="119">
        <v>-6.1206900000000002E-2</v>
      </c>
      <c r="AA77" s="119">
        <v>-5.6161299999999997E-2</v>
      </c>
      <c r="AB77" s="119">
        <v>1.3580800000000001E-4</v>
      </c>
      <c r="AC77" s="119">
        <v>-7.7263600000000002E-2</v>
      </c>
      <c r="AD77" s="119">
        <v>-3.7864599999999998E-2</v>
      </c>
      <c r="AE77" s="119">
        <v>-5.8458400000000001E-2</v>
      </c>
      <c r="AF77" s="119">
        <v>-6.5787600000000002E-2</v>
      </c>
      <c r="AG77" s="119" t="s">
        <v>385</v>
      </c>
      <c r="AH77" s="119" t="s">
        <v>173</v>
      </c>
      <c r="AI77" s="119">
        <v>100</v>
      </c>
      <c r="AJ77" s="119">
        <v>36.458635999999998</v>
      </c>
      <c r="AK77" s="119">
        <v>6475273</v>
      </c>
      <c r="AL77" s="119">
        <v>1.6150000095367001</v>
      </c>
      <c r="AN77" s="123">
        <f t="shared" si="6"/>
        <v>46250</v>
      </c>
      <c r="AO77" s="124">
        <f t="shared" si="7"/>
        <v>0.31798611111111114</v>
      </c>
      <c r="AQ77" s="125">
        <v>0</v>
      </c>
      <c r="AR77" s="125">
        <v>0</v>
      </c>
      <c r="AS77" s="125">
        <v>0</v>
      </c>
      <c r="AT77" s="125">
        <v>0</v>
      </c>
    </row>
    <row r="78" spans="1:46">
      <c r="A78" s="118" t="s">
        <v>386</v>
      </c>
      <c r="B78" s="119">
        <v>5</v>
      </c>
      <c r="C78" s="119">
        <v>210</v>
      </c>
      <c r="D78" s="119">
        <v>210</v>
      </c>
      <c r="E78" s="119">
        <v>24.992799999999999</v>
      </c>
      <c r="F78" s="119">
        <v>25.011600000000001</v>
      </c>
      <c r="G78" s="119">
        <v>1404.48</v>
      </c>
      <c r="H78" s="119">
        <v>1404.66</v>
      </c>
      <c r="I78" s="119">
        <v>1404.6</v>
      </c>
      <c r="J78" s="119">
        <v>1405.6</v>
      </c>
      <c r="K78" s="119">
        <v>1404.79</v>
      </c>
      <c r="L78" s="119">
        <v>1406.14</v>
      </c>
      <c r="M78" s="119">
        <v>1404.81</v>
      </c>
      <c r="N78" s="119">
        <v>1404.49</v>
      </c>
      <c r="O78" s="119">
        <v>0.95382800000000001</v>
      </c>
      <c r="P78" s="119">
        <v>2498.91</v>
      </c>
      <c r="Q78" s="119">
        <v>2500</v>
      </c>
      <c r="R78" s="119">
        <v>2500.89</v>
      </c>
      <c r="S78" s="119">
        <v>2499.6</v>
      </c>
      <c r="T78" s="119">
        <v>2499.73</v>
      </c>
      <c r="U78" s="119">
        <v>2500.66</v>
      </c>
      <c r="V78" s="119">
        <v>2499.69</v>
      </c>
      <c r="W78" s="119">
        <v>2500.6</v>
      </c>
      <c r="X78" s="119">
        <v>210.2</v>
      </c>
      <c r="Y78" s="119">
        <v>6.2503900000000001E-2</v>
      </c>
      <c r="Z78" s="119">
        <v>-6.3052700000000003E-2</v>
      </c>
      <c r="AA78" s="119">
        <v>-5.4821000000000002E-2</v>
      </c>
      <c r="AB78" s="119">
        <v>2.24106E-3</v>
      </c>
      <c r="AC78" s="119">
        <v>-7.8599799999999997E-2</v>
      </c>
      <c r="AD78" s="119">
        <v>-3.5240399999999998E-2</v>
      </c>
      <c r="AE78" s="119">
        <v>-6.20958E-2</v>
      </c>
      <c r="AF78" s="119">
        <v>-6.6889000000000004E-2</v>
      </c>
      <c r="AG78" s="119" t="s">
        <v>387</v>
      </c>
      <c r="AH78" s="119" t="s">
        <v>173</v>
      </c>
      <c r="AI78" s="119">
        <v>100</v>
      </c>
      <c r="AJ78" s="119">
        <v>36.356155999999999</v>
      </c>
      <c r="AK78" s="119">
        <v>6457072</v>
      </c>
      <c r="AL78" s="119">
        <v>1.6150000095367001</v>
      </c>
      <c r="AN78" s="123">
        <f t="shared" si="6"/>
        <v>46250</v>
      </c>
      <c r="AO78" s="124">
        <f t="shared" si="7"/>
        <v>0.32724537037037038</v>
      </c>
      <c r="AQ78" s="125">
        <v>0</v>
      </c>
      <c r="AR78" s="125">
        <v>0</v>
      </c>
      <c r="AS78" s="125">
        <v>0</v>
      </c>
      <c r="AT78" s="125">
        <v>0</v>
      </c>
    </row>
    <row r="79" spans="1:46">
      <c r="A79" s="118" t="s">
        <v>388</v>
      </c>
      <c r="B79" s="119">
        <v>6</v>
      </c>
      <c r="C79" s="119">
        <v>210</v>
      </c>
      <c r="D79" s="119">
        <v>210</v>
      </c>
      <c r="E79" s="119">
        <v>24.989899999999999</v>
      </c>
      <c r="F79" s="119">
        <v>25.014500000000002</v>
      </c>
      <c r="G79" s="119">
        <v>1447.46</v>
      </c>
      <c r="H79" s="119">
        <v>1447.9</v>
      </c>
      <c r="I79" s="119">
        <v>1447.28</v>
      </c>
      <c r="J79" s="119">
        <v>1447.47</v>
      </c>
      <c r="K79" s="119">
        <v>1447.22</v>
      </c>
      <c r="L79" s="119">
        <v>1447.38</v>
      </c>
      <c r="M79" s="119">
        <v>1447.89</v>
      </c>
      <c r="N79" s="119">
        <v>1447.4</v>
      </c>
      <c r="O79" s="119">
        <v>0.91150200000000003</v>
      </c>
      <c r="P79" s="119">
        <v>2499.69</v>
      </c>
      <c r="Q79" s="119">
        <v>2499.61</v>
      </c>
      <c r="R79" s="119">
        <v>2501</v>
      </c>
      <c r="S79" s="119">
        <v>2499.9299999999998</v>
      </c>
      <c r="T79" s="119">
        <v>2499.5</v>
      </c>
      <c r="U79" s="119">
        <v>2499.87</v>
      </c>
      <c r="V79" s="119">
        <v>2499.54</v>
      </c>
      <c r="W79" s="119">
        <v>2499.9699999999998</v>
      </c>
      <c r="X79" s="119">
        <v>209.9</v>
      </c>
      <c r="Y79" s="119">
        <v>6.4285700000000001E-2</v>
      </c>
      <c r="Z79" s="119">
        <v>-5.8684699999999999E-2</v>
      </c>
      <c r="AA79" s="119">
        <v>-6.6259399999999996E-2</v>
      </c>
      <c r="AB79" s="119">
        <v>-4.8226999999999998E-4</v>
      </c>
      <c r="AC79" s="119">
        <v>-7.8275800000000006E-2</v>
      </c>
      <c r="AD79" s="119">
        <v>-3.7542100000000002E-2</v>
      </c>
      <c r="AE79" s="119">
        <v>-0.32455800000000001</v>
      </c>
      <c r="AF79" s="119">
        <v>-8.8286000000000003E-2</v>
      </c>
      <c r="AG79" s="119" t="s">
        <v>389</v>
      </c>
      <c r="AH79" s="119" t="s">
        <v>173</v>
      </c>
      <c r="AI79" s="119">
        <v>100</v>
      </c>
      <c r="AJ79" s="119">
        <v>35.551690000000001</v>
      </c>
      <c r="AK79" s="119">
        <v>6314194</v>
      </c>
      <c r="AL79" s="119">
        <v>1.6150000095367001</v>
      </c>
      <c r="AN79" s="123">
        <f t="shared" si="6"/>
        <v>46250</v>
      </c>
      <c r="AO79" s="124">
        <f t="shared" si="7"/>
        <v>0.33651620370370372</v>
      </c>
      <c r="AQ79" s="125">
        <v>0</v>
      </c>
      <c r="AR79" s="125">
        <v>0</v>
      </c>
      <c r="AS79" s="125">
        <v>0</v>
      </c>
      <c r="AT79" s="125">
        <v>0</v>
      </c>
    </row>
    <row r="80" spans="1:46">
      <c r="A80" s="118" t="s">
        <v>390</v>
      </c>
      <c r="B80" s="119">
        <v>7</v>
      </c>
      <c r="C80" s="119">
        <v>210</v>
      </c>
      <c r="D80" s="119">
        <v>210</v>
      </c>
      <c r="E80" s="119">
        <v>24.979700000000001</v>
      </c>
      <c r="F80" s="119">
        <v>25.0275</v>
      </c>
      <c r="G80" s="119">
        <v>1415.38</v>
      </c>
      <c r="H80" s="119">
        <v>1415.98</v>
      </c>
      <c r="I80" s="119">
        <v>1415.38</v>
      </c>
      <c r="J80" s="119">
        <v>1415.13</v>
      </c>
      <c r="K80" s="119">
        <v>1415.2</v>
      </c>
      <c r="L80" s="119">
        <v>1415.47</v>
      </c>
      <c r="M80" s="119">
        <v>1415.35</v>
      </c>
      <c r="N80" s="119">
        <v>1415.28</v>
      </c>
      <c r="O80" s="119">
        <v>0.95101800000000003</v>
      </c>
      <c r="P80" s="119">
        <v>2499.9499999999998</v>
      </c>
      <c r="Q80" s="119">
        <v>2500.17</v>
      </c>
      <c r="R80" s="119">
        <v>2500.14</v>
      </c>
      <c r="S80" s="119">
        <v>2499.8200000000002</v>
      </c>
      <c r="T80" s="119">
        <v>2499.5100000000002</v>
      </c>
      <c r="U80" s="119">
        <v>2500.27</v>
      </c>
      <c r="V80" s="119">
        <v>2499.77</v>
      </c>
      <c r="W80" s="119">
        <v>2501.0100000000002</v>
      </c>
      <c r="X80" s="119">
        <v>210.3</v>
      </c>
      <c r="Y80" s="119">
        <v>6.5936499999999995E-2</v>
      </c>
      <c r="Z80" s="119">
        <v>-5.96432E-2</v>
      </c>
      <c r="AA80" s="119">
        <v>-6.0311799999999999E-2</v>
      </c>
      <c r="AB80" s="119">
        <v>-3.5481800000000002E-3</v>
      </c>
      <c r="AC80" s="119">
        <v>-7.7069399999999996E-2</v>
      </c>
      <c r="AD80" s="119">
        <v>-3.6974199999999999E-2</v>
      </c>
      <c r="AE80" s="119">
        <v>-0.25473000000000001</v>
      </c>
      <c r="AF80" s="119">
        <v>-0.12070500000000001</v>
      </c>
      <c r="AG80" s="119" t="s">
        <v>391</v>
      </c>
      <c r="AH80" s="119" t="s">
        <v>173</v>
      </c>
      <c r="AI80" s="119">
        <v>100</v>
      </c>
      <c r="AJ80" s="119">
        <v>36.288625000000003</v>
      </c>
      <c r="AK80" s="119">
        <v>6445078</v>
      </c>
      <c r="AL80" s="119">
        <v>1.6166666746139999</v>
      </c>
      <c r="AN80" s="123">
        <f t="shared" si="6"/>
        <v>46250</v>
      </c>
      <c r="AO80" s="124">
        <f t="shared" si="7"/>
        <v>0.34578703703703706</v>
      </c>
      <c r="AQ80" s="125">
        <v>0</v>
      </c>
      <c r="AR80" s="125">
        <v>0</v>
      </c>
      <c r="AS80" s="125">
        <v>0</v>
      </c>
      <c r="AT80" s="125">
        <v>0</v>
      </c>
    </row>
    <row r="81" spans="1:46">
      <c r="A81" s="118" t="s">
        <v>392</v>
      </c>
      <c r="B81" s="119">
        <v>8</v>
      </c>
      <c r="C81" s="119">
        <v>210</v>
      </c>
      <c r="D81" s="119">
        <v>210</v>
      </c>
      <c r="E81" s="119">
        <v>24.992799999999999</v>
      </c>
      <c r="F81" s="119">
        <v>25.011600000000001</v>
      </c>
      <c r="G81" s="119">
        <v>1437.38</v>
      </c>
      <c r="H81" s="119">
        <v>1437.44</v>
      </c>
      <c r="I81" s="119">
        <v>1437.46</v>
      </c>
      <c r="J81" s="119">
        <v>1437.01</v>
      </c>
      <c r="K81" s="119">
        <v>1436.51</v>
      </c>
      <c r="L81" s="119">
        <v>1435.96</v>
      </c>
      <c r="M81" s="119">
        <v>1437.34</v>
      </c>
      <c r="N81" s="119">
        <v>1437.16</v>
      </c>
      <c r="O81" s="119">
        <v>0.91968899999999998</v>
      </c>
      <c r="P81" s="119">
        <v>2499.21</v>
      </c>
      <c r="Q81" s="119">
        <v>2499.33</v>
      </c>
      <c r="R81" s="119">
        <v>2499.0100000000002</v>
      </c>
      <c r="S81" s="119">
        <v>2499.52</v>
      </c>
      <c r="T81" s="119">
        <v>2500.64</v>
      </c>
      <c r="U81" s="119">
        <v>2500.2199999999998</v>
      </c>
      <c r="V81" s="119">
        <v>2498.6799999999998</v>
      </c>
      <c r="W81" s="119">
        <v>2500.35</v>
      </c>
      <c r="X81" s="119">
        <v>209.9</v>
      </c>
      <c r="Y81" s="119">
        <v>6.4306100000000005E-2</v>
      </c>
      <c r="Z81" s="119">
        <v>-6.4435000000000006E-2</v>
      </c>
      <c r="AA81" s="119">
        <v>-5.8570400000000002E-2</v>
      </c>
      <c r="AB81" s="119">
        <v>-4.6611800000000001E-4</v>
      </c>
      <c r="AC81" s="119">
        <v>-7.7515500000000001E-2</v>
      </c>
      <c r="AD81" s="119">
        <v>-3.7783499999999998E-2</v>
      </c>
      <c r="AE81" s="119">
        <v>-0.14593100000000001</v>
      </c>
      <c r="AF81" s="119">
        <v>-7.3342199999999996E-2</v>
      </c>
      <c r="AG81" s="119" t="s">
        <v>393</v>
      </c>
      <c r="AH81" s="119" t="s">
        <v>173</v>
      </c>
      <c r="AI81" s="119">
        <v>100</v>
      </c>
      <c r="AJ81" s="119">
        <v>35.636839999999999</v>
      </c>
      <c r="AK81" s="119">
        <v>6329317</v>
      </c>
      <c r="AL81" s="119">
        <v>1.6150000095367001</v>
      </c>
      <c r="AN81" s="123">
        <f t="shared" si="6"/>
        <v>46250</v>
      </c>
      <c r="AO81" s="124">
        <f t="shared" si="7"/>
        <v>0.35506944444444444</v>
      </c>
      <c r="AQ81" s="125">
        <v>0</v>
      </c>
      <c r="AR81" s="125">
        <v>0</v>
      </c>
      <c r="AS81" s="125">
        <v>0</v>
      </c>
      <c r="AT81" s="125">
        <v>0</v>
      </c>
    </row>
    <row r="82" spans="1:46">
      <c r="A82" s="118" t="s">
        <v>394</v>
      </c>
      <c r="B82" s="119">
        <v>1</v>
      </c>
      <c r="C82" s="119">
        <v>210</v>
      </c>
      <c r="D82" s="119">
        <v>210</v>
      </c>
      <c r="E82" s="119">
        <v>24.9696</v>
      </c>
      <c r="F82" s="119">
        <v>25.033300000000001</v>
      </c>
      <c r="G82" s="119">
        <v>1410.81</v>
      </c>
      <c r="H82" s="119">
        <v>1410.34</v>
      </c>
      <c r="I82" s="119">
        <v>1411.12</v>
      </c>
      <c r="J82" s="119">
        <v>1412.38</v>
      </c>
      <c r="K82" s="119">
        <v>1411.01</v>
      </c>
      <c r="L82" s="119">
        <v>1411.28</v>
      </c>
      <c r="M82" s="119">
        <v>1411.29</v>
      </c>
      <c r="N82" s="119">
        <v>1410.98</v>
      </c>
      <c r="O82" s="119">
        <v>1.03108</v>
      </c>
      <c r="P82" s="119">
        <v>2499.84</v>
      </c>
      <c r="Q82" s="119">
        <v>2500.19</v>
      </c>
      <c r="R82" s="119">
        <v>2499.64</v>
      </c>
      <c r="S82" s="119">
        <v>2500</v>
      </c>
      <c r="T82" s="119">
        <v>2499.7399999999998</v>
      </c>
      <c r="U82" s="119">
        <v>2500.02</v>
      </c>
      <c r="V82" s="119">
        <v>2500.52</v>
      </c>
      <c r="W82" s="119">
        <v>2498.7800000000002</v>
      </c>
      <c r="X82" s="119">
        <v>209.9</v>
      </c>
      <c r="Y82" s="119">
        <v>6.4522899999999994E-2</v>
      </c>
      <c r="Z82" s="119">
        <v>-6.3007499999999994E-2</v>
      </c>
      <c r="AA82" s="119">
        <v>-6.2382600000000003E-2</v>
      </c>
      <c r="AB82" s="119">
        <v>-6.9284500000000001E-3</v>
      </c>
      <c r="AC82" s="119">
        <v>-8.1046999999999994E-2</v>
      </c>
      <c r="AD82" s="119">
        <v>-4.2161400000000002E-2</v>
      </c>
      <c r="AE82" s="119">
        <v>-9.4724500000000003E-2</v>
      </c>
      <c r="AF82" s="119">
        <v>-7.1360999999999994E-2</v>
      </c>
      <c r="AG82" s="119" t="s">
        <v>395</v>
      </c>
      <c r="AH82" s="119" t="s">
        <v>173</v>
      </c>
      <c r="AI82" s="119">
        <v>100</v>
      </c>
      <c r="AJ82" s="119">
        <v>36.993899999999996</v>
      </c>
      <c r="AK82" s="119">
        <v>6570339</v>
      </c>
      <c r="AL82" s="119">
        <v>1.6166666746139999</v>
      </c>
      <c r="AN82" s="123">
        <f t="shared" si="6"/>
        <v>46250</v>
      </c>
      <c r="AO82" s="124">
        <f t="shared" si="7"/>
        <v>0.36435185185185187</v>
      </c>
      <c r="AQ82" s="125">
        <v>0</v>
      </c>
      <c r="AR82" s="125">
        <v>0</v>
      </c>
      <c r="AS82" s="125">
        <v>0</v>
      </c>
      <c r="AT82" s="125">
        <v>0</v>
      </c>
    </row>
    <row r="83" spans="1:46">
      <c r="A83" s="118" t="s">
        <v>396</v>
      </c>
      <c r="B83" s="119">
        <v>2</v>
      </c>
      <c r="C83" s="119">
        <v>210</v>
      </c>
      <c r="D83" s="119">
        <v>210</v>
      </c>
      <c r="E83" s="119">
        <v>24.957999999999998</v>
      </c>
      <c r="F83" s="119">
        <v>25.017399999999999</v>
      </c>
      <c r="G83" s="119">
        <v>1445.93</v>
      </c>
      <c r="H83" s="119">
        <v>1445.5</v>
      </c>
      <c r="I83" s="119">
        <v>1445.26</v>
      </c>
      <c r="J83" s="119">
        <v>1444.69</v>
      </c>
      <c r="K83" s="119">
        <v>1445.42</v>
      </c>
      <c r="L83" s="119">
        <v>1446.1</v>
      </c>
      <c r="M83" s="119">
        <v>1445.41</v>
      </c>
      <c r="N83" s="119">
        <v>1446.28</v>
      </c>
      <c r="O83" s="119">
        <v>0.84560599999999997</v>
      </c>
      <c r="P83" s="119">
        <v>2498.29</v>
      </c>
      <c r="Q83" s="119">
        <v>2500.5</v>
      </c>
      <c r="R83" s="119">
        <v>2500.58</v>
      </c>
      <c r="S83" s="119">
        <v>2499.9699999999998</v>
      </c>
      <c r="T83" s="119">
        <v>2500.46</v>
      </c>
      <c r="U83" s="119">
        <v>2500.0700000000002</v>
      </c>
      <c r="V83" s="119">
        <v>2499.29</v>
      </c>
      <c r="W83" s="119">
        <v>2501.1</v>
      </c>
      <c r="X83" s="119">
        <v>210</v>
      </c>
      <c r="Y83" s="119">
        <v>6.8260600000000005E-2</v>
      </c>
      <c r="Z83" s="119">
        <v>-6.2601799999999999E-2</v>
      </c>
      <c r="AA83" s="119">
        <v>-6.0908299999999999E-2</v>
      </c>
      <c r="AB83" s="119">
        <v>-6.77423E-3</v>
      </c>
      <c r="AC83" s="119">
        <v>-7.6257199999999997E-2</v>
      </c>
      <c r="AD83" s="119">
        <v>-3.8783600000000001E-2</v>
      </c>
      <c r="AE83" s="119">
        <v>-5.0104299999999997E-2</v>
      </c>
      <c r="AF83" s="119">
        <v>-6.7241599999999999E-2</v>
      </c>
      <c r="AG83" s="119" t="s">
        <v>397</v>
      </c>
      <c r="AH83" s="119" t="s">
        <v>173</v>
      </c>
      <c r="AI83" s="119">
        <v>100</v>
      </c>
      <c r="AJ83" s="119">
        <v>35.127341000000001</v>
      </c>
      <c r="AK83" s="119">
        <v>6238827</v>
      </c>
      <c r="AL83" s="119">
        <v>1.6166666746139999</v>
      </c>
      <c r="AN83" s="123">
        <f t="shared" si="6"/>
        <v>46250</v>
      </c>
      <c r="AO83" s="124">
        <f t="shared" si="7"/>
        <v>0.37361111111111112</v>
      </c>
      <c r="AQ83" s="125">
        <v>0</v>
      </c>
      <c r="AR83" s="125">
        <v>0</v>
      </c>
      <c r="AS83" s="125">
        <v>0</v>
      </c>
      <c r="AT83" s="125">
        <v>0</v>
      </c>
    </row>
    <row r="84" spans="1:46">
      <c r="A84" s="118" t="s">
        <v>398</v>
      </c>
      <c r="B84" s="119">
        <v>3</v>
      </c>
      <c r="C84" s="119">
        <v>209.9</v>
      </c>
      <c r="D84" s="119">
        <v>210</v>
      </c>
      <c r="E84" s="119">
        <v>24.976900000000001</v>
      </c>
      <c r="F84" s="119">
        <v>25.015899999999998</v>
      </c>
      <c r="G84" s="119">
        <v>1446.24</v>
      </c>
      <c r="H84" s="119">
        <v>1446.5</v>
      </c>
      <c r="I84" s="119">
        <v>1446.73</v>
      </c>
      <c r="J84" s="119">
        <v>1447.14</v>
      </c>
      <c r="K84" s="119">
        <v>1446.36</v>
      </c>
      <c r="L84" s="119">
        <v>1446.7</v>
      </c>
      <c r="M84" s="119">
        <v>1446.21</v>
      </c>
      <c r="N84" s="119">
        <v>1446.38</v>
      </c>
      <c r="O84" s="119">
        <v>0.948264</v>
      </c>
      <c r="P84" s="119">
        <v>2498.9899999999998</v>
      </c>
      <c r="Q84" s="119">
        <v>2500.35</v>
      </c>
      <c r="R84" s="119">
        <v>2498.6799999999998</v>
      </c>
      <c r="S84" s="119">
        <v>2499.42</v>
      </c>
      <c r="T84" s="119">
        <v>2500.04</v>
      </c>
      <c r="U84" s="119">
        <v>2500.16</v>
      </c>
      <c r="V84" s="119">
        <v>2499.42</v>
      </c>
      <c r="W84" s="119">
        <v>2500.2399999999998</v>
      </c>
      <c r="X84" s="119">
        <v>209.9</v>
      </c>
      <c r="Y84" s="119">
        <v>6.5076800000000004E-2</v>
      </c>
      <c r="Z84" s="119">
        <v>-6.6247299999999995E-2</v>
      </c>
      <c r="AA84" s="119">
        <v>-6.2326100000000002E-2</v>
      </c>
      <c r="AB84" s="119">
        <v>-1.6521800000000001E-3</v>
      </c>
      <c r="AC84" s="119">
        <v>-7.6077699999999998E-2</v>
      </c>
      <c r="AD84" s="119">
        <v>-3.7991700000000003E-2</v>
      </c>
      <c r="AE84" s="119">
        <v>-6.0903100000000002E-2</v>
      </c>
      <c r="AF84" s="119">
        <v>-6.3875600000000005E-2</v>
      </c>
      <c r="AG84" s="119" t="s">
        <v>399</v>
      </c>
      <c r="AH84" s="119" t="s">
        <v>173</v>
      </c>
      <c r="AI84" s="119">
        <v>100</v>
      </c>
      <c r="AJ84" s="119">
        <v>35.294153999999999</v>
      </c>
      <c r="AK84" s="119">
        <v>6268454</v>
      </c>
      <c r="AL84" s="119">
        <v>1.6150000095367001</v>
      </c>
      <c r="AN84" s="123">
        <f t="shared" si="6"/>
        <v>46250</v>
      </c>
      <c r="AO84" s="124">
        <f t="shared" si="7"/>
        <v>0.38289351851851849</v>
      </c>
      <c r="AQ84" s="125">
        <v>0</v>
      </c>
      <c r="AR84" s="125">
        <v>0</v>
      </c>
      <c r="AS84" s="125">
        <v>0</v>
      </c>
      <c r="AT84" s="125">
        <v>0</v>
      </c>
    </row>
    <row r="85" spans="1:46">
      <c r="A85" s="118" t="s">
        <v>400</v>
      </c>
      <c r="B85" s="119">
        <v>4</v>
      </c>
      <c r="C85" s="119">
        <v>210.1</v>
      </c>
      <c r="D85" s="119">
        <v>210</v>
      </c>
      <c r="E85" s="119">
        <v>24.986999999999998</v>
      </c>
      <c r="F85" s="119">
        <v>25.021699999999999</v>
      </c>
      <c r="G85" s="119">
        <v>1436.13</v>
      </c>
      <c r="H85" s="119">
        <v>1437.39</v>
      </c>
      <c r="I85" s="119">
        <v>1436.25</v>
      </c>
      <c r="J85" s="119">
        <v>1436.58</v>
      </c>
      <c r="K85" s="119">
        <v>1436.62</v>
      </c>
      <c r="L85" s="119">
        <v>1436.64</v>
      </c>
      <c r="M85" s="119">
        <v>1435.7</v>
      </c>
      <c r="N85" s="119">
        <v>1435.16</v>
      </c>
      <c r="O85" s="119">
        <v>0.94906199999999996</v>
      </c>
      <c r="P85" s="119">
        <v>2499.02</v>
      </c>
      <c r="Q85" s="119">
        <v>2499.65</v>
      </c>
      <c r="R85" s="119">
        <v>2500.0500000000002</v>
      </c>
      <c r="S85" s="119">
        <v>2499.39</v>
      </c>
      <c r="T85" s="119">
        <v>2499.5500000000002</v>
      </c>
      <c r="U85" s="119">
        <v>2499.11</v>
      </c>
      <c r="V85" s="119">
        <v>2500.1</v>
      </c>
      <c r="W85" s="119">
        <v>2500.0100000000002</v>
      </c>
      <c r="X85" s="119">
        <v>210.1</v>
      </c>
      <c r="Y85" s="119">
        <v>6.4265100000000006E-2</v>
      </c>
      <c r="Z85" s="119">
        <v>-6.9917800000000002E-2</v>
      </c>
      <c r="AA85" s="119">
        <v>-6.0635500000000002E-2</v>
      </c>
      <c r="AB85" s="119">
        <v>-1.41866E-3</v>
      </c>
      <c r="AC85" s="119">
        <v>-7.9711500000000005E-2</v>
      </c>
      <c r="AD85" s="119">
        <v>-4.0858999999999999E-2</v>
      </c>
      <c r="AE85" s="119">
        <v>-6.0598899999999997E-2</v>
      </c>
      <c r="AF85" s="119">
        <v>-6.7124500000000004E-2</v>
      </c>
      <c r="AG85" s="119" t="s">
        <v>401</v>
      </c>
      <c r="AH85" s="119" t="s">
        <v>173</v>
      </c>
      <c r="AI85" s="119">
        <v>100</v>
      </c>
      <c r="AJ85" s="119">
        <v>36.394573000000001</v>
      </c>
      <c r="AK85" s="119">
        <v>6463895</v>
      </c>
      <c r="AL85" s="119">
        <v>1.6166666746139999</v>
      </c>
      <c r="AN85" s="123">
        <f t="shared" si="6"/>
        <v>46250</v>
      </c>
      <c r="AO85" s="124">
        <f t="shared" si="7"/>
        <v>0.39215277777777779</v>
      </c>
      <c r="AQ85" s="125">
        <v>0</v>
      </c>
      <c r="AR85" s="125">
        <v>0</v>
      </c>
      <c r="AS85" s="125">
        <v>0</v>
      </c>
      <c r="AT85" s="125">
        <v>0</v>
      </c>
    </row>
    <row r="86" spans="1:46">
      <c r="A86" s="118" t="s">
        <v>402</v>
      </c>
      <c r="B86" s="119">
        <v>5</v>
      </c>
      <c r="C86" s="119">
        <v>210</v>
      </c>
      <c r="D86" s="119">
        <v>210</v>
      </c>
      <c r="E86" s="119">
        <v>24.965299999999999</v>
      </c>
      <c r="F86" s="119">
        <v>25.008700000000001</v>
      </c>
      <c r="G86" s="119">
        <v>1424.33</v>
      </c>
      <c r="H86" s="119">
        <v>1424.31</v>
      </c>
      <c r="I86" s="119">
        <v>1424.71</v>
      </c>
      <c r="J86" s="119">
        <v>1424.41</v>
      </c>
      <c r="K86" s="119">
        <v>1424.81</v>
      </c>
      <c r="L86" s="119">
        <v>1424.38</v>
      </c>
      <c r="M86" s="119">
        <v>1425.02</v>
      </c>
      <c r="N86" s="119">
        <v>1424.27</v>
      </c>
      <c r="O86" s="119">
        <v>0.97283299999999995</v>
      </c>
      <c r="P86" s="119">
        <v>2499.0300000000002</v>
      </c>
      <c r="Q86" s="119">
        <v>2500.02</v>
      </c>
      <c r="R86" s="119">
        <v>2499.9899999999998</v>
      </c>
      <c r="S86" s="119">
        <v>2499.77</v>
      </c>
      <c r="T86" s="119">
        <v>2500.21</v>
      </c>
      <c r="U86" s="119">
        <v>2500.2399999999998</v>
      </c>
      <c r="V86" s="119">
        <v>2499.6</v>
      </c>
      <c r="W86" s="119">
        <v>2500.36</v>
      </c>
      <c r="X86" s="119">
        <v>210.1</v>
      </c>
      <c r="Y86" s="119">
        <v>6.4688399999999993E-2</v>
      </c>
      <c r="Z86" s="119">
        <v>-6.0463000000000003E-2</v>
      </c>
      <c r="AA86" s="119">
        <v>-5.72755E-2</v>
      </c>
      <c r="AB86" s="119">
        <v>7.8381100000000003E-4</v>
      </c>
      <c r="AC86" s="119">
        <v>-7.78948E-2</v>
      </c>
      <c r="AD86" s="119">
        <v>-3.9025799999999999E-2</v>
      </c>
      <c r="AE86" s="119">
        <v>-5.5518600000000001E-2</v>
      </c>
      <c r="AF86" s="119">
        <v>-6.4553100000000002E-2</v>
      </c>
      <c r="AG86" s="119" t="s">
        <v>403</v>
      </c>
      <c r="AH86" s="119" t="s">
        <v>173</v>
      </c>
      <c r="AI86" s="119">
        <v>100</v>
      </c>
      <c r="AJ86" s="119">
        <v>36.474153999999999</v>
      </c>
      <c r="AK86" s="119">
        <v>6478029</v>
      </c>
      <c r="AL86" s="119">
        <v>1.6166666746139999</v>
      </c>
      <c r="AN86" s="123">
        <f t="shared" si="6"/>
        <v>46250</v>
      </c>
      <c r="AO86" s="124">
        <f t="shared" si="7"/>
        <v>0.40144675925925927</v>
      </c>
      <c r="AQ86" s="125">
        <v>0</v>
      </c>
      <c r="AR86" s="125">
        <v>0</v>
      </c>
      <c r="AS86" s="125">
        <v>0</v>
      </c>
      <c r="AT86" s="125">
        <v>0</v>
      </c>
    </row>
    <row r="87" spans="1:46">
      <c r="A87" s="118" t="s">
        <v>404</v>
      </c>
      <c r="B87" s="119">
        <v>6</v>
      </c>
      <c r="C87" s="119">
        <v>209.9</v>
      </c>
      <c r="D87" s="119">
        <v>209.9</v>
      </c>
      <c r="E87" s="119">
        <v>24.926200000000001</v>
      </c>
      <c r="F87" s="119">
        <v>25.020299999999999</v>
      </c>
      <c r="G87" s="119">
        <v>1440.24</v>
      </c>
      <c r="H87" s="119">
        <v>1440.21</v>
      </c>
      <c r="I87" s="119">
        <v>1439.9</v>
      </c>
      <c r="J87" s="119">
        <v>1438.9</v>
      </c>
      <c r="K87" s="119">
        <v>1439.72</v>
      </c>
      <c r="L87" s="119">
        <v>1439.78</v>
      </c>
      <c r="M87" s="119">
        <v>1440.01</v>
      </c>
      <c r="N87" s="119">
        <v>1439.65</v>
      </c>
      <c r="O87" s="119">
        <v>0.95683099999999999</v>
      </c>
      <c r="P87" s="119">
        <v>2499.67</v>
      </c>
      <c r="Q87" s="119">
        <v>2499.38</v>
      </c>
      <c r="R87" s="119">
        <v>2500.14</v>
      </c>
      <c r="S87" s="119">
        <v>2500.4899999999998</v>
      </c>
      <c r="T87" s="119">
        <v>2499.58</v>
      </c>
      <c r="U87" s="119">
        <v>2500.02</v>
      </c>
      <c r="V87" s="119">
        <v>2499.9899999999998</v>
      </c>
      <c r="W87" s="119">
        <v>2500.46</v>
      </c>
      <c r="X87" s="119">
        <v>210</v>
      </c>
      <c r="Y87" s="119">
        <v>6.6437999999999997E-2</v>
      </c>
      <c r="Z87" s="119">
        <v>-6.3933799999999999E-2</v>
      </c>
      <c r="AA87" s="119">
        <v>-5.76249E-2</v>
      </c>
      <c r="AB87" s="119">
        <v>2.1583700000000002E-3</v>
      </c>
      <c r="AC87" s="119">
        <v>-7.4426599999999996E-2</v>
      </c>
      <c r="AD87" s="119">
        <v>-3.7829300000000003E-2</v>
      </c>
      <c r="AE87" s="119">
        <v>-5.14019E-2</v>
      </c>
      <c r="AF87" s="119">
        <v>-6.3742400000000005E-2</v>
      </c>
      <c r="AG87" s="119" t="s">
        <v>405</v>
      </c>
      <c r="AH87" s="119" t="s">
        <v>173</v>
      </c>
      <c r="AI87" s="119">
        <v>100</v>
      </c>
      <c r="AJ87" s="119">
        <v>35.673774999999999</v>
      </c>
      <c r="AK87" s="119">
        <v>6335877</v>
      </c>
      <c r="AL87" s="119">
        <v>1.6166666746139999</v>
      </c>
      <c r="AN87" s="123">
        <f t="shared" si="6"/>
        <v>46250</v>
      </c>
      <c r="AO87" s="124">
        <f t="shared" si="7"/>
        <v>0.41071759259259261</v>
      </c>
      <c r="AQ87" s="125">
        <v>0</v>
      </c>
      <c r="AR87" s="125">
        <v>0</v>
      </c>
      <c r="AS87" s="125">
        <v>0</v>
      </c>
      <c r="AT87" s="125">
        <v>0</v>
      </c>
    </row>
    <row r="88" spans="1:46">
      <c r="A88" s="118" t="s">
        <v>406</v>
      </c>
      <c r="B88" s="119">
        <v>7</v>
      </c>
      <c r="C88" s="119">
        <v>210.1</v>
      </c>
      <c r="D88" s="119">
        <v>210</v>
      </c>
      <c r="E88" s="119">
        <v>24.9175</v>
      </c>
      <c r="F88" s="119">
        <v>25.0275</v>
      </c>
      <c r="G88" s="119">
        <v>1445.8</v>
      </c>
      <c r="H88" s="119">
        <v>1445</v>
      </c>
      <c r="I88" s="119">
        <v>1444.86</v>
      </c>
      <c r="J88" s="119">
        <v>1444.73</v>
      </c>
      <c r="K88" s="119">
        <v>1444.75</v>
      </c>
      <c r="L88" s="119">
        <v>1444.66</v>
      </c>
      <c r="M88" s="119">
        <v>1444.8</v>
      </c>
      <c r="N88" s="119">
        <v>1444.75</v>
      </c>
      <c r="O88" s="119">
        <v>0.95654899999999998</v>
      </c>
      <c r="P88" s="119">
        <v>2499.9899999999998</v>
      </c>
      <c r="Q88" s="119">
        <v>2499.9299999999998</v>
      </c>
      <c r="R88" s="119">
        <v>2500.14</v>
      </c>
      <c r="S88" s="119">
        <v>2499.81</v>
      </c>
      <c r="T88" s="119">
        <v>2499.61</v>
      </c>
      <c r="U88" s="119">
        <v>2499.58</v>
      </c>
      <c r="V88" s="119">
        <v>2500.14</v>
      </c>
      <c r="W88" s="119">
        <v>2499.5300000000002</v>
      </c>
      <c r="X88" s="119">
        <v>210.2</v>
      </c>
      <c r="Y88" s="119">
        <v>6.2885700000000003E-2</v>
      </c>
      <c r="Z88" s="119">
        <v>-6.0949700000000002E-2</v>
      </c>
      <c r="AA88" s="119">
        <v>-6.1677099999999999E-2</v>
      </c>
      <c r="AB88" s="119">
        <v>2.5785299999999999E-3</v>
      </c>
      <c r="AC88" s="119">
        <v>-7.6469800000000004E-2</v>
      </c>
      <c r="AD88" s="119">
        <v>-4.1225299999999999E-2</v>
      </c>
      <c r="AE88" s="119">
        <v>-4.9316899999999997E-2</v>
      </c>
      <c r="AF88" s="119">
        <v>-6.4602099999999996E-2</v>
      </c>
      <c r="AG88" s="119" t="s">
        <v>407</v>
      </c>
      <c r="AH88" s="119" t="s">
        <v>173</v>
      </c>
      <c r="AI88" s="119">
        <v>100</v>
      </c>
      <c r="AJ88" s="119">
        <v>36.312525999999998</v>
      </c>
      <c r="AK88" s="119">
        <v>6449323</v>
      </c>
      <c r="AL88" s="119">
        <v>1.6166666746139999</v>
      </c>
      <c r="AN88" s="123">
        <f t="shared" si="6"/>
        <v>46250</v>
      </c>
      <c r="AO88" s="124">
        <f t="shared" si="7"/>
        <v>0.41998842592592595</v>
      </c>
      <c r="AQ88" s="125">
        <v>0</v>
      </c>
      <c r="AR88" s="125">
        <v>0</v>
      </c>
      <c r="AS88" s="125">
        <v>0</v>
      </c>
      <c r="AT88" s="125">
        <v>0</v>
      </c>
    </row>
    <row r="89" spans="1:46">
      <c r="A89" s="118" t="s">
        <v>408</v>
      </c>
      <c r="B89" s="119">
        <v>8</v>
      </c>
      <c r="C89" s="119">
        <v>210</v>
      </c>
      <c r="D89" s="119">
        <v>210</v>
      </c>
      <c r="E89" s="119">
        <v>24.9407</v>
      </c>
      <c r="F89" s="119">
        <v>25.020299999999999</v>
      </c>
      <c r="G89" s="119">
        <v>1429.65</v>
      </c>
      <c r="H89" s="119">
        <v>1430.26</v>
      </c>
      <c r="I89" s="119">
        <v>1430.24</v>
      </c>
      <c r="J89" s="119">
        <v>1428.78</v>
      </c>
      <c r="K89" s="119">
        <v>1430.7</v>
      </c>
      <c r="L89" s="119">
        <v>1429.98</v>
      </c>
      <c r="M89" s="119">
        <v>1430.63</v>
      </c>
      <c r="N89" s="119">
        <v>1431.18</v>
      </c>
      <c r="O89" s="119">
        <v>0.95095099999999999</v>
      </c>
      <c r="P89" s="119">
        <v>2498.52</v>
      </c>
      <c r="Q89" s="119">
        <v>2499.7600000000002</v>
      </c>
      <c r="R89" s="119">
        <v>2500.1</v>
      </c>
      <c r="S89" s="119">
        <v>2500.0300000000002</v>
      </c>
      <c r="T89" s="119">
        <v>2500.38</v>
      </c>
      <c r="U89" s="119">
        <v>2499.56</v>
      </c>
      <c r="V89" s="119">
        <v>2501.04</v>
      </c>
      <c r="W89" s="119">
        <v>2499.09</v>
      </c>
      <c r="X89" s="119">
        <v>210.1</v>
      </c>
      <c r="Y89" s="119">
        <v>6.2760700000000003E-2</v>
      </c>
      <c r="Z89" s="119">
        <v>-6.2040900000000003E-2</v>
      </c>
      <c r="AA89" s="119">
        <v>-6.1341399999999997E-2</v>
      </c>
      <c r="AB89" s="119">
        <v>-4.2149100000000002E-4</v>
      </c>
      <c r="AC89" s="119">
        <v>-7.9171400000000003E-2</v>
      </c>
      <c r="AD89" s="119">
        <v>-3.8820599999999997E-2</v>
      </c>
      <c r="AE89" s="119">
        <v>-8.0423400000000006E-2</v>
      </c>
      <c r="AF89" s="119">
        <v>-7.0719500000000005E-2</v>
      </c>
      <c r="AG89" s="119" t="s">
        <v>409</v>
      </c>
      <c r="AH89" s="119" t="s">
        <v>173</v>
      </c>
      <c r="AI89" s="119">
        <v>100</v>
      </c>
      <c r="AJ89" s="119">
        <v>35.749831</v>
      </c>
      <c r="AK89" s="119">
        <v>6349385</v>
      </c>
      <c r="AL89" s="119">
        <v>1.6150000095367001</v>
      </c>
      <c r="AN89" s="123">
        <f t="shared" si="6"/>
        <v>46250</v>
      </c>
      <c r="AO89" s="124">
        <f t="shared" si="7"/>
        <v>0.42924768518518519</v>
      </c>
      <c r="AQ89" s="125">
        <v>0</v>
      </c>
      <c r="AR89" s="125">
        <v>0</v>
      </c>
      <c r="AS89" s="125">
        <v>0</v>
      </c>
      <c r="AT89" s="125">
        <v>0</v>
      </c>
    </row>
    <row r="90" spans="1:46">
      <c r="A90" s="118" t="s">
        <v>410</v>
      </c>
      <c r="B90" s="119">
        <v>1</v>
      </c>
      <c r="C90" s="119">
        <v>210</v>
      </c>
      <c r="D90" s="119">
        <v>210</v>
      </c>
      <c r="E90" s="119">
        <v>25.011600000000001</v>
      </c>
      <c r="F90" s="119">
        <v>25.023099999999999</v>
      </c>
      <c r="G90" s="119">
        <v>1420.79</v>
      </c>
      <c r="H90" s="119">
        <v>1421.55</v>
      </c>
      <c r="I90" s="119">
        <v>1420.81</v>
      </c>
      <c r="J90" s="119">
        <v>1420.79</v>
      </c>
      <c r="K90" s="119">
        <v>1421.19</v>
      </c>
      <c r="L90" s="119">
        <v>1420.81</v>
      </c>
      <c r="M90" s="119">
        <v>1420.93</v>
      </c>
      <c r="N90" s="119">
        <v>1420.87</v>
      </c>
      <c r="O90" s="119">
        <v>0.93859199999999998</v>
      </c>
      <c r="P90" s="119">
        <v>2498.27</v>
      </c>
      <c r="Q90" s="119">
        <v>2500.0100000000002</v>
      </c>
      <c r="R90" s="119">
        <v>2500.7600000000002</v>
      </c>
      <c r="S90" s="119">
        <v>2499.7399999999998</v>
      </c>
      <c r="T90" s="119">
        <v>2500.19</v>
      </c>
      <c r="U90" s="119">
        <v>2499.37</v>
      </c>
      <c r="V90" s="119">
        <v>2500.79</v>
      </c>
      <c r="W90" s="119">
        <v>2499.27</v>
      </c>
      <c r="X90" s="119">
        <v>209.9</v>
      </c>
      <c r="Y90" s="119">
        <v>6.3956200000000005E-2</v>
      </c>
      <c r="Z90" s="119">
        <v>-6.5923099999999998E-2</v>
      </c>
      <c r="AA90" s="119">
        <v>-6.019E-2</v>
      </c>
      <c r="AB90" s="119">
        <v>-1.41522E-3</v>
      </c>
      <c r="AC90" s="119">
        <v>-7.8480099999999997E-2</v>
      </c>
      <c r="AD90" s="119">
        <v>-3.9635700000000003E-2</v>
      </c>
      <c r="AE90" s="119">
        <v>-5.3156200000000001E-2</v>
      </c>
      <c r="AF90" s="119">
        <v>-6.3996399999999995E-2</v>
      </c>
      <c r="AG90" s="119" t="s">
        <v>411</v>
      </c>
      <c r="AH90" s="119" t="s">
        <v>173</v>
      </c>
      <c r="AI90" s="119">
        <v>100</v>
      </c>
      <c r="AJ90" s="119">
        <v>36.854388</v>
      </c>
      <c r="AK90" s="119">
        <v>6545561</v>
      </c>
      <c r="AL90" s="119">
        <v>1.6150000095367001</v>
      </c>
      <c r="AN90" s="123">
        <f t="shared" si="6"/>
        <v>46250</v>
      </c>
      <c r="AO90" s="124">
        <f t="shared" si="7"/>
        <v>0.43851851851851853</v>
      </c>
      <c r="AQ90" s="125">
        <v>0</v>
      </c>
      <c r="AR90" s="125">
        <v>0</v>
      </c>
      <c r="AS90" s="125">
        <v>0</v>
      </c>
      <c r="AT90" s="125">
        <v>0</v>
      </c>
    </row>
    <row r="91" spans="1:46">
      <c r="A91" s="118" t="s">
        <v>412</v>
      </c>
      <c r="B91" s="119">
        <v>2</v>
      </c>
      <c r="C91" s="119">
        <v>210</v>
      </c>
      <c r="D91" s="119">
        <v>210</v>
      </c>
      <c r="E91" s="119">
        <v>25.047699999999999</v>
      </c>
      <c r="F91" s="119">
        <v>25.021699999999999</v>
      </c>
      <c r="G91" s="119">
        <v>1407.93</v>
      </c>
      <c r="H91" s="119">
        <v>1407.6</v>
      </c>
      <c r="I91" s="119">
        <v>1407.57</v>
      </c>
      <c r="J91" s="119">
        <v>1407.81</v>
      </c>
      <c r="K91" s="119">
        <v>1407.74</v>
      </c>
      <c r="L91" s="119">
        <v>1407.31</v>
      </c>
      <c r="M91" s="119">
        <v>1407.41</v>
      </c>
      <c r="N91" s="119">
        <v>1408.09</v>
      </c>
      <c r="O91" s="119">
        <v>0.93180600000000002</v>
      </c>
      <c r="P91" s="119">
        <v>2498.8200000000002</v>
      </c>
      <c r="Q91" s="119">
        <v>2499.14</v>
      </c>
      <c r="R91" s="119">
        <v>2500.02</v>
      </c>
      <c r="S91" s="119">
        <v>2499.77</v>
      </c>
      <c r="T91" s="119">
        <v>2499.9899999999998</v>
      </c>
      <c r="U91" s="119">
        <v>2500.84</v>
      </c>
      <c r="V91" s="119">
        <v>2500.11</v>
      </c>
      <c r="W91" s="119">
        <v>2500.1799999999998</v>
      </c>
      <c r="X91" s="119">
        <v>210.2</v>
      </c>
      <c r="Y91" s="119">
        <v>6.4640400000000001E-2</v>
      </c>
      <c r="Z91" s="119">
        <v>-6.1134300000000003E-2</v>
      </c>
      <c r="AA91" s="119">
        <v>-5.7228500000000002E-2</v>
      </c>
      <c r="AB91" s="119">
        <v>4.18375E-3</v>
      </c>
      <c r="AC91" s="119">
        <v>-7.5771000000000005E-2</v>
      </c>
      <c r="AD91" s="119">
        <v>-4.0190200000000002E-2</v>
      </c>
      <c r="AE91" s="119">
        <v>-9.1849100000000003E-2</v>
      </c>
      <c r="AF91" s="119">
        <v>-7.0415000000000005E-2</v>
      </c>
      <c r="AG91" s="119" t="s">
        <v>413</v>
      </c>
      <c r="AH91" s="119" t="s">
        <v>173</v>
      </c>
      <c r="AI91" s="119">
        <v>100</v>
      </c>
      <c r="AJ91" s="119">
        <v>35.053632999999998</v>
      </c>
      <c r="AK91" s="119">
        <v>6225736</v>
      </c>
      <c r="AL91" s="119">
        <v>1.6150000095367001</v>
      </c>
      <c r="AN91" s="123">
        <f t="shared" si="6"/>
        <v>46250</v>
      </c>
      <c r="AO91" s="124">
        <f t="shared" si="7"/>
        <v>0.44778935185185187</v>
      </c>
      <c r="AQ91" s="125">
        <v>0</v>
      </c>
      <c r="AR91" s="125">
        <v>0</v>
      </c>
      <c r="AS91" s="125">
        <v>0</v>
      </c>
      <c r="AT91" s="125">
        <v>0</v>
      </c>
    </row>
    <row r="92" spans="1:46">
      <c r="A92" s="118" t="s">
        <v>414</v>
      </c>
      <c r="B92" s="119">
        <v>3</v>
      </c>
      <c r="C92" s="119">
        <v>210</v>
      </c>
      <c r="D92" s="119">
        <v>210.1</v>
      </c>
      <c r="E92" s="119">
        <v>25.101299999999998</v>
      </c>
      <c r="F92" s="119">
        <v>25.046299999999999</v>
      </c>
      <c r="G92" s="119">
        <v>1439.18</v>
      </c>
      <c r="H92" s="119">
        <v>1439.71</v>
      </c>
      <c r="I92" s="119">
        <v>1439.31</v>
      </c>
      <c r="J92" s="119">
        <v>1439.95</v>
      </c>
      <c r="K92" s="119">
        <v>1439.5</v>
      </c>
      <c r="L92" s="119">
        <v>1439.24</v>
      </c>
      <c r="M92" s="119">
        <v>1439.48</v>
      </c>
      <c r="N92" s="119">
        <v>1438.31</v>
      </c>
      <c r="O92" s="119">
        <v>0.89876800000000001</v>
      </c>
      <c r="P92" s="119">
        <v>2499.39</v>
      </c>
      <c r="Q92" s="119">
        <v>2499.6999999999998</v>
      </c>
      <c r="R92" s="119">
        <v>2500.12</v>
      </c>
      <c r="S92" s="119">
        <v>2499.94</v>
      </c>
      <c r="T92" s="119">
        <v>2500.1799999999998</v>
      </c>
      <c r="U92" s="119">
        <v>2499.71</v>
      </c>
      <c r="V92" s="119">
        <v>2500.4499999999998</v>
      </c>
      <c r="W92" s="119">
        <v>2499.27</v>
      </c>
      <c r="X92" s="119">
        <v>209.9</v>
      </c>
      <c r="Y92" s="119">
        <v>6.3570199999999993E-2</v>
      </c>
      <c r="Z92" s="119">
        <v>-6.7558199999999999E-2</v>
      </c>
      <c r="AA92" s="119">
        <v>-5.6532800000000001E-2</v>
      </c>
      <c r="AB92" s="119">
        <v>-1.8123600000000001E-3</v>
      </c>
      <c r="AC92" s="119">
        <v>-7.7400899999999995E-2</v>
      </c>
      <c r="AD92" s="119">
        <v>-4.3260800000000002E-2</v>
      </c>
      <c r="AE92" s="119">
        <v>-7.8000100000000003E-2</v>
      </c>
      <c r="AF92" s="119">
        <v>-6.7399799999999996E-2</v>
      </c>
      <c r="AG92" s="119" t="s">
        <v>415</v>
      </c>
      <c r="AH92" s="119" t="s">
        <v>173</v>
      </c>
      <c r="AI92" s="119">
        <v>100</v>
      </c>
      <c r="AJ92" s="119">
        <v>35.156585999999997</v>
      </c>
      <c r="AK92" s="119">
        <v>6244021</v>
      </c>
      <c r="AL92" s="119">
        <v>1.6166666746139999</v>
      </c>
      <c r="AN92" s="123">
        <f t="shared" si="6"/>
        <v>46250</v>
      </c>
      <c r="AO92" s="124">
        <f t="shared" si="7"/>
        <v>0.45707175925925925</v>
      </c>
      <c r="AQ92" s="125">
        <v>0</v>
      </c>
      <c r="AR92" s="125">
        <v>0</v>
      </c>
      <c r="AS92" s="125">
        <v>0</v>
      </c>
      <c r="AT92" s="125">
        <v>0</v>
      </c>
    </row>
    <row r="93" spans="1:46">
      <c r="A93" s="118" t="s">
        <v>416</v>
      </c>
      <c r="B93" s="119">
        <v>4</v>
      </c>
      <c r="C93" s="119">
        <v>210</v>
      </c>
      <c r="D93" s="119">
        <v>210.1</v>
      </c>
      <c r="E93" s="119">
        <v>25.108499999999999</v>
      </c>
      <c r="F93" s="119">
        <v>25.014500000000002</v>
      </c>
      <c r="G93" s="119">
        <v>1422.07</v>
      </c>
      <c r="H93" s="119">
        <v>1422.4</v>
      </c>
      <c r="I93" s="119">
        <v>1422.32</v>
      </c>
      <c r="J93" s="119">
        <v>1422.36</v>
      </c>
      <c r="K93" s="119">
        <v>1422.28</v>
      </c>
      <c r="L93" s="119">
        <v>1422.49</v>
      </c>
      <c r="M93" s="119">
        <v>1422.21</v>
      </c>
      <c r="N93" s="119">
        <v>1422.6</v>
      </c>
      <c r="O93" s="119">
        <v>0.93308800000000003</v>
      </c>
      <c r="P93" s="119">
        <v>2500.73</v>
      </c>
      <c r="Q93" s="119">
        <v>2499.5500000000002</v>
      </c>
      <c r="R93" s="119">
        <v>2499.9499999999998</v>
      </c>
      <c r="S93" s="119">
        <v>2500.02</v>
      </c>
      <c r="T93" s="119">
        <v>2499.9699999999998</v>
      </c>
      <c r="U93" s="119">
        <v>2499.4299999999998</v>
      </c>
      <c r="V93" s="119">
        <v>2500.75</v>
      </c>
      <c r="W93" s="119">
        <v>2500.33</v>
      </c>
      <c r="X93" s="119">
        <v>210.1</v>
      </c>
      <c r="Y93" s="119">
        <v>6.2919500000000003E-2</v>
      </c>
      <c r="Z93" s="119">
        <v>-6.4130199999999998E-2</v>
      </c>
      <c r="AA93" s="119">
        <v>-6.22932E-2</v>
      </c>
      <c r="AB93" s="119">
        <v>-2.6125699999999998E-4</v>
      </c>
      <c r="AC93" s="119">
        <v>-7.6620199999999999E-2</v>
      </c>
      <c r="AD93" s="119">
        <v>-4.3566399999999998E-2</v>
      </c>
      <c r="AE93" s="119">
        <v>-9.2686900000000003E-2</v>
      </c>
      <c r="AF93" s="119">
        <v>-7.3565000000000005E-2</v>
      </c>
      <c r="AG93" s="119" t="s">
        <v>417</v>
      </c>
      <c r="AH93" s="119" t="s">
        <v>173</v>
      </c>
      <c r="AI93" s="119">
        <v>100</v>
      </c>
      <c r="AJ93" s="119">
        <v>36.407984999999996</v>
      </c>
      <c r="AK93" s="119">
        <v>6466277</v>
      </c>
      <c r="AL93" s="119">
        <v>1.6150000095367001</v>
      </c>
      <c r="AN93" s="123">
        <f t="shared" si="6"/>
        <v>46250</v>
      </c>
      <c r="AO93" s="124">
        <f t="shared" si="7"/>
        <v>0.46634259259259259</v>
      </c>
      <c r="AQ93" s="125">
        <v>0</v>
      </c>
      <c r="AR93" s="125">
        <v>0</v>
      </c>
      <c r="AS93" s="125">
        <v>0</v>
      </c>
      <c r="AT93" s="125">
        <v>0</v>
      </c>
    </row>
    <row r="94" spans="1:46">
      <c r="A94" s="118" t="s">
        <v>418</v>
      </c>
      <c r="B94" s="119">
        <v>5</v>
      </c>
      <c r="C94" s="119">
        <v>210.1</v>
      </c>
      <c r="D94" s="119">
        <v>210</v>
      </c>
      <c r="E94" s="119">
        <v>25.095500000000001</v>
      </c>
      <c r="F94" s="119">
        <v>25.023099999999999</v>
      </c>
      <c r="G94" s="119">
        <v>1412.91</v>
      </c>
      <c r="H94" s="119">
        <v>1412.71</v>
      </c>
      <c r="I94" s="119">
        <v>1414.13</v>
      </c>
      <c r="J94" s="119">
        <v>1414.93</v>
      </c>
      <c r="K94" s="119">
        <v>1412.69</v>
      </c>
      <c r="L94" s="119">
        <v>1413.71</v>
      </c>
      <c r="M94" s="119">
        <v>1414.11</v>
      </c>
      <c r="N94" s="119">
        <v>1412.96</v>
      </c>
      <c r="O94" s="119">
        <v>1.0002800000000001</v>
      </c>
      <c r="P94" s="119">
        <v>2499.69</v>
      </c>
      <c r="Q94" s="119">
        <v>2500.42</v>
      </c>
      <c r="R94" s="119">
        <v>2499.59</v>
      </c>
      <c r="S94" s="119">
        <v>2499.4899999999998</v>
      </c>
      <c r="T94" s="119">
        <v>2499.86</v>
      </c>
      <c r="U94" s="119">
        <v>2500.16</v>
      </c>
      <c r="V94" s="119">
        <v>2498.89</v>
      </c>
      <c r="W94" s="119">
        <v>2500.4</v>
      </c>
      <c r="X94" s="119">
        <v>209.9</v>
      </c>
      <c r="Y94" s="119">
        <v>6.3479999999999995E-2</v>
      </c>
      <c r="Z94" s="119">
        <v>-6.1600799999999997E-2</v>
      </c>
      <c r="AA94" s="119">
        <v>-6.0735900000000002E-2</v>
      </c>
      <c r="AB94" s="119">
        <v>-3.3666600000000001E-3</v>
      </c>
      <c r="AC94" s="119">
        <v>-8.0206399999999997E-2</v>
      </c>
      <c r="AD94" s="119">
        <v>-3.9320099999999997E-2</v>
      </c>
      <c r="AE94" s="119">
        <v>-0.14075599999999999</v>
      </c>
      <c r="AF94" s="119">
        <v>-7.45976E-2</v>
      </c>
      <c r="AG94" s="119" t="s">
        <v>419</v>
      </c>
      <c r="AH94" s="119" t="s">
        <v>173</v>
      </c>
      <c r="AI94" s="119">
        <v>100</v>
      </c>
      <c r="AJ94" s="119">
        <v>36.392766000000002</v>
      </c>
      <c r="AK94" s="119">
        <v>6463574</v>
      </c>
      <c r="AL94" s="119">
        <v>1.6150000095367001</v>
      </c>
      <c r="AN94" s="123">
        <f t="shared" si="6"/>
        <v>46250</v>
      </c>
      <c r="AO94" s="124">
        <f t="shared" si="7"/>
        <v>0.47561342592592593</v>
      </c>
      <c r="AQ94" s="125">
        <v>0</v>
      </c>
      <c r="AR94" s="125">
        <v>0</v>
      </c>
      <c r="AS94" s="125">
        <v>0</v>
      </c>
      <c r="AT94" s="125">
        <v>0</v>
      </c>
    </row>
    <row r="95" spans="1:46">
      <c r="A95" s="118" t="s">
        <v>420</v>
      </c>
      <c r="B95" s="119">
        <v>6</v>
      </c>
      <c r="C95" s="119">
        <v>210.1</v>
      </c>
      <c r="D95" s="119">
        <v>210</v>
      </c>
      <c r="E95" s="119">
        <v>25.068000000000001</v>
      </c>
      <c r="F95" s="119">
        <v>25.0275</v>
      </c>
      <c r="G95" s="119">
        <v>1423.24</v>
      </c>
      <c r="H95" s="119">
        <v>1423.27</v>
      </c>
      <c r="I95" s="119">
        <v>1423.22</v>
      </c>
      <c r="J95" s="119">
        <v>1423.98</v>
      </c>
      <c r="K95" s="119">
        <v>1423.42</v>
      </c>
      <c r="L95" s="119">
        <v>1423.36</v>
      </c>
      <c r="M95" s="119">
        <v>1423.5</v>
      </c>
      <c r="N95" s="119">
        <v>1423.85</v>
      </c>
      <c r="O95" s="119">
        <v>0.97227600000000003</v>
      </c>
      <c r="P95" s="119">
        <v>2499.98</v>
      </c>
      <c r="Q95" s="119">
        <v>2499.9899999999998</v>
      </c>
      <c r="R95" s="119">
        <v>2500.13</v>
      </c>
      <c r="S95" s="119">
        <v>2499.86</v>
      </c>
      <c r="T95" s="119">
        <v>2499.96</v>
      </c>
      <c r="U95" s="119">
        <v>2500.9699999999998</v>
      </c>
      <c r="V95" s="119">
        <v>2500.0500000000002</v>
      </c>
      <c r="W95" s="119">
        <v>2499.6999999999998</v>
      </c>
      <c r="X95" s="119">
        <v>210.1</v>
      </c>
      <c r="Y95" s="119">
        <v>6.10693E-2</v>
      </c>
      <c r="Z95" s="119">
        <v>-6.7627900000000005E-2</v>
      </c>
      <c r="AA95" s="119">
        <v>-6.4707299999999995E-2</v>
      </c>
      <c r="AB95" s="119">
        <v>-3.1727299999999999E-3</v>
      </c>
      <c r="AC95" s="119">
        <v>-7.4390200000000004E-2</v>
      </c>
      <c r="AD95" s="119">
        <v>-3.9796400000000003E-2</v>
      </c>
      <c r="AE95" s="119">
        <v>-0.117894</v>
      </c>
      <c r="AF95" s="119">
        <v>-7.3330500000000007E-2</v>
      </c>
      <c r="AG95" s="119" t="s">
        <v>421</v>
      </c>
      <c r="AH95" s="119" t="s">
        <v>173</v>
      </c>
      <c r="AI95" s="119">
        <v>100</v>
      </c>
      <c r="AJ95" s="119">
        <v>35.453625000000002</v>
      </c>
      <c r="AK95" s="119">
        <v>6296777</v>
      </c>
      <c r="AL95" s="119">
        <v>1.6166666746139999</v>
      </c>
      <c r="AN95" s="123">
        <f t="shared" si="6"/>
        <v>46250</v>
      </c>
      <c r="AO95" s="124">
        <f t="shared" si="7"/>
        <v>0.48487268518518517</v>
      </c>
      <c r="AQ95" s="125">
        <v>0</v>
      </c>
      <c r="AR95" s="125">
        <v>0</v>
      </c>
      <c r="AS95" s="125">
        <v>0</v>
      </c>
      <c r="AT95" s="125">
        <v>0</v>
      </c>
    </row>
    <row r="96" spans="1:46">
      <c r="A96" s="118" t="s">
        <v>422</v>
      </c>
      <c r="B96" s="119">
        <v>7</v>
      </c>
      <c r="C96" s="119">
        <v>210</v>
      </c>
      <c r="D96" s="119">
        <v>210</v>
      </c>
      <c r="E96" s="119">
        <v>25.040500000000002</v>
      </c>
      <c r="F96" s="119">
        <v>25.014500000000002</v>
      </c>
      <c r="G96" s="119">
        <v>1431.13</v>
      </c>
      <c r="H96" s="119">
        <v>1431.46</v>
      </c>
      <c r="I96" s="119">
        <v>1431.27</v>
      </c>
      <c r="J96" s="119">
        <v>1432.29</v>
      </c>
      <c r="K96" s="119">
        <v>1431.31</v>
      </c>
      <c r="L96" s="119">
        <v>1430.75</v>
      </c>
      <c r="M96" s="119">
        <v>1431.22</v>
      </c>
      <c r="N96" s="119">
        <v>1430.23</v>
      </c>
      <c r="O96" s="119">
        <v>0.97036</v>
      </c>
      <c r="P96" s="119">
        <v>2499.75</v>
      </c>
      <c r="Q96" s="119">
        <v>2499.86</v>
      </c>
      <c r="R96" s="119">
        <v>2499.4499999999998</v>
      </c>
      <c r="S96" s="119">
        <v>2499.61</v>
      </c>
      <c r="T96" s="119">
        <v>2500.5100000000002</v>
      </c>
      <c r="U96" s="119">
        <v>2499.38</v>
      </c>
      <c r="V96" s="119">
        <v>2499.96</v>
      </c>
      <c r="W96" s="119">
        <v>2500.9899999999998</v>
      </c>
      <c r="X96" s="119">
        <v>209.9</v>
      </c>
      <c r="Y96" s="119">
        <v>6.3254199999999997E-2</v>
      </c>
      <c r="Z96" s="119">
        <v>-6.1685200000000003E-2</v>
      </c>
      <c r="AA96" s="119">
        <v>-6.6290199999999994E-2</v>
      </c>
      <c r="AB96" s="119">
        <v>-7.5029000000000003E-4</v>
      </c>
      <c r="AC96" s="119">
        <v>-8.1037700000000004E-2</v>
      </c>
      <c r="AD96" s="119">
        <v>-4.1301699999999997E-2</v>
      </c>
      <c r="AE96" s="119">
        <v>-0.13337199999999999</v>
      </c>
      <c r="AF96" s="119">
        <v>-7.3377700000000004E-2</v>
      </c>
      <c r="AG96" s="119" t="s">
        <v>423</v>
      </c>
      <c r="AH96" s="119" t="s">
        <v>173</v>
      </c>
      <c r="AI96" s="119">
        <v>100</v>
      </c>
      <c r="AJ96" s="119">
        <v>36.232742999999999</v>
      </c>
      <c r="AK96" s="119">
        <v>6435153</v>
      </c>
      <c r="AL96" s="119">
        <v>1.6150000095367001</v>
      </c>
      <c r="AN96" s="123">
        <f t="shared" si="6"/>
        <v>46250</v>
      </c>
      <c r="AO96" s="124">
        <f t="shared" si="7"/>
        <v>0.49416666666666664</v>
      </c>
      <c r="AQ96" s="125">
        <v>0</v>
      </c>
      <c r="AR96" s="125">
        <v>0</v>
      </c>
      <c r="AS96" s="125">
        <v>0</v>
      </c>
      <c r="AT96" s="125">
        <v>0</v>
      </c>
    </row>
    <row r="97" spans="1:46">
      <c r="A97" s="118" t="s">
        <v>424</v>
      </c>
      <c r="B97" s="119">
        <v>8</v>
      </c>
      <c r="C97" s="119">
        <v>210</v>
      </c>
      <c r="D97" s="119">
        <v>210</v>
      </c>
      <c r="E97" s="119">
        <v>24.979700000000001</v>
      </c>
      <c r="F97" s="119">
        <v>25.014500000000002</v>
      </c>
      <c r="G97" s="119">
        <v>1474.17</v>
      </c>
      <c r="H97" s="119">
        <v>1473.83</v>
      </c>
      <c r="I97" s="119">
        <v>1474.06</v>
      </c>
      <c r="J97" s="119">
        <v>1474.02</v>
      </c>
      <c r="K97" s="119">
        <v>1474.31</v>
      </c>
      <c r="L97" s="119">
        <v>1475.19</v>
      </c>
      <c r="M97" s="119">
        <v>1473.63</v>
      </c>
      <c r="N97" s="119">
        <v>1473.44</v>
      </c>
      <c r="O97" s="119">
        <v>0.88490400000000002</v>
      </c>
      <c r="P97" s="119">
        <v>2500.29</v>
      </c>
      <c r="Q97" s="119">
        <v>2499.98</v>
      </c>
      <c r="R97" s="119">
        <v>2499.64</v>
      </c>
      <c r="S97" s="119">
        <v>2500.23</v>
      </c>
      <c r="T97" s="119">
        <v>2499.9899999999998</v>
      </c>
      <c r="U97" s="119">
        <v>2499.86</v>
      </c>
      <c r="V97" s="119">
        <v>2500.12</v>
      </c>
      <c r="W97" s="119">
        <v>2499.5500000000002</v>
      </c>
      <c r="X97" s="119">
        <v>210</v>
      </c>
      <c r="Y97" s="119">
        <v>6.6324300000000003E-2</v>
      </c>
      <c r="Z97" s="119">
        <v>-6.10377E-2</v>
      </c>
      <c r="AA97" s="119">
        <v>-6.0438899999999997E-2</v>
      </c>
      <c r="AB97" s="119">
        <v>5.8047400000000001E-3</v>
      </c>
      <c r="AC97" s="119">
        <v>-7.5552800000000003E-2</v>
      </c>
      <c r="AD97" s="119">
        <v>-4.0343400000000001E-2</v>
      </c>
      <c r="AE97" s="119">
        <v>-5.2678799999999998E-2</v>
      </c>
      <c r="AF97" s="119">
        <v>-6.3217400000000007E-2</v>
      </c>
      <c r="AG97" s="119" t="s">
        <v>425</v>
      </c>
      <c r="AH97" s="119" t="s">
        <v>173</v>
      </c>
      <c r="AI97" s="119">
        <v>100</v>
      </c>
      <c r="AJ97" s="119">
        <v>35.551662</v>
      </c>
      <c r="AK97" s="119">
        <v>6314189</v>
      </c>
      <c r="AL97" s="119">
        <v>1.6150000095367001</v>
      </c>
      <c r="AN97" s="123">
        <f t="shared" si="6"/>
        <v>46250</v>
      </c>
      <c r="AO97" s="124">
        <f t="shared" si="7"/>
        <v>0.50342592592592594</v>
      </c>
      <c r="AQ97" s="125">
        <v>0</v>
      </c>
      <c r="AR97" s="125">
        <v>0</v>
      </c>
      <c r="AS97" s="125">
        <v>0</v>
      </c>
      <c r="AT97" s="125">
        <v>0</v>
      </c>
    </row>
    <row r="98" spans="1:46">
      <c r="A98" s="118" t="s">
        <v>426</v>
      </c>
      <c r="B98" s="119">
        <v>1</v>
      </c>
      <c r="C98" s="119">
        <v>210</v>
      </c>
      <c r="D98" s="119">
        <v>210.1</v>
      </c>
      <c r="E98" s="119">
        <v>24.962399999999999</v>
      </c>
      <c r="F98" s="119">
        <v>25.026</v>
      </c>
      <c r="G98" s="119">
        <v>1441.53</v>
      </c>
      <c r="H98" s="119">
        <v>1440.94</v>
      </c>
      <c r="I98" s="119">
        <v>1441.79</v>
      </c>
      <c r="J98" s="119">
        <v>1440.16</v>
      </c>
      <c r="K98" s="119">
        <v>1441.06</v>
      </c>
      <c r="L98" s="119">
        <v>1440.91</v>
      </c>
      <c r="M98" s="119">
        <v>1440.42</v>
      </c>
      <c r="N98" s="119">
        <v>1440.69</v>
      </c>
      <c r="O98" s="119">
        <v>0.909026</v>
      </c>
      <c r="P98" s="119">
        <v>2499.5500000000002</v>
      </c>
      <c r="Q98" s="119">
        <v>2499.65</v>
      </c>
      <c r="R98" s="119">
        <v>2500.08</v>
      </c>
      <c r="S98" s="119">
        <v>2499.14</v>
      </c>
      <c r="T98" s="119">
        <v>2499.06</v>
      </c>
      <c r="U98" s="119">
        <v>2500.2399999999998</v>
      </c>
      <c r="V98" s="119">
        <v>2500.06</v>
      </c>
      <c r="W98" s="119">
        <v>2500.08</v>
      </c>
      <c r="X98" s="119">
        <v>210.1</v>
      </c>
      <c r="Y98" s="119">
        <v>6.3791899999999999E-2</v>
      </c>
      <c r="Z98" s="119">
        <v>-5.9553500000000002E-2</v>
      </c>
      <c r="AA98" s="119">
        <v>-6.198E-2</v>
      </c>
      <c r="AB98" s="119">
        <v>-1.42662E-3</v>
      </c>
      <c r="AC98" s="119">
        <v>-7.8650999999999999E-2</v>
      </c>
      <c r="AD98" s="119">
        <v>-4.0235699999999999E-2</v>
      </c>
      <c r="AE98" s="119">
        <v>-7.4195899999999995E-2</v>
      </c>
      <c r="AF98" s="119">
        <v>-6.8405099999999996E-2</v>
      </c>
      <c r="AG98" s="119" t="s">
        <v>427</v>
      </c>
      <c r="AH98" s="119" t="s">
        <v>173</v>
      </c>
      <c r="AI98" s="119">
        <v>100</v>
      </c>
      <c r="AJ98" s="119">
        <v>37.044032999999999</v>
      </c>
      <c r="AK98" s="119">
        <v>6579243</v>
      </c>
      <c r="AL98" s="119">
        <v>1.6166666746139999</v>
      </c>
      <c r="AN98" s="123">
        <f t="shared" si="6"/>
        <v>46250</v>
      </c>
      <c r="AO98" s="124">
        <f t="shared" si="7"/>
        <v>0.51270833333333332</v>
      </c>
      <c r="AQ98" s="125">
        <v>0</v>
      </c>
      <c r="AR98" s="125">
        <v>0</v>
      </c>
      <c r="AS98" s="125">
        <v>0</v>
      </c>
      <c r="AT98" s="125">
        <v>0</v>
      </c>
    </row>
    <row r="99" spans="1:46">
      <c r="A99" s="118" t="s">
        <v>428</v>
      </c>
      <c r="B99" s="119">
        <v>2</v>
      </c>
      <c r="C99" s="119">
        <v>209.9</v>
      </c>
      <c r="D99" s="119">
        <v>210</v>
      </c>
      <c r="E99" s="119">
        <v>25.042000000000002</v>
      </c>
      <c r="F99" s="119">
        <v>25.063700000000001</v>
      </c>
      <c r="G99" s="119">
        <v>1418.41</v>
      </c>
      <c r="H99" s="119">
        <v>1418.27</v>
      </c>
      <c r="I99" s="119">
        <v>1418.7</v>
      </c>
      <c r="J99" s="119">
        <v>1418.37</v>
      </c>
      <c r="K99" s="119">
        <v>1418.51</v>
      </c>
      <c r="L99" s="119">
        <v>1418.34</v>
      </c>
      <c r="M99" s="119">
        <v>1418.86</v>
      </c>
      <c r="N99" s="119">
        <v>1418.97</v>
      </c>
      <c r="O99" s="119">
        <v>0.91470700000000005</v>
      </c>
      <c r="P99" s="119">
        <v>2499.7800000000002</v>
      </c>
      <c r="Q99" s="119">
        <v>2499.6799999999998</v>
      </c>
      <c r="R99" s="119">
        <v>2500.35</v>
      </c>
      <c r="S99" s="119">
        <v>2499.5700000000002</v>
      </c>
      <c r="T99" s="119">
        <v>2499.91</v>
      </c>
      <c r="U99" s="119">
        <v>2500.15</v>
      </c>
      <c r="V99" s="119">
        <v>2500.8200000000002</v>
      </c>
      <c r="W99" s="119">
        <v>2500.3000000000002</v>
      </c>
      <c r="X99" s="119">
        <v>210</v>
      </c>
      <c r="Y99" s="119">
        <v>6.5678500000000001E-2</v>
      </c>
      <c r="Z99" s="119">
        <v>-6.6339700000000001E-2</v>
      </c>
      <c r="AA99" s="119">
        <v>-6.1545299999999997E-2</v>
      </c>
      <c r="AB99" s="119">
        <v>-2.9006499999999998E-3</v>
      </c>
      <c r="AC99" s="119">
        <v>-7.9911300000000005E-2</v>
      </c>
      <c r="AD99" s="119">
        <v>-4.21249E-2</v>
      </c>
      <c r="AE99" s="119">
        <v>-8.0585799999999999E-2</v>
      </c>
      <c r="AF99" s="119">
        <v>-6.8326399999999995E-2</v>
      </c>
      <c r="AG99" s="119" t="s">
        <v>429</v>
      </c>
      <c r="AH99" s="119" t="s">
        <v>173</v>
      </c>
      <c r="AI99" s="119">
        <v>100</v>
      </c>
      <c r="AJ99" s="119">
        <v>34.963129000000002</v>
      </c>
      <c r="AK99" s="119">
        <v>6209662</v>
      </c>
      <c r="AL99" s="119">
        <v>1.6150000095367001</v>
      </c>
      <c r="AN99" s="123">
        <f t="shared" si="6"/>
        <v>46250</v>
      </c>
      <c r="AO99" s="124">
        <f t="shared" si="7"/>
        <v>0.52197916666666666</v>
      </c>
      <c r="AQ99" s="125">
        <v>0</v>
      </c>
      <c r="AR99" s="125">
        <v>0</v>
      </c>
      <c r="AS99" s="125">
        <v>0</v>
      </c>
      <c r="AT99" s="125">
        <v>0</v>
      </c>
    </row>
    <row r="100" spans="1:46">
      <c r="A100" s="118" t="s">
        <v>430</v>
      </c>
      <c r="B100" s="119">
        <v>3</v>
      </c>
      <c r="C100" s="119">
        <v>210</v>
      </c>
      <c r="D100" s="119">
        <v>210</v>
      </c>
      <c r="E100" s="119">
        <v>25.078099999999999</v>
      </c>
      <c r="F100" s="119">
        <v>25.020299999999999</v>
      </c>
      <c r="G100" s="119">
        <v>1433.42</v>
      </c>
      <c r="H100" s="119">
        <v>1433.86</v>
      </c>
      <c r="I100" s="119">
        <v>1434.71</v>
      </c>
      <c r="J100" s="119">
        <v>1433.09</v>
      </c>
      <c r="K100" s="119">
        <v>1434.2</v>
      </c>
      <c r="L100" s="119">
        <v>1434.15</v>
      </c>
      <c r="M100" s="119">
        <v>1433.93</v>
      </c>
      <c r="N100" s="119">
        <v>1433.8</v>
      </c>
      <c r="O100" s="119">
        <v>0.86249799999999999</v>
      </c>
      <c r="P100" s="119">
        <v>2500.41</v>
      </c>
      <c r="Q100" s="119">
        <v>2499.84</v>
      </c>
      <c r="R100" s="119">
        <v>2500.14</v>
      </c>
      <c r="S100" s="119">
        <v>2500.4299999999998</v>
      </c>
      <c r="T100" s="119">
        <v>2500.09</v>
      </c>
      <c r="U100" s="119">
        <v>2499.7800000000002</v>
      </c>
      <c r="V100" s="119">
        <v>2500.13</v>
      </c>
      <c r="W100" s="119">
        <v>2501.0500000000002</v>
      </c>
      <c r="X100" s="119">
        <v>209.9</v>
      </c>
      <c r="Y100" s="119">
        <v>6.3700300000000001E-2</v>
      </c>
      <c r="Z100" s="119">
        <v>-6.4665899999999998E-2</v>
      </c>
      <c r="AA100" s="119">
        <v>-6.3113500000000003E-2</v>
      </c>
      <c r="AB100" s="119">
        <v>9.0730499999999996E-4</v>
      </c>
      <c r="AC100" s="119">
        <v>-7.8116099999999994E-2</v>
      </c>
      <c r="AD100" s="119">
        <v>-4.0104599999999997E-2</v>
      </c>
      <c r="AE100" s="119">
        <v>-8.2414200000000007E-2</v>
      </c>
      <c r="AF100" s="119">
        <v>-7.0339399999999996E-2</v>
      </c>
      <c r="AG100" s="119" t="s">
        <v>431</v>
      </c>
      <c r="AH100" s="119" t="s">
        <v>173</v>
      </c>
      <c r="AI100" s="119">
        <v>100</v>
      </c>
      <c r="AJ100" s="119">
        <v>35.193797000000004</v>
      </c>
      <c r="AK100" s="119">
        <v>6250630</v>
      </c>
      <c r="AL100" s="119">
        <v>1.6150000095367001</v>
      </c>
      <c r="AN100" s="123">
        <f t="shared" si="6"/>
        <v>46250</v>
      </c>
      <c r="AO100" s="124">
        <f t="shared" si="7"/>
        <v>0.53125</v>
      </c>
      <c r="AQ100" s="125">
        <v>0</v>
      </c>
      <c r="AR100" s="125">
        <v>0</v>
      </c>
      <c r="AS100" s="125">
        <v>0</v>
      </c>
      <c r="AT100" s="125">
        <v>0</v>
      </c>
    </row>
    <row r="101" spans="1:46">
      <c r="A101" s="118" t="s">
        <v>432</v>
      </c>
      <c r="B101" s="119">
        <v>4</v>
      </c>
      <c r="C101" s="119">
        <v>210</v>
      </c>
      <c r="D101" s="119">
        <v>210</v>
      </c>
      <c r="E101" s="119">
        <v>25.013000000000002</v>
      </c>
      <c r="F101" s="119">
        <v>25.011600000000001</v>
      </c>
      <c r="G101" s="119">
        <v>1403.61</v>
      </c>
      <c r="H101" s="119">
        <v>1403.13</v>
      </c>
      <c r="I101" s="119">
        <v>1402.77</v>
      </c>
      <c r="J101" s="119">
        <v>1402.12</v>
      </c>
      <c r="K101" s="119">
        <v>1403.27</v>
      </c>
      <c r="L101" s="119">
        <v>1402.67</v>
      </c>
      <c r="M101" s="119">
        <v>1402.52</v>
      </c>
      <c r="N101" s="119">
        <v>1403.58</v>
      </c>
      <c r="O101" s="119">
        <v>0.94518500000000005</v>
      </c>
      <c r="P101" s="119">
        <v>2500.79</v>
      </c>
      <c r="Q101" s="119">
        <v>2499.42</v>
      </c>
      <c r="R101" s="119">
        <v>2499.77</v>
      </c>
      <c r="S101" s="119">
        <v>2500.2399999999998</v>
      </c>
      <c r="T101" s="119">
        <v>2499.65</v>
      </c>
      <c r="U101" s="119">
        <v>2499.73</v>
      </c>
      <c r="V101" s="119">
        <v>2501.23</v>
      </c>
      <c r="W101" s="119">
        <v>2499.3000000000002</v>
      </c>
      <c r="X101" s="119">
        <v>210.2</v>
      </c>
      <c r="Y101" s="119">
        <v>6.4315899999999995E-2</v>
      </c>
      <c r="Z101" s="119">
        <v>-6.6392400000000004E-2</v>
      </c>
      <c r="AA101" s="119">
        <v>-5.8143199999999999E-2</v>
      </c>
      <c r="AB101" s="119">
        <v>1.062E-3</v>
      </c>
      <c r="AC101" s="119">
        <v>-7.6428099999999999E-2</v>
      </c>
      <c r="AD101" s="119">
        <v>-3.8700900000000003E-2</v>
      </c>
      <c r="AE101" s="119">
        <v>-6.59135E-2</v>
      </c>
      <c r="AF101" s="119">
        <v>-7.0049899999999998E-2</v>
      </c>
      <c r="AG101" s="119" t="s">
        <v>433</v>
      </c>
      <c r="AH101" s="119" t="s">
        <v>173</v>
      </c>
      <c r="AI101" s="119">
        <v>100</v>
      </c>
      <c r="AJ101" s="119">
        <v>36.413834999999999</v>
      </c>
      <c r="AK101" s="119">
        <v>6467316</v>
      </c>
      <c r="AL101" s="119">
        <v>1.6166666746139999</v>
      </c>
      <c r="AN101" s="123">
        <f t="shared" ref="AN101:AN164" si="10">DATEVALUE(SUBSTITUTE(LEFT(A101,10),".","/"))</f>
        <v>46250</v>
      </c>
      <c r="AO101" s="124">
        <f t="shared" ref="AO101:AO164" si="11">TIMEVALUE(RIGHT(A101,8))</f>
        <v>0.54053240740740738</v>
      </c>
      <c r="AQ101" s="125">
        <v>0</v>
      </c>
      <c r="AR101" s="125">
        <v>0</v>
      </c>
      <c r="AS101" s="125">
        <v>0</v>
      </c>
      <c r="AT101" s="125">
        <v>0</v>
      </c>
    </row>
    <row r="102" spans="1:46">
      <c r="A102" s="118" t="s">
        <v>434</v>
      </c>
      <c r="B102" s="119">
        <v>5</v>
      </c>
      <c r="C102" s="119">
        <v>210</v>
      </c>
      <c r="D102" s="119">
        <v>209.9</v>
      </c>
      <c r="E102" s="119">
        <v>25.034700000000001</v>
      </c>
      <c r="F102" s="119">
        <v>25.011600000000001</v>
      </c>
      <c r="G102" s="119">
        <v>1430.82</v>
      </c>
      <c r="H102" s="119">
        <v>1430.75</v>
      </c>
      <c r="I102" s="119">
        <v>1430.19</v>
      </c>
      <c r="J102" s="119">
        <v>1429.41</v>
      </c>
      <c r="K102" s="119">
        <v>1430.75</v>
      </c>
      <c r="L102" s="119">
        <v>1431.08</v>
      </c>
      <c r="M102" s="119">
        <v>1430.78</v>
      </c>
      <c r="N102" s="119">
        <v>1430.88</v>
      </c>
      <c r="O102" s="119">
        <v>0.93738900000000003</v>
      </c>
      <c r="P102" s="119">
        <v>2500.2399999999998</v>
      </c>
      <c r="Q102" s="119">
        <v>2500.38</v>
      </c>
      <c r="R102" s="119">
        <v>2500.2800000000002</v>
      </c>
      <c r="S102" s="119">
        <v>2500.38</v>
      </c>
      <c r="T102" s="119">
        <v>2500.09</v>
      </c>
      <c r="U102" s="119">
        <v>2501.2399999999998</v>
      </c>
      <c r="V102" s="119">
        <v>2499.35</v>
      </c>
      <c r="W102" s="119">
        <v>2500.0300000000002</v>
      </c>
      <c r="X102" s="119">
        <v>209.9</v>
      </c>
      <c r="Y102" s="119">
        <v>6.2650899999999995E-2</v>
      </c>
      <c r="Z102" s="119">
        <v>-6.3645400000000005E-2</v>
      </c>
      <c r="AA102" s="119">
        <v>-5.96451E-2</v>
      </c>
      <c r="AB102" s="119">
        <v>5.9325599999999999E-3</v>
      </c>
      <c r="AC102" s="119">
        <v>-7.8553300000000006E-2</v>
      </c>
      <c r="AD102" s="119">
        <v>-4.0330100000000001E-2</v>
      </c>
      <c r="AE102" s="119">
        <v>-7.1306400000000006E-2</v>
      </c>
      <c r="AF102" s="119">
        <v>-6.8006999999999998E-2</v>
      </c>
      <c r="AG102" s="119" t="s">
        <v>435</v>
      </c>
      <c r="AH102" s="119" t="s">
        <v>173</v>
      </c>
      <c r="AI102" s="119">
        <v>100</v>
      </c>
      <c r="AJ102" s="119">
        <v>36.320633999999998</v>
      </c>
      <c r="AK102" s="119">
        <v>6450763</v>
      </c>
      <c r="AL102" s="119">
        <v>1.6166666746139999</v>
      </c>
      <c r="AN102" s="123">
        <f t="shared" si="10"/>
        <v>46250</v>
      </c>
      <c r="AO102" s="124">
        <f t="shared" si="11"/>
        <v>0.54980324074074072</v>
      </c>
      <c r="AQ102" s="125">
        <v>0</v>
      </c>
      <c r="AR102" s="125">
        <v>0</v>
      </c>
      <c r="AS102" s="125">
        <v>0</v>
      </c>
      <c r="AT102" s="125">
        <v>0</v>
      </c>
    </row>
    <row r="103" spans="1:46">
      <c r="A103" s="118" t="s">
        <v>436</v>
      </c>
      <c r="B103" s="119">
        <v>6</v>
      </c>
      <c r="C103" s="119">
        <v>210</v>
      </c>
      <c r="D103" s="119">
        <v>210</v>
      </c>
      <c r="E103" s="119">
        <v>25.026</v>
      </c>
      <c r="F103" s="119">
        <v>25.0275</v>
      </c>
      <c r="G103" s="119">
        <v>1416.56</v>
      </c>
      <c r="H103" s="119">
        <v>1416.62</v>
      </c>
      <c r="I103" s="119">
        <v>1416.21</v>
      </c>
      <c r="J103" s="119">
        <v>1416.76</v>
      </c>
      <c r="K103" s="119">
        <v>1416.36</v>
      </c>
      <c r="L103" s="119">
        <v>1416.55</v>
      </c>
      <c r="M103" s="119">
        <v>1416.69</v>
      </c>
      <c r="N103" s="119">
        <v>1416.68</v>
      </c>
      <c r="O103" s="119">
        <v>0.972611</v>
      </c>
      <c r="P103" s="119">
        <v>2499.9499999999998</v>
      </c>
      <c r="Q103" s="119">
        <v>2500.13</v>
      </c>
      <c r="R103" s="119">
        <v>2499.7399999999998</v>
      </c>
      <c r="S103" s="119">
        <v>2500.02</v>
      </c>
      <c r="T103" s="119">
        <v>2500.1799999999998</v>
      </c>
      <c r="U103" s="119">
        <v>2499.85</v>
      </c>
      <c r="V103" s="119">
        <v>2500.0700000000002</v>
      </c>
      <c r="W103" s="119">
        <v>2499.6799999999998</v>
      </c>
      <c r="X103" s="119">
        <v>209.9</v>
      </c>
      <c r="Y103" s="119">
        <v>6.38513E-2</v>
      </c>
      <c r="Z103" s="119">
        <v>-6.6139900000000001E-2</v>
      </c>
      <c r="AA103" s="119">
        <v>-5.7873800000000003E-2</v>
      </c>
      <c r="AB103" s="119">
        <v>-1.8316700000000001E-3</v>
      </c>
      <c r="AC103" s="119">
        <v>-7.7955099999999999E-2</v>
      </c>
      <c r="AD103" s="119">
        <v>-4.0240400000000003E-2</v>
      </c>
      <c r="AE103" s="119">
        <v>-6.0393700000000002E-2</v>
      </c>
      <c r="AF103" s="119">
        <v>-6.7980899999999997E-2</v>
      </c>
      <c r="AG103" s="119" t="s">
        <v>437</v>
      </c>
      <c r="AH103" s="119" t="s">
        <v>173</v>
      </c>
      <c r="AI103" s="119">
        <v>100</v>
      </c>
      <c r="AJ103" s="119">
        <v>35.478544999999997</v>
      </c>
      <c r="AK103" s="119">
        <v>6301203</v>
      </c>
      <c r="AL103" s="119">
        <v>1.6166666746139999</v>
      </c>
      <c r="AN103" s="123">
        <f t="shared" si="10"/>
        <v>46250</v>
      </c>
      <c r="AO103" s="124">
        <f t="shared" si="11"/>
        <v>0.55907407407407406</v>
      </c>
      <c r="AQ103" s="125">
        <v>0</v>
      </c>
      <c r="AR103" s="125">
        <v>0</v>
      </c>
      <c r="AS103" s="125">
        <v>0</v>
      </c>
      <c r="AT103" s="125">
        <v>0</v>
      </c>
    </row>
    <row r="104" spans="1:46">
      <c r="A104" s="118" t="s">
        <v>438</v>
      </c>
      <c r="B104" s="119">
        <v>7</v>
      </c>
      <c r="C104" s="119">
        <v>210</v>
      </c>
      <c r="D104" s="119">
        <v>210</v>
      </c>
      <c r="E104" s="119">
        <v>25.0593</v>
      </c>
      <c r="F104" s="119">
        <v>25.0318</v>
      </c>
      <c r="G104" s="119">
        <v>1401.23</v>
      </c>
      <c r="H104" s="119">
        <v>1400.78</v>
      </c>
      <c r="I104" s="119">
        <v>1400.63</v>
      </c>
      <c r="J104" s="119">
        <v>1400.74</v>
      </c>
      <c r="K104" s="119">
        <v>1400.99</v>
      </c>
      <c r="L104" s="119">
        <v>1400.73</v>
      </c>
      <c r="M104" s="119">
        <v>1400.88</v>
      </c>
      <c r="N104" s="119">
        <v>1401.35</v>
      </c>
      <c r="O104" s="119">
        <v>0.92349199999999998</v>
      </c>
      <c r="P104" s="119">
        <v>2500.2600000000002</v>
      </c>
      <c r="Q104" s="119">
        <v>2500.39</v>
      </c>
      <c r="R104" s="119">
        <v>2500.7600000000002</v>
      </c>
      <c r="S104" s="119">
        <v>2501.02</v>
      </c>
      <c r="T104" s="119">
        <v>2499.64</v>
      </c>
      <c r="U104" s="119">
        <v>2499.7600000000002</v>
      </c>
      <c r="V104" s="119">
        <v>2500.39</v>
      </c>
      <c r="W104" s="119">
        <v>2499.31</v>
      </c>
      <c r="X104" s="119">
        <v>210.1</v>
      </c>
      <c r="Y104" s="119">
        <v>6.5020999999999995E-2</v>
      </c>
      <c r="Z104" s="119">
        <v>-6.1919099999999998E-2</v>
      </c>
      <c r="AA104" s="119">
        <v>-6.1946599999999997E-2</v>
      </c>
      <c r="AB104" s="119">
        <v>-5.0645699999999998E-4</v>
      </c>
      <c r="AC104" s="119">
        <v>-7.4015700000000004E-2</v>
      </c>
      <c r="AD104" s="119">
        <v>-3.92669E-2</v>
      </c>
      <c r="AE104" s="119">
        <v>-7.8727900000000003E-2</v>
      </c>
      <c r="AF104" s="119">
        <v>-6.6309699999999999E-2</v>
      </c>
      <c r="AG104" s="119" t="s">
        <v>439</v>
      </c>
      <c r="AH104" s="119" t="s">
        <v>173</v>
      </c>
      <c r="AI104" s="119">
        <v>100</v>
      </c>
      <c r="AJ104" s="119">
        <v>36.138697999999998</v>
      </c>
      <c r="AK104" s="119">
        <v>6418450</v>
      </c>
      <c r="AL104" s="119">
        <v>1.6166666746139999</v>
      </c>
      <c r="AN104" s="123">
        <f t="shared" si="10"/>
        <v>46250</v>
      </c>
      <c r="AO104" s="124">
        <f t="shared" si="11"/>
        <v>0.5683449074074074</v>
      </c>
      <c r="AQ104" s="125">
        <v>0</v>
      </c>
      <c r="AR104" s="125">
        <v>0</v>
      </c>
      <c r="AS104" s="125">
        <v>0</v>
      </c>
      <c r="AT104" s="125">
        <v>0</v>
      </c>
    </row>
    <row r="105" spans="1:46">
      <c r="A105" s="118" t="s">
        <v>440</v>
      </c>
      <c r="B105" s="119">
        <v>8</v>
      </c>
      <c r="C105" s="119">
        <v>210.4</v>
      </c>
      <c r="D105" s="119">
        <v>210.4</v>
      </c>
      <c r="E105" s="119">
        <v>24.974</v>
      </c>
      <c r="F105" s="119">
        <v>25.0289</v>
      </c>
      <c r="G105" s="119">
        <v>1404.39</v>
      </c>
      <c r="H105" s="119">
        <v>1403.85</v>
      </c>
      <c r="I105" s="119">
        <v>1404.08</v>
      </c>
      <c r="J105" s="119">
        <v>1403.53</v>
      </c>
      <c r="K105" s="119">
        <v>1403.65</v>
      </c>
      <c r="L105" s="119">
        <v>1404.14</v>
      </c>
      <c r="M105" s="119">
        <v>1404.4</v>
      </c>
      <c r="N105" s="119">
        <v>1404.14</v>
      </c>
      <c r="O105" s="119">
        <v>0.91150200000000003</v>
      </c>
      <c r="P105" s="119">
        <v>2500.4</v>
      </c>
      <c r="Q105" s="119">
        <v>2498.6799999999998</v>
      </c>
      <c r="R105" s="119">
        <v>2500.31</v>
      </c>
      <c r="S105" s="119">
        <v>2500.08</v>
      </c>
      <c r="T105" s="119">
        <v>2500.0100000000002</v>
      </c>
      <c r="U105" s="119">
        <v>2500.04</v>
      </c>
      <c r="V105" s="119">
        <v>2499.19</v>
      </c>
      <c r="W105" s="119">
        <v>2500.4699999999998</v>
      </c>
      <c r="X105" s="119">
        <v>210.4</v>
      </c>
      <c r="Y105" s="119">
        <v>6.2679299999999993E-2</v>
      </c>
      <c r="Z105" s="119">
        <v>-6.6294800000000001E-2</v>
      </c>
      <c r="AA105" s="119">
        <v>-6.4193700000000006E-2</v>
      </c>
      <c r="AB105" s="119">
        <v>3.6096099999999998E-4</v>
      </c>
      <c r="AC105" s="119">
        <v>-7.7933100000000005E-2</v>
      </c>
      <c r="AD105" s="119">
        <v>-4.3481199999999998E-2</v>
      </c>
      <c r="AE105" s="119">
        <v>-9.37254E-2</v>
      </c>
      <c r="AF105" s="119">
        <v>-7.1934100000000001E-2</v>
      </c>
      <c r="AG105" s="119" t="s">
        <v>441</v>
      </c>
      <c r="AH105" s="119" t="s">
        <v>173</v>
      </c>
      <c r="AI105" s="119">
        <v>100</v>
      </c>
      <c r="AJ105" s="119">
        <v>35.513111000000002</v>
      </c>
      <c r="AK105" s="119">
        <v>6307342</v>
      </c>
      <c r="AL105" s="119">
        <v>1.6150000095367001</v>
      </c>
      <c r="AN105" s="123">
        <f t="shared" si="10"/>
        <v>46250</v>
      </c>
      <c r="AO105" s="124">
        <f t="shared" si="11"/>
        <v>0.57762731481481477</v>
      </c>
      <c r="AQ105" s="125">
        <v>0</v>
      </c>
      <c r="AR105" s="125">
        <v>0</v>
      </c>
      <c r="AS105" s="125">
        <v>0</v>
      </c>
      <c r="AT105" s="125">
        <v>0</v>
      </c>
    </row>
    <row r="106" spans="1:46">
      <c r="A106" s="118" t="s">
        <v>442</v>
      </c>
      <c r="B106" s="119">
        <v>1</v>
      </c>
      <c r="C106" s="119">
        <v>210</v>
      </c>
      <c r="D106" s="119">
        <v>210</v>
      </c>
      <c r="E106" s="119">
        <v>24.929099999999998</v>
      </c>
      <c r="F106" s="119">
        <v>25.005800000000001</v>
      </c>
      <c r="G106" s="119">
        <v>1432.91</v>
      </c>
      <c r="H106" s="119">
        <v>1431.92</v>
      </c>
      <c r="I106" s="119">
        <v>1432.14</v>
      </c>
      <c r="J106" s="119">
        <v>1431.56</v>
      </c>
      <c r="K106" s="119">
        <v>1431.79</v>
      </c>
      <c r="L106" s="119">
        <v>1431.71</v>
      </c>
      <c r="M106" s="119">
        <v>1432.25</v>
      </c>
      <c r="N106" s="119">
        <v>1432.89</v>
      </c>
      <c r="O106" s="119">
        <v>0.91567500000000002</v>
      </c>
      <c r="P106" s="119">
        <v>2498.56</v>
      </c>
      <c r="Q106" s="119">
        <v>2499.92</v>
      </c>
      <c r="R106" s="119">
        <v>2498.9699999999998</v>
      </c>
      <c r="S106" s="119">
        <v>2499.9</v>
      </c>
      <c r="T106" s="119">
        <v>2499.98</v>
      </c>
      <c r="U106" s="119">
        <v>2499.1999999999998</v>
      </c>
      <c r="V106" s="119">
        <v>2499.81</v>
      </c>
      <c r="W106" s="119">
        <v>2499.89</v>
      </c>
      <c r="X106" s="119">
        <v>209.9</v>
      </c>
      <c r="Y106" s="119">
        <v>6.6865400000000005E-2</v>
      </c>
      <c r="Z106" s="119">
        <v>-6.75978E-2</v>
      </c>
      <c r="AA106" s="119">
        <v>-6.1830200000000002E-2</v>
      </c>
      <c r="AB106" s="119">
        <v>-5.0456700000000004E-3</v>
      </c>
      <c r="AC106" s="119">
        <v>-7.7986799999999995E-2</v>
      </c>
      <c r="AD106" s="119">
        <v>-3.8899099999999999E-2</v>
      </c>
      <c r="AE106" s="119">
        <v>-7.49885E-2</v>
      </c>
      <c r="AF106" s="119">
        <v>-6.7649200000000007E-2</v>
      </c>
      <c r="AG106" s="119" t="s">
        <v>443</v>
      </c>
      <c r="AH106" s="119" t="s">
        <v>173</v>
      </c>
      <c r="AI106" s="119">
        <v>100</v>
      </c>
      <c r="AJ106" s="119">
        <v>36.955489</v>
      </c>
      <c r="AK106" s="119">
        <v>6563517</v>
      </c>
      <c r="AL106" s="119">
        <v>1.6166666746139999</v>
      </c>
      <c r="AN106" s="123">
        <f t="shared" si="10"/>
        <v>46250</v>
      </c>
      <c r="AO106" s="124">
        <f t="shared" si="11"/>
        <v>0.5869212962962963</v>
      </c>
      <c r="AQ106" s="125">
        <v>0</v>
      </c>
      <c r="AR106" s="125">
        <v>0</v>
      </c>
      <c r="AS106" s="125">
        <v>0</v>
      </c>
      <c r="AT106" s="125">
        <v>0</v>
      </c>
    </row>
    <row r="107" spans="1:46">
      <c r="A107" s="118" t="s">
        <v>444</v>
      </c>
      <c r="B107" s="119">
        <v>2</v>
      </c>
      <c r="C107" s="119">
        <v>210</v>
      </c>
      <c r="D107" s="119">
        <v>210</v>
      </c>
      <c r="E107" s="119">
        <v>24.892900000000001</v>
      </c>
      <c r="F107" s="119">
        <v>25.039100000000001</v>
      </c>
      <c r="G107" s="119">
        <v>1420.29</v>
      </c>
      <c r="H107" s="119">
        <v>1420.22</v>
      </c>
      <c r="I107" s="119">
        <v>1419.59</v>
      </c>
      <c r="J107" s="119">
        <v>1418.97</v>
      </c>
      <c r="K107" s="119">
        <v>1419.63</v>
      </c>
      <c r="L107" s="119">
        <v>1419.81</v>
      </c>
      <c r="M107" s="119">
        <v>1419.65</v>
      </c>
      <c r="N107" s="119">
        <v>1420.25</v>
      </c>
      <c r="O107" s="119">
        <v>0.89789399999999997</v>
      </c>
      <c r="P107" s="119">
        <v>2500.1</v>
      </c>
      <c r="Q107" s="119">
        <v>2500.63</v>
      </c>
      <c r="R107" s="119">
        <v>2500</v>
      </c>
      <c r="S107" s="119">
        <v>2499.7800000000002</v>
      </c>
      <c r="T107" s="119">
        <v>2499.7399999999998</v>
      </c>
      <c r="U107" s="119">
        <v>2499.35</v>
      </c>
      <c r="V107" s="119">
        <v>2500.25</v>
      </c>
      <c r="W107" s="119">
        <v>2500.59</v>
      </c>
      <c r="X107" s="119">
        <v>210.1</v>
      </c>
      <c r="Y107" s="119">
        <v>6.5321199999999996E-2</v>
      </c>
      <c r="Z107" s="119">
        <v>-6.29498E-2</v>
      </c>
      <c r="AA107" s="119">
        <v>-6.3960000000000003E-2</v>
      </c>
      <c r="AB107" s="119">
        <v>-3.6130400000000001E-4</v>
      </c>
      <c r="AC107" s="119">
        <v>-7.4127100000000001E-2</v>
      </c>
      <c r="AD107" s="119">
        <v>-3.9319E-2</v>
      </c>
      <c r="AE107" s="119">
        <v>-7.1251200000000001E-2</v>
      </c>
      <c r="AF107" s="119">
        <v>-6.6218700000000005E-2</v>
      </c>
      <c r="AG107" s="119" t="s">
        <v>445</v>
      </c>
      <c r="AH107" s="119" t="s">
        <v>173</v>
      </c>
      <c r="AI107" s="119">
        <v>100</v>
      </c>
      <c r="AJ107" s="119">
        <v>35.123427999999997</v>
      </c>
      <c r="AK107" s="119">
        <v>6238132</v>
      </c>
      <c r="AL107" s="119">
        <v>1.6166666746139999</v>
      </c>
      <c r="AN107" s="123">
        <f t="shared" si="10"/>
        <v>46250</v>
      </c>
      <c r="AO107" s="124">
        <f t="shared" si="11"/>
        <v>0.5961805555555556</v>
      </c>
      <c r="AQ107" s="125">
        <v>0</v>
      </c>
      <c r="AR107" s="125">
        <v>0</v>
      </c>
      <c r="AS107" s="125">
        <v>0</v>
      </c>
      <c r="AT107" s="125">
        <v>0</v>
      </c>
    </row>
    <row r="108" spans="1:46">
      <c r="A108" s="118" t="s">
        <v>446</v>
      </c>
      <c r="B108" s="119">
        <v>3</v>
      </c>
      <c r="C108" s="119">
        <v>210.1</v>
      </c>
      <c r="D108" s="119">
        <v>210</v>
      </c>
      <c r="E108" s="119">
        <v>24.897300000000001</v>
      </c>
      <c r="F108" s="119">
        <v>25.0275</v>
      </c>
      <c r="G108" s="119">
        <v>1438.73</v>
      </c>
      <c r="H108" s="119">
        <v>1439.04</v>
      </c>
      <c r="I108" s="119">
        <v>1438.6</v>
      </c>
      <c r="J108" s="119">
        <v>1438.87</v>
      </c>
      <c r="K108" s="119">
        <v>1438.81</v>
      </c>
      <c r="L108" s="119">
        <v>1439.33</v>
      </c>
      <c r="M108" s="119">
        <v>1438.31</v>
      </c>
      <c r="N108" s="119">
        <v>1439.24</v>
      </c>
      <c r="O108" s="119">
        <v>0.86652499999999999</v>
      </c>
      <c r="P108" s="119">
        <v>2499.98</v>
      </c>
      <c r="Q108" s="119">
        <v>2499.75</v>
      </c>
      <c r="R108" s="119">
        <v>2500.11</v>
      </c>
      <c r="S108" s="119">
        <v>2500.0500000000002</v>
      </c>
      <c r="T108" s="119">
        <v>2499.71</v>
      </c>
      <c r="U108" s="119">
        <v>2499.25</v>
      </c>
      <c r="V108" s="119">
        <v>2499.1</v>
      </c>
      <c r="W108" s="119">
        <v>2500.25</v>
      </c>
      <c r="X108" s="119">
        <v>210</v>
      </c>
      <c r="Y108" s="119">
        <v>6.47596E-2</v>
      </c>
      <c r="Z108" s="119">
        <v>-6.5309900000000004E-2</v>
      </c>
      <c r="AA108" s="119">
        <v>-6.4452099999999998E-2</v>
      </c>
      <c r="AB108" s="119">
        <v>2.7657599999999999E-3</v>
      </c>
      <c r="AC108" s="119">
        <v>-7.9957700000000007E-2</v>
      </c>
      <c r="AD108" s="119">
        <v>-4.0783800000000002E-2</v>
      </c>
      <c r="AE108" s="119">
        <v>-8.1761399999999998E-2</v>
      </c>
      <c r="AF108" s="119">
        <v>-7.2381399999999999E-2</v>
      </c>
      <c r="AG108" s="119" t="s">
        <v>447</v>
      </c>
      <c r="AH108" s="119" t="s">
        <v>173</v>
      </c>
      <c r="AI108" s="119">
        <v>100</v>
      </c>
      <c r="AJ108" s="119">
        <v>35.119121</v>
      </c>
      <c r="AK108" s="119">
        <v>6237367</v>
      </c>
      <c r="AL108" s="119">
        <v>1.6150000095367001</v>
      </c>
      <c r="AN108" s="123">
        <f t="shared" si="10"/>
        <v>46250</v>
      </c>
      <c r="AO108" s="124">
        <f t="shared" si="11"/>
        <v>0.60545138888888894</v>
      </c>
      <c r="AQ108" s="125">
        <v>0</v>
      </c>
      <c r="AR108" s="125">
        <v>0</v>
      </c>
      <c r="AS108" s="125">
        <v>0</v>
      </c>
      <c r="AT108" s="125">
        <v>0</v>
      </c>
    </row>
    <row r="109" spans="1:46">
      <c r="A109" s="118" t="s">
        <v>448</v>
      </c>
      <c r="B109" s="119">
        <v>4</v>
      </c>
      <c r="C109" s="119">
        <v>210</v>
      </c>
      <c r="D109" s="119">
        <v>210</v>
      </c>
      <c r="E109" s="119">
        <v>24.864000000000001</v>
      </c>
      <c r="F109" s="119">
        <v>25.023099999999999</v>
      </c>
      <c r="G109" s="119">
        <v>1415.18</v>
      </c>
      <c r="H109" s="119">
        <v>1416.19</v>
      </c>
      <c r="I109" s="119">
        <v>1415.6</v>
      </c>
      <c r="J109" s="119">
        <v>1416.88</v>
      </c>
      <c r="K109" s="119">
        <v>1415.49</v>
      </c>
      <c r="L109" s="119">
        <v>1415.87</v>
      </c>
      <c r="M109" s="119">
        <v>1415.91</v>
      </c>
      <c r="N109" s="119">
        <v>1415.97</v>
      </c>
      <c r="O109" s="119">
        <v>0.94675299999999996</v>
      </c>
      <c r="P109" s="119">
        <v>2500.4299999999998</v>
      </c>
      <c r="Q109" s="119">
        <v>2499.7800000000002</v>
      </c>
      <c r="R109" s="119">
        <v>2499.54</v>
      </c>
      <c r="S109" s="119">
        <v>2500.2199999999998</v>
      </c>
      <c r="T109" s="119">
        <v>2499.8200000000002</v>
      </c>
      <c r="U109" s="119">
        <v>2500.04</v>
      </c>
      <c r="V109" s="119">
        <v>2499.94</v>
      </c>
      <c r="W109" s="119">
        <v>2500.13</v>
      </c>
      <c r="X109" s="119">
        <v>210.2</v>
      </c>
      <c r="Y109" s="119">
        <v>6.53942E-2</v>
      </c>
      <c r="Z109" s="119">
        <v>-6.9047300000000006E-2</v>
      </c>
      <c r="AA109" s="119">
        <v>-5.9973600000000002E-2</v>
      </c>
      <c r="AB109" s="119">
        <v>4.9636200000000002E-3</v>
      </c>
      <c r="AC109" s="119">
        <v>-7.7596600000000002E-2</v>
      </c>
      <c r="AD109" s="119">
        <v>-4.2722299999999998E-2</v>
      </c>
      <c r="AE109" s="119">
        <v>-7.3124300000000003E-2</v>
      </c>
      <c r="AF109" s="119">
        <v>-6.9526699999999997E-2</v>
      </c>
      <c r="AG109" s="119" t="s">
        <v>449</v>
      </c>
      <c r="AH109" s="119" t="s">
        <v>173</v>
      </c>
      <c r="AI109" s="119">
        <v>100</v>
      </c>
      <c r="AJ109" s="119">
        <v>36.335448</v>
      </c>
      <c r="AK109" s="119">
        <v>6453394</v>
      </c>
      <c r="AL109" s="119">
        <v>1.6166666746139999</v>
      </c>
      <c r="AN109" s="123">
        <f t="shared" si="10"/>
        <v>46250</v>
      </c>
      <c r="AO109" s="124">
        <f t="shared" si="11"/>
        <v>0.61472222222222217</v>
      </c>
      <c r="AQ109" s="125">
        <v>0</v>
      </c>
      <c r="AR109" s="125">
        <v>0</v>
      </c>
      <c r="AS109" s="125">
        <v>0</v>
      </c>
      <c r="AT109" s="125">
        <v>0</v>
      </c>
    </row>
    <row r="110" spans="1:46">
      <c r="A110" s="118" t="s">
        <v>450</v>
      </c>
      <c r="B110" s="119">
        <v>5</v>
      </c>
      <c r="C110" s="119">
        <v>210</v>
      </c>
      <c r="D110" s="119">
        <v>210</v>
      </c>
      <c r="E110" s="119">
        <v>25.005800000000001</v>
      </c>
      <c r="F110" s="119">
        <v>25.014500000000002</v>
      </c>
      <c r="G110" s="119">
        <v>1403.37</v>
      </c>
      <c r="H110" s="119">
        <v>1403.99</v>
      </c>
      <c r="I110" s="119">
        <v>1404.11</v>
      </c>
      <c r="J110" s="119">
        <v>1404.94</v>
      </c>
      <c r="K110" s="119">
        <v>1404.31</v>
      </c>
      <c r="L110" s="119">
        <v>1404.43</v>
      </c>
      <c r="M110" s="119">
        <v>1404.17</v>
      </c>
      <c r="N110" s="119">
        <v>1404</v>
      </c>
      <c r="O110" s="119">
        <v>0.97348900000000005</v>
      </c>
      <c r="P110" s="119">
        <v>2499.62</v>
      </c>
      <c r="Q110" s="119">
        <v>2500.04</v>
      </c>
      <c r="R110" s="119">
        <v>2500.5</v>
      </c>
      <c r="S110" s="119">
        <v>2499.5500000000002</v>
      </c>
      <c r="T110" s="119">
        <v>2500.12</v>
      </c>
      <c r="U110" s="119">
        <v>2500.09</v>
      </c>
      <c r="V110" s="119">
        <v>2499.7600000000002</v>
      </c>
      <c r="W110" s="119">
        <v>2499.81</v>
      </c>
      <c r="X110" s="119">
        <v>209.9</v>
      </c>
      <c r="Y110" s="119">
        <v>6.2951900000000005E-2</v>
      </c>
      <c r="Z110" s="119">
        <v>-6.9132700000000005E-2</v>
      </c>
      <c r="AA110" s="119">
        <v>-6.3048900000000005E-2</v>
      </c>
      <c r="AB110" s="119">
        <v>4.59999E-3</v>
      </c>
      <c r="AC110" s="119">
        <v>-7.7370999999999995E-2</v>
      </c>
      <c r="AD110" s="119">
        <v>-3.6953600000000003E-2</v>
      </c>
      <c r="AE110" s="119">
        <v>-8.67256E-2</v>
      </c>
      <c r="AF110" s="119">
        <v>-7.0168800000000003E-2</v>
      </c>
      <c r="AG110" s="119" t="s">
        <v>451</v>
      </c>
      <c r="AH110" s="119" t="s">
        <v>173</v>
      </c>
      <c r="AI110" s="119">
        <v>100</v>
      </c>
      <c r="AJ110" s="119">
        <v>36.245089999999998</v>
      </c>
      <c r="AK110" s="119">
        <v>6437346</v>
      </c>
      <c r="AL110" s="119">
        <v>1.6150000095367001</v>
      </c>
      <c r="AN110" s="123">
        <f t="shared" si="10"/>
        <v>46250</v>
      </c>
      <c r="AO110" s="124">
        <f t="shared" si="11"/>
        <v>0.62400462962962966</v>
      </c>
      <c r="AQ110" s="125">
        <v>0</v>
      </c>
      <c r="AR110" s="125">
        <v>0</v>
      </c>
      <c r="AS110" s="125">
        <v>0</v>
      </c>
      <c r="AT110" s="125">
        <v>0</v>
      </c>
    </row>
    <row r="111" spans="1:46">
      <c r="A111" s="118" t="s">
        <v>452</v>
      </c>
      <c r="B111" s="119">
        <v>6</v>
      </c>
      <c r="C111" s="119">
        <v>210</v>
      </c>
      <c r="D111" s="119">
        <v>210</v>
      </c>
      <c r="E111" s="119">
        <v>25.101299999999998</v>
      </c>
      <c r="F111" s="119">
        <v>25.014500000000002</v>
      </c>
      <c r="G111" s="119">
        <v>1421.35</v>
      </c>
      <c r="H111" s="119">
        <v>1421.24</v>
      </c>
      <c r="I111" s="119">
        <v>1421.47</v>
      </c>
      <c r="J111" s="119">
        <v>1420.76</v>
      </c>
      <c r="K111" s="119">
        <v>1421.76</v>
      </c>
      <c r="L111" s="119">
        <v>1420.89</v>
      </c>
      <c r="M111" s="119">
        <v>1421.13</v>
      </c>
      <c r="N111" s="119">
        <v>1421.76</v>
      </c>
      <c r="O111" s="119">
        <v>0.90478199999999998</v>
      </c>
      <c r="P111" s="119">
        <v>2499.13</v>
      </c>
      <c r="Q111" s="119">
        <v>2500</v>
      </c>
      <c r="R111" s="119">
        <v>2500.4</v>
      </c>
      <c r="S111" s="119">
        <v>2500.38</v>
      </c>
      <c r="T111" s="119">
        <v>2499.84</v>
      </c>
      <c r="U111" s="119">
        <v>2500.0100000000002</v>
      </c>
      <c r="V111" s="119">
        <v>2499.4</v>
      </c>
      <c r="W111" s="119">
        <v>2500.65</v>
      </c>
      <c r="X111" s="119">
        <v>210</v>
      </c>
      <c r="Y111" s="119">
        <v>6.1216899999999998E-2</v>
      </c>
      <c r="Z111" s="119">
        <v>-6.4629300000000001E-2</v>
      </c>
      <c r="AA111" s="119">
        <v>-6.4341899999999994E-2</v>
      </c>
      <c r="AB111" s="119">
        <v>-3.5042799999999998E-3</v>
      </c>
      <c r="AC111" s="119">
        <v>-7.7631599999999995E-2</v>
      </c>
      <c r="AD111" s="119">
        <v>-4.1948800000000001E-2</v>
      </c>
      <c r="AE111" s="119">
        <v>-0.11802600000000001</v>
      </c>
      <c r="AF111" s="119">
        <v>-7.0906899999999995E-2</v>
      </c>
      <c r="AG111" s="119" t="s">
        <v>453</v>
      </c>
      <c r="AH111" s="119" t="s">
        <v>173</v>
      </c>
      <c r="AI111" s="119">
        <v>100</v>
      </c>
      <c r="AJ111" s="119">
        <v>35.388565</v>
      </c>
      <c r="AK111" s="119">
        <v>6285222</v>
      </c>
      <c r="AL111" s="119">
        <v>1.6150000095367001</v>
      </c>
      <c r="AN111" s="123">
        <f t="shared" si="10"/>
        <v>46250</v>
      </c>
      <c r="AO111" s="124">
        <f t="shared" si="11"/>
        <v>0.63326388888888885</v>
      </c>
      <c r="AQ111" s="125">
        <v>0</v>
      </c>
      <c r="AR111" s="125">
        <v>0</v>
      </c>
      <c r="AS111" s="125">
        <v>0</v>
      </c>
      <c r="AT111" s="125">
        <v>0</v>
      </c>
    </row>
    <row r="112" spans="1:46">
      <c r="A112" s="118" t="s">
        <v>454</v>
      </c>
      <c r="B112" s="119">
        <v>7</v>
      </c>
      <c r="C112" s="119">
        <v>210</v>
      </c>
      <c r="D112" s="119">
        <v>210</v>
      </c>
      <c r="E112" s="119">
        <v>25.130199999999999</v>
      </c>
      <c r="F112" s="119">
        <v>25.020299999999999</v>
      </c>
      <c r="G112" s="119">
        <v>1442.8</v>
      </c>
      <c r="H112" s="119">
        <v>1442.48</v>
      </c>
      <c r="I112" s="119">
        <v>1442.91</v>
      </c>
      <c r="J112" s="119">
        <v>1443.04</v>
      </c>
      <c r="K112" s="119">
        <v>1442.43</v>
      </c>
      <c r="L112" s="119">
        <v>1442.85</v>
      </c>
      <c r="M112" s="119">
        <v>1443.14</v>
      </c>
      <c r="N112" s="119">
        <v>1443.17</v>
      </c>
      <c r="O112" s="119">
        <v>0.91444700000000001</v>
      </c>
      <c r="P112" s="119">
        <v>2500.44</v>
      </c>
      <c r="Q112" s="119">
        <v>2500.25</v>
      </c>
      <c r="R112" s="119">
        <v>2499.87</v>
      </c>
      <c r="S112" s="119">
        <v>2499.63</v>
      </c>
      <c r="T112" s="119">
        <v>2499.73</v>
      </c>
      <c r="U112" s="119">
        <v>2500.1</v>
      </c>
      <c r="V112" s="119">
        <v>2499.02</v>
      </c>
      <c r="W112" s="119">
        <v>2500.4299999999998</v>
      </c>
      <c r="X112" s="119">
        <v>209.8</v>
      </c>
      <c r="Y112" s="119">
        <v>6.5474000000000004E-2</v>
      </c>
      <c r="Z112" s="119">
        <v>-6.6208000000000003E-2</v>
      </c>
      <c r="AA112" s="119">
        <v>-6.23844E-2</v>
      </c>
      <c r="AB112" s="119">
        <v>-2.5248800000000002E-3</v>
      </c>
      <c r="AC112" s="119">
        <v>-7.9383499999999996E-2</v>
      </c>
      <c r="AD112" s="119">
        <v>-3.88031E-2</v>
      </c>
      <c r="AE112" s="119">
        <v>-0.15726999999999999</v>
      </c>
      <c r="AF112" s="119">
        <v>-7.6375700000000005E-2</v>
      </c>
      <c r="AG112" s="119" t="s">
        <v>455</v>
      </c>
      <c r="AH112" s="119" t="s">
        <v>173</v>
      </c>
      <c r="AI112" s="119">
        <v>100</v>
      </c>
      <c r="AJ112" s="119">
        <v>36.059196</v>
      </c>
      <c r="AK112" s="119">
        <v>6404330</v>
      </c>
      <c r="AL112" s="119">
        <v>1.6166666746139999</v>
      </c>
      <c r="AN112" s="123">
        <f t="shared" si="10"/>
        <v>46250</v>
      </c>
      <c r="AO112" s="124">
        <f t="shared" si="11"/>
        <v>0.64253472222222219</v>
      </c>
      <c r="AQ112" s="125">
        <v>0</v>
      </c>
      <c r="AR112" s="125">
        <v>0</v>
      </c>
      <c r="AS112" s="125">
        <v>0</v>
      </c>
      <c r="AT112" s="125">
        <v>0</v>
      </c>
    </row>
    <row r="113" spans="1:46">
      <c r="A113" s="118" t="s">
        <v>456</v>
      </c>
      <c r="B113" s="119">
        <v>8</v>
      </c>
      <c r="C113" s="119">
        <v>210</v>
      </c>
      <c r="D113" s="119">
        <v>210</v>
      </c>
      <c r="E113" s="119">
        <v>25.146100000000001</v>
      </c>
      <c r="F113" s="119">
        <v>25.015899999999998</v>
      </c>
      <c r="G113" s="119">
        <v>1442.75</v>
      </c>
      <c r="H113" s="119">
        <v>1443.13</v>
      </c>
      <c r="I113" s="119">
        <v>1442.27</v>
      </c>
      <c r="J113" s="119">
        <v>1443.18</v>
      </c>
      <c r="K113" s="119">
        <v>1442.78</v>
      </c>
      <c r="L113" s="119">
        <v>1442.71</v>
      </c>
      <c r="M113" s="119">
        <v>1442.43</v>
      </c>
      <c r="N113" s="119">
        <v>1443.16</v>
      </c>
      <c r="O113" s="119">
        <v>0.93958799999999998</v>
      </c>
      <c r="P113" s="119">
        <v>2499.89</v>
      </c>
      <c r="Q113" s="119">
        <v>2499.8000000000002</v>
      </c>
      <c r="R113" s="119">
        <v>2500.31</v>
      </c>
      <c r="S113" s="119">
        <v>2499.66</v>
      </c>
      <c r="T113" s="119">
        <v>2499.86</v>
      </c>
      <c r="U113" s="119">
        <v>2499.67</v>
      </c>
      <c r="V113" s="119">
        <v>2499.5100000000002</v>
      </c>
      <c r="W113" s="119">
        <v>2499.46</v>
      </c>
      <c r="X113" s="119">
        <v>210.1</v>
      </c>
      <c r="Y113" s="119">
        <v>6.7181699999999997E-2</v>
      </c>
      <c r="Z113" s="119">
        <v>-6.1911599999999997E-2</v>
      </c>
      <c r="AA113" s="119">
        <v>-6.1351999999999997E-2</v>
      </c>
      <c r="AB113" s="119">
        <v>4.4306399999999996E-3</v>
      </c>
      <c r="AC113" s="119">
        <v>-7.7682399999999999E-2</v>
      </c>
      <c r="AD113" s="119">
        <v>-3.8712200000000002E-2</v>
      </c>
      <c r="AE113" s="119">
        <v>-9.9395200000000003E-2</v>
      </c>
      <c r="AF113" s="119">
        <v>-6.7259100000000002E-2</v>
      </c>
      <c r="AG113" s="119" t="s">
        <v>457</v>
      </c>
      <c r="AH113" s="119" t="s">
        <v>173</v>
      </c>
      <c r="AI113" s="119">
        <v>100</v>
      </c>
      <c r="AJ113" s="119">
        <v>35.427504999999996</v>
      </c>
      <c r="AK113" s="119">
        <v>6292138</v>
      </c>
      <c r="AL113" s="119">
        <v>1.6150000095367001</v>
      </c>
      <c r="AN113" s="123">
        <f t="shared" si="10"/>
        <v>46250</v>
      </c>
      <c r="AO113" s="124">
        <f t="shared" si="11"/>
        <v>0.65180555555555553</v>
      </c>
      <c r="AQ113" s="125">
        <v>0</v>
      </c>
      <c r="AR113" s="125">
        <v>0</v>
      </c>
      <c r="AS113" s="125">
        <v>0</v>
      </c>
      <c r="AT113" s="125">
        <v>0</v>
      </c>
    </row>
    <row r="114" spans="1:46">
      <c r="A114" s="118" t="s">
        <v>458</v>
      </c>
      <c r="B114" s="119">
        <v>1</v>
      </c>
      <c r="C114" s="119">
        <v>210</v>
      </c>
      <c r="D114" s="119">
        <v>210</v>
      </c>
      <c r="E114" s="119">
        <v>25.193899999999999</v>
      </c>
      <c r="F114" s="119">
        <v>25.0029</v>
      </c>
      <c r="G114" s="119">
        <v>1423.01</v>
      </c>
      <c r="H114" s="119">
        <v>1422.62</v>
      </c>
      <c r="I114" s="119">
        <v>1424.22</v>
      </c>
      <c r="J114" s="119">
        <v>1426.22</v>
      </c>
      <c r="K114" s="119">
        <v>1424.46</v>
      </c>
      <c r="L114" s="119">
        <v>1424.39</v>
      </c>
      <c r="M114" s="119">
        <v>1423.83</v>
      </c>
      <c r="N114" s="119">
        <v>1424.07</v>
      </c>
      <c r="O114" s="119">
        <v>0.958924</v>
      </c>
      <c r="P114" s="119">
        <v>2499.91</v>
      </c>
      <c r="Q114" s="119">
        <v>2500.4699999999998</v>
      </c>
      <c r="R114" s="119">
        <v>2500.54</v>
      </c>
      <c r="S114" s="119">
        <v>2499.4299999999998</v>
      </c>
      <c r="T114" s="119">
        <v>2500.38</v>
      </c>
      <c r="U114" s="119">
        <v>2500.13</v>
      </c>
      <c r="V114" s="119">
        <v>2499.39</v>
      </c>
      <c r="W114" s="119">
        <v>2500.65</v>
      </c>
      <c r="X114" s="119">
        <v>210</v>
      </c>
      <c r="Y114" s="119">
        <v>6.6864099999999996E-2</v>
      </c>
      <c r="Z114" s="119">
        <v>-6.6414799999999996E-2</v>
      </c>
      <c r="AA114" s="119">
        <v>-6.7343299999999995E-2</v>
      </c>
      <c r="AB114" s="119">
        <v>5.2604100000000001E-3</v>
      </c>
      <c r="AC114" s="119">
        <v>-7.8539999999999999E-2</v>
      </c>
      <c r="AD114" s="119">
        <v>-3.9278500000000001E-2</v>
      </c>
      <c r="AE114" s="119">
        <v>-0.100257</v>
      </c>
      <c r="AF114" s="119">
        <v>-7.3227899999999999E-2</v>
      </c>
      <c r="AG114" s="119" t="s">
        <v>459</v>
      </c>
      <c r="AH114" s="119" t="s">
        <v>173</v>
      </c>
      <c r="AI114" s="119">
        <v>100</v>
      </c>
      <c r="AJ114" s="119">
        <v>36.773034000000003</v>
      </c>
      <c r="AK114" s="119">
        <v>6531112</v>
      </c>
      <c r="AL114" s="119">
        <v>1.6166666746139999</v>
      </c>
      <c r="AN114" s="123">
        <f t="shared" si="10"/>
        <v>46250</v>
      </c>
      <c r="AO114" s="124">
        <f t="shared" si="11"/>
        <v>0.66107638888888887</v>
      </c>
      <c r="AQ114" s="125">
        <v>0</v>
      </c>
      <c r="AR114" s="125">
        <v>0</v>
      </c>
      <c r="AS114" s="125">
        <v>0</v>
      </c>
      <c r="AT114" s="125">
        <v>0</v>
      </c>
    </row>
    <row r="115" spans="1:46">
      <c r="A115" s="118" t="s">
        <v>460</v>
      </c>
      <c r="B115" s="119">
        <v>2</v>
      </c>
      <c r="C115" s="119">
        <v>210</v>
      </c>
      <c r="D115" s="119">
        <v>210</v>
      </c>
      <c r="E115" s="119">
        <v>25.1722</v>
      </c>
      <c r="F115" s="119">
        <v>25.023099999999999</v>
      </c>
      <c r="G115" s="119">
        <v>1419.71</v>
      </c>
      <c r="H115" s="119">
        <v>1419.63</v>
      </c>
      <c r="I115" s="119">
        <v>1418.85</v>
      </c>
      <c r="J115" s="119">
        <v>1418.27</v>
      </c>
      <c r="K115" s="119">
        <v>1419.55</v>
      </c>
      <c r="L115" s="119">
        <v>1418.89</v>
      </c>
      <c r="M115" s="119">
        <v>1419.14</v>
      </c>
      <c r="N115" s="119">
        <v>1420.35</v>
      </c>
      <c r="O115" s="119">
        <v>0.92299299999999995</v>
      </c>
      <c r="P115" s="119">
        <v>2499.67</v>
      </c>
      <c r="Q115" s="119">
        <v>2500.33</v>
      </c>
      <c r="R115" s="119">
        <v>2499.46</v>
      </c>
      <c r="S115" s="119">
        <v>2499.9699999999998</v>
      </c>
      <c r="T115" s="119">
        <v>2499.5500000000002</v>
      </c>
      <c r="U115" s="119">
        <v>2500.52</v>
      </c>
      <c r="V115" s="119">
        <v>2500.54</v>
      </c>
      <c r="W115" s="119">
        <v>2499.2399999999998</v>
      </c>
      <c r="X115" s="119">
        <v>209.9</v>
      </c>
      <c r="Y115" s="119">
        <v>6.4168699999999995E-2</v>
      </c>
      <c r="Z115" s="119">
        <v>-6.3016500000000003E-2</v>
      </c>
      <c r="AA115" s="119">
        <v>-6.4236399999999999E-2</v>
      </c>
      <c r="AB115" s="119">
        <v>2.49439E-3</v>
      </c>
      <c r="AC115" s="119">
        <v>-8.0172599999999997E-2</v>
      </c>
      <c r="AD115" s="119">
        <v>-3.9131399999999997E-2</v>
      </c>
      <c r="AE115" s="119">
        <v>-6.5281699999999998E-2</v>
      </c>
      <c r="AF115" s="119">
        <v>-6.6935700000000001E-2</v>
      </c>
      <c r="AG115" s="119" t="s">
        <v>461</v>
      </c>
      <c r="AH115" s="119" t="s">
        <v>173</v>
      </c>
      <c r="AI115" s="119">
        <v>100</v>
      </c>
      <c r="AJ115" s="119">
        <v>35.020926000000003</v>
      </c>
      <c r="AK115" s="119">
        <v>6219927</v>
      </c>
      <c r="AL115" s="119">
        <v>1.6166666746139999</v>
      </c>
      <c r="AN115" s="123">
        <f t="shared" si="10"/>
        <v>46250</v>
      </c>
      <c r="AO115" s="124">
        <f t="shared" si="11"/>
        <v>0.67034722222222221</v>
      </c>
      <c r="AQ115" s="125">
        <v>0</v>
      </c>
      <c r="AR115" s="125">
        <v>0</v>
      </c>
      <c r="AS115" s="125">
        <v>0</v>
      </c>
      <c r="AT115" s="125">
        <v>0</v>
      </c>
    </row>
    <row r="116" spans="1:46">
      <c r="A116" s="118" t="s">
        <v>462</v>
      </c>
      <c r="B116" s="119">
        <v>3</v>
      </c>
      <c r="C116" s="119">
        <v>210</v>
      </c>
      <c r="D116" s="119">
        <v>210</v>
      </c>
      <c r="E116" s="119">
        <v>25.1751</v>
      </c>
      <c r="F116" s="119">
        <v>25.011600000000001</v>
      </c>
      <c r="G116" s="119">
        <v>1429.11</v>
      </c>
      <c r="H116" s="119">
        <v>1429.88</v>
      </c>
      <c r="I116" s="119">
        <v>1429.34</v>
      </c>
      <c r="J116" s="119">
        <v>1429.98</v>
      </c>
      <c r="K116" s="119">
        <v>1429.56</v>
      </c>
      <c r="L116" s="119">
        <v>1429.03</v>
      </c>
      <c r="M116" s="119">
        <v>1428.95</v>
      </c>
      <c r="N116" s="119">
        <v>1429.54</v>
      </c>
      <c r="O116" s="119">
        <v>0.92482600000000004</v>
      </c>
      <c r="P116" s="119">
        <v>2500.13</v>
      </c>
      <c r="Q116" s="119">
        <v>2499.9499999999998</v>
      </c>
      <c r="R116" s="119">
        <v>2499.98</v>
      </c>
      <c r="S116" s="119">
        <v>2499.92</v>
      </c>
      <c r="T116" s="119">
        <v>2500</v>
      </c>
      <c r="U116" s="119">
        <v>2500.13</v>
      </c>
      <c r="V116" s="119">
        <v>2499.92</v>
      </c>
      <c r="W116" s="119">
        <v>2500.1799999999998</v>
      </c>
      <c r="X116" s="119">
        <v>210.1</v>
      </c>
      <c r="Y116" s="119">
        <v>6.3927399999999995E-2</v>
      </c>
      <c r="Z116" s="119">
        <v>-6.2864699999999996E-2</v>
      </c>
      <c r="AA116" s="119">
        <v>-6.1918800000000003E-2</v>
      </c>
      <c r="AB116" s="119">
        <v>-1.34293E-3</v>
      </c>
      <c r="AC116" s="119">
        <v>-7.9220399999999996E-2</v>
      </c>
      <c r="AD116" s="119">
        <v>-3.8843700000000002E-2</v>
      </c>
      <c r="AE116" s="119">
        <v>-9.3554799999999994E-2</v>
      </c>
      <c r="AF116" s="119">
        <v>-7.1268300000000007E-2</v>
      </c>
      <c r="AG116" s="119" t="s">
        <v>463</v>
      </c>
      <c r="AH116" s="119" t="s">
        <v>173</v>
      </c>
      <c r="AI116" s="119">
        <v>100</v>
      </c>
      <c r="AJ116" s="119">
        <v>35.188876</v>
      </c>
      <c r="AK116" s="119">
        <v>6249756</v>
      </c>
      <c r="AL116" s="119">
        <v>1.6166666746139999</v>
      </c>
      <c r="AN116" s="123">
        <f t="shared" si="10"/>
        <v>46250</v>
      </c>
      <c r="AO116" s="124">
        <f t="shared" si="11"/>
        <v>0.67961805555555554</v>
      </c>
      <c r="AQ116" s="125">
        <v>0</v>
      </c>
      <c r="AR116" s="125">
        <v>0</v>
      </c>
      <c r="AS116" s="125">
        <v>0</v>
      </c>
      <c r="AT116" s="125">
        <v>0</v>
      </c>
    </row>
    <row r="117" spans="1:46">
      <c r="A117" s="118" t="s">
        <v>464</v>
      </c>
      <c r="B117" s="119">
        <v>4</v>
      </c>
      <c r="C117" s="119">
        <v>210.1</v>
      </c>
      <c r="D117" s="119">
        <v>209.9</v>
      </c>
      <c r="E117" s="119">
        <v>25.098400000000002</v>
      </c>
      <c r="F117" s="119">
        <v>25.023099999999999</v>
      </c>
      <c r="G117" s="119">
        <v>1442.53</v>
      </c>
      <c r="H117" s="119">
        <v>1442.74</v>
      </c>
      <c r="I117" s="119">
        <v>1441.31</v>
      </c>
      <c r="J117" s="119">
        <v>1441.82</v>
      </c>
      <c r="K117" s="119">
        <v>1442.55</v>
      </c>
      <c r="L117" s="119">
        <v>1442.7</v>
      </c>
      <c r="M117" s="119">
        <v>1441.95</v>
      </c>
      <c r="N117" s="119">
        <v>1442.55</v>
      </c>
      <c r="O117" s="119">
        <v>0.87082199999999998</v>
      </c>
      <c r="P117" s="119">
        <v>2500.0700000000002</v>
      </c>
      <c r="Q117" s="119">
        <v>2499.69</v>
      </c>
      <c r="R117" s="119">
        <v>2500.85</v>
      </c>
      <c r="S117" s="119">
        <v>2500.34</v>
      </c>
      <c r="T117" s="119">
        <v>2500.0700000000002</v>
      </c>
      <c r="U117" s="119">
        <v>2499.81</v>
      </c>
      <c r="V117" s="119">
        <v>2500.41</v>
      </c>
      <c r="W117" s="119">
        <v>2500.0100000000002</v>
      </c>
      <c r="X117" s="119">
        <v>210</v>
      </c>
      <c r="Y117" s="119">
        <v>6.6161800000000007E-2</v>
      </c>
      <c r="Z117" s="119">
        <v>-5.8760699999999999E-2</v>
      </c>
      <c r="AA117" s="119">
        <v>-5.7042099999999998E-2</v>
      </c>
      <c r="AB117" s="119">
        <v>6.3902700000000002E-4</v>
      </c>
      <c r="AC117" s="119">
        <v>-7.8276499999999999E-2</v>
      </c>
      <c r="AD117" s="119">
        <v>-3.9265700000000001E-2</v>
      </c>
      <c r="AE117" s="119">
        <v>-5.8349400000000003E-2</v>
      </c>
      <c r="AF117" s="119">
        <v>-6.9713200000000003E-2</v>
      </c>
      <c r="AG117" s="119" t="s">
        <v>465</v>
      </c>
      <c r="AH117" s="119" t="s">
        <v>173</v>
      </c>
      <c r="AI117" s="119">
        <v>100</v>
      </c>
      <c r="AJ117" s="119">
        <v>36.431305999999999</v>
      </c>
      <c r="AK117" s="119">
        <v>6470419</v>
      </c>
      <c r="AL117" s="119">
        <v>1.6150000095367001</v>
      </c>
      <c r="AN117" s="123">
        <f t="shared" si="10"/>
        <v>46250</v>
      </c>
      <c r="AO117" s="124">
        <f t="shared" si="11"/>
        <v>0.68891203703703707</v>
      </c>
      <c r="AQ117" s="125">
        <v>0</v>
      </c>
      <c r="AR117" s="125">
        <v>0</v>
      </c>
      <c r="AS117" s="125">
        <v>0</v>
      </c>
      <c r="AT117" s="125">
        <v>0</v>
      </c>
    </row>
    <row r="118" spans="1:46">
      <c r="A118" s="118" t="s">
        <v>466</v>
      </c>
      <c r="B118" s="119">
        <v>5</v>
      </c>
      <c r="C118" s="119">
        <v>210</v>
      </c>
      <c r="D118" s="119">
        <v>210</v>
      </c>
      <c r="E118" s="119">
        <v>25.072299999999998</v>
      </c>
      <c r="F118" s="119">
        <v>25.037600000000001</v>
      </c>
      <c r="G118" s="119">
        <v>1374.85</v>
      </c>
      <c r="H118" s="119">
        <v>1375.14</v>
      </c>
      <c r="I118" s="119">
        <v>1375.47</v>
      </c>
      <c r="J118" s="119">
        <v>1376.15</v>
      </c>
      <c r="K118" s="119">
        <v>1375.17</v>
      </c>
      <c r="L118" s="119">
        <v>1374.67</v>
      </c>
      <c r="M118" s="119">
        <v>1375.16</v>
      </c>
      <c r="N118" s="119">
        <v>1375.27</v>
      </c>
      <c r="O118" s="119">
        <v>0.98938300000000001</v>
      </c>
      <c r="P118" s="119">
        <v>2499.5500000000002</v>
      </c>
      <c r="Q118" s="119">
        <v>2500.25</v>
      </c>
      <c r="R118" s="119">
        <v>2499.39</v>
      </c>
      <c r="S118" s="119">
        <v>2499.6999999999998</v>
      </c>
      <c r="T118" s="119">
        <v>2499.83</v>
      </c>
      <c r="U118" s="119">
        <v>2499.71</v>
      </c>
      <c r="V118" s="119">
        <v>2498.56</v>
      </c>
      <c r="W118" s="119">
        <v>2499.63</v>
      </c>
      <c r="X118" s="119">
        <v>209.9</v>
      </c>
      <c r="Y118" s="119">
        <v>6.1706299999999999E-2</v>
      </c>
      <c r="Z118" s="119">
        <v>-6.1204300000000003E-2</v>
      </c>
      <c r="AA118" s="119">
        <v>-6.2978999999999993E-2</v>
      </c>
      <c r="AB118" s="119">
        <v>-6.6825299999999999E-3</v>
      </c>
      <c r="AC118" s="119">
        <v>-7.8902799999999995E-2</v>
      </c>
      <c r="AD118" s="119">
        <v>-4.2215299999999997E-2</v>
      </c>
      <c r="AE118" s="119">
        <v>-0.111982</v>
      </c>
      <c r="AF118" s="119">
        <v>-7.5635499999999994E-2</v>
      </c>
      <c r="AG118" s="119" t="s">
        <v>467</v>
      </c>
      <c r="AH118" s="119" t="s">
        <v>173</v>
      </c>
      <c r="AI118" s="119">
        <v>100</v>
      </c>
      <c r="AJ118" s="119">
        <v>36.304886000000003</v>
      </c>
      <c r="AK118" s="119">
        <v>6447966</v>
      </c>
      <c r="AL118" s="119">
        <v>1.6150000095367001</v>
      </c>
      <c r="AN118" s="123">
        <f t="shared" si="10"/>
        <v>46250</v>
      </c>
      <c r="AO118" s="124">
        <f t="shared" si="11"/>
        <v>0.69817129629629626</v>
      </c>
      <c r="AQ118" s="125">
        <v>0</v>
      </c>
      <c r="AR118" s="125">
        <v>0</v>
      </c>
      <c r="AS118" s="125">
        <v>0</v>
      </c>
      <c r="AT118" s="125">
        <v>0</v>
      </c>
    </row>
    <row r="119" spans="1:46">
      <c r="A119" s="118" t="s">
        <v>468</v>
      </c>
      <c r="B119" s="119">
        <v>6</v>
      </c>
      <c r="C119" s="119">
        <v>210</v>
      </c>
      <c r="D119" s="119">
        <v>210</v>
      </c>
      <c r="E119" s="119">
        <v>25.0839</v>
      </c>
      <c r="F119" s="119">
        <v>25.014500000000002</v>
      </c>
      <c r="G119" s="119">
        <v>1401.59</v>
      </c>
      <c r="H119" s="119">
        <v>1401.38</v>
      </c>
      <c r="I119" s="119">
        <v>1401.52</v>
      </c>
      <c r="J119" s="119">
        <v>1400.47</v>
      </c>
      <c r="K119" s="119">
        <v>1401.63</v>
      </c>
      <c r="L119" s="119">
        <v>1401.54</v>
      </c>
      <c r="M119" s="119">
        <v>1401.75</v>
      </c>
      <c r="N119" s="119">
        <v>1401.52</v>
      </c>
      <c r="O119" s="119">
        <v>0.94420800000000005</v>
      </c>
      <c r="P119" s="119">
        <v>2500.2399999999998</v>
      </c>
      <c r="Q119" s="119">
        <v>2500.04</v>
      </c>
      <c r="R119" s="119">
        <v>2500.42</v>
      </c>
      <c r="S119" s="119">
        <v>2499.86</v>
      </c>
      <c r="T119" s="119">
        <v>2500.4299999999998</v>
      </c>
      <c r="U119" s="119">
        <v>2499.31</v>
      </c>
      <c r="V119" s="119">
        <v>2500.06</v>
      </c>
      <c r="W119" s="119">
        <v>2499.12</v>
      </c>
      <c r="X119" s="119">
        <v>210.1</v>
      </c>
      <c r="Y119" s="119">
        <v>6.5555600000000006E-2</v>
      </c>
      <c r="Z119" s="119">
        <v>-6.1041600000000001E-2</v>
      </c>
      <c r="AA119" s="119">
        <v>-6.4664799999999995E-2</v>
      </c>
      <c r="AB119" s="119">
        <v>2.1762000000000001E-3</v>
      </c>
      <c r="AC119" s="119">
        <v>-7.8534900000000005E-2</v>
      </c>
      <c r="AD119" s="119">
        <v>-4.2002200000000003E-2</v>
      </c>
      <c r="AE119" s="119">
        <v>-0.178341</v>
      </c>
      <c r="AF119" s="119">
        <v>-7.9599600000000006E-2</v>
      </c>
      <c r="AG119" s="119" t="s">
        <v>469</v>
      </c>
      <c r="AH119" s="119" t="s">
        <v>173</v>
      </c>
      <c r="AI119" s="119">
        <v>100</v>
      </c>
      <c r="AJ119" s="119">
        <v>35.359152000000002</v>
      </c>
      <c r="AK119" s="119">
        <v>6279998</v>
      </c>
      <c r="AL119" s="119">
        <v>1.6166666746139999</v>
      </c>
      <c r="AN119" s="123">
        <f t="shared" si="10"/>
        <v>46250</v>
      </c>
      <c r="AO119" s="124">
        <f t="shared" si="11"/>
        <v>0.70745370370370375</v>
      </c>
      <c r="AQ119" s="125">
        <v>0</v>
      </c>
      <c r="AR119" s="125">
        <v>0</v>
      </c>
      <c r="AS119" s="125">
        <v>0</v>
      </c>
      <c r="AT119" s="125">
        <v>0</v>
      </c>
    </row>
    <row r="120" spans="1:46">
      <c r="A120" s="118" t="s">
        <v>470</v>
      </c>
      <c r="B120" s="119">
        <v>7</v>
      </c>
      <c r="C120" s="119">
        <v>210</v>
      </c>
      <c r="D120" s="119">
        <v>210</v>
      </c>
      <c r="E120" s="119">
        <v>25.2286</v>
      </c>
      <c r="F120" s="119">
        <v>25.011600000000001</v>
      </c>
      <c r="G120" s="119">
        <v>1416.4</v>
      </c>
      <c r="H120" s="119">
        <v>1416.23</v>
      </c>
      <c r="I120" s="119">
        <v>1417.03</v>
      </c>
      <c r="J120" s="119">
        <v>1418.23</v>
      </c>
      <c r="K120" s="119">
        <v>1416.05</v>
      </c>
      <c r="L120" s="119">
        <v>1416.86</v>
      </c>
      <c r="M120" s="119">
        <v>1416.61</v>
      </c>
      <c r="N120" s="119">
        <v>1416.2</v>
      </c>
      <c r="O120" s="119">
        <v>0.94756600000000002</v>
      </c>
      <c r="P120" s="119">
        <v>2499.96</v>
      </c>
      <c r="Q120" s="119">
        <v>2499.9299999999998</v>
      </c>
      <c r="R120" s="119">
        <v>2499.75</v>
      </c>
      <c r="S120" s="119">
        <v>2499.64</v>
      </c>
      <c r="T120" s="119">
        <v>2500.19</v>
      </c>
      <c r="U120" s="119">
        <v>2499.88</v>
      </c>
      <c r="V120" s="119">
        <v>2499.5500000000002</v>
      </c>
      <c r="W120" s="119">
        <v>2501.04</v>
      </c>
      <c r="X120" s="119">
        <v>210.1</v>
      </c>
      <c r="Y120" s="119">
        <v>6.49227E-2</v>
      </c>
      <c r="Z120" s="119">
        <v>-6.1476799999999998E-2</v>
      </c>
      <c r="AA120" s="119">
        <v>-6.4934599999999995E-2</v>
      </c>
      <c r="AB120" s="119">
        <v>-2.0216800000000001E-3</v>
      </c>
      <c r="AC120" s="119">
        <v>-7.7311199999999997E-2</v>
      </c>
      <c r="AD120" s="119">
        <v>-3.6611499999999998E-2</v>
      </c>
      <c r="AE120" s="119">
        <v>-8.0879099999999995E-2</v>
      </c>
      <c r="AF120" s="119">
        <v>-7.3328099999999993E-2</v>
      </c>
      <c r="AG120" s="119" t="s">
        <v>471</v>
      </c>
      <c r="AH120" s="119" t="s">
        <v>173</v>
      </c>
      <c r="AI120" s="119">
        <v>100</v>
      </c>
      <c r="AJ120" s="119">
        <v>36.076228</v>
      </c>
      <c r="AK120" s="119">
        <v>6407355</v>
      </c>
      <c r="AL120" s="119">
        <v>1.6150000095367001</v>
      </c>
      <c r="AN120" s="123">
        <f t="shared" si="10"/>
        <v>46250</v>
      </c>
      <c r="AO120" s="124">
        <f t="shared" si="11"/>
        <v>0.71673611111111113</v>
      </c>
      <c r="AQ120" s="125">
        <v>0</v>
      </c>
      <c r="AR120" s="125">
        <v>0</v>
      </c>
      <c r="AS120" s="125">
        <v>0</v>
      </c>
      <c r="AT120" s="125">
        <v>0</v>
      </c>
    </row>
    <row r="121" spans="1:46">
      <c r="A121" s="118" t="s">
        <v>472</v>
      </c>
      <c r="B121" s="119">
        <v>8</v>
      </c>
      <c r="C121" s="119">
        <v>210.1</v>
      </c>
      <c r="D121" s="119">
        <v>210</v>
      </c>
      <c r="E121" s="119">
        <v>25.235800000000001</v>
      </c>
      <c r="F121" s="119">
        <v>25.010100000000001</v>
      </c>
      <c r="G121" s="119">
        <v>1408.6</v>
      </c>
      <c r="H121" s="119">
        <v>1408.43</v>
      </c>
      <c r="I121" s="119">
        <v>1408.26</v>
      </c>
      <c r="J121" s="119">
        <v>1408.16</v>
      </c>
      <c r="K121" s="119">
        <v>1407.88</v>
      </c>
      <c r="L121" s="119">
        <v>1408.43</v>
      </c>
      <c r="M121" s="119">
        <v>1408.21</v>
      </c>
      <c r="N121" s="119">
        <v>1408.01</v>
      </c>
      <c r="O121" s="119">
        <v>0.947766</v>
      </c>
      <c r="P121" s="119">
        <v>2500.4</v>
      </c>
      <c r="Q121" s="119">
        <v>2499.83</v>
      </c>
      <c r="R121" s="119">
        <v>2500.02</v>
      </c>
      <c r="S121" s="119">
        <v>2499.8000000000002</v>
      </c>
      <c r="T121" s="119">
        <v>2500.2199999999998</v>
      </c>
      <c r="U121" s="119">
        <v>2499.85</v>
      </c>
      <c r="V121" s="119">
        <v>2499.0100000000002</v>
      </c>
      <c r="W121" s="119">
        <v>2499.6999999999998</v>
      </c>
      <c r="X121" s="119">
        <v>210.1</v>
      </c>
      <c r="Y121" s="119">
        <v>6.2666899999999998E-2</v>
      </c>
      <c r="Z121" s="119">
        <v>-6.4100599999999994E-2</v>
      </c>
      <c r="AA121" s="119">
        <v>-5.8604400000000001E-2</v>
      </c>
      <c r="AB121" s="119">
        <v>7.6700499999999997E-4</v>
      </c>
      <c r="AC121" s="119">
        <v>-8.1546999999999994E-2</v>
      </c>
      <c r="AD121" s="119">
        <v>-3.9393499999999998E-2</v>
      </c>
      <c r="AE121" s="119">
        <v>-0.100038</v>
      </c>
      <c r="AF121" s="119">
        <v>-7.5769100000000006E-2</v>
      </c>
      <c r="AG121" s="119" t="s">
        <v>473</v>
      </c>
      <c r="AH121" s="119" t="s">
        <v>173</v>
      </c>
      <c r="AI121" s="119">
        <v>100</v>
      </c>
      <c r="AJ121" s="119">
        <v>35.537540999999997</v>
      </c>
      <c r="AK121" s="119">
        <v>6311681</v>
      </c>
      <c r="AL121" s="119">
        <v>1.6166666746139999</v>
      </c>
      <c r="AN121" s="123">
        <f t="shared" si="10"/>
        <v>46250</v>
      </c>
      <c r="AO121" s="124">
        <f t="shared" si="11"/>
        <v>0.72601851851851851</v>
      </c>
      <c r="AQ121" s="125">
        <v>0</v>
      </c>
      <c r="AR121" s="125">
        <v>0</v>
      </c>
      <c r="AS121" s="125">
        <v>0</v>
      </c>
      <c r="AT121" s="125">
        <v>0</v>
      </c>
    </row>
    <row r="122" spans="1:46">
      <c r="A122" s="118" t="s">
        <v>474</v>
      </c>
      <c r="B122" s="119">
        <v>1</v>
      </c>
      <c r="C122" s="119">
        <v>210</v>
      </c>
      <c r="D122" s="119">
        <v>210</v>
      </c>
      <c r="E122" s="119">
        <v>25.215599999999998</v>
      </c>
      <c r="F122" s="119">
        <v>25.004300000000001</v>
      </c>
      <c r="G122" s="119">
        <v>1398.1</v>
      </c>
      <c r="H122" s="119">
        <v>1398.5</v>
      </c>
      <c r="I122" s="119">
        <v>1398.86</v>
      </c>
      <c r="J122" s="119">
        <v>1400.22</v>
      </c>
      <c r="K122" s="119">
        <v>1398.82</v>
      </c>
      <c r="L122" s="119">
        <v>1398.48</v>
      </c>
      <c r="M122" s="119">
        <v>1398.69</v>
      </c>
      <c r="N122" s="119">
        <v>1398.22</v>
      </c>
      <c r="O122" s="119">
        <v>0.96393899999999999</v>
      </c>
      <c r="P122" s="119">
        <v>2500.35</v>
      </c>
      <c r="Q122" s="119">
        <v>2500.1</v>
      </c>
      <c r="R122" s="119">
        <v>2499.88</v>
      </c>
      <c r="S122" s="119">
        <v>2500.0100000000002</v>
      </c>
      <c r="T122" s="119">
        <v>2499.6</v>
      </c>
      <c r="U122" s="119">
        <v>2499.69</v>
      </c>
      <c r="V122" s="119">
        <v>2499.88</v>
      </c>
      <c r="W122" s="119">
        <v>2500.5300000000002</v>
      </c>
      <c r="X122" s="119">
        <v>209.9</v>
      </c>
      <c r="Y122" s="119">
        <v>6.4101400000000003E-2</v>
      </c>
      <c r="Z122" s="119">
        <v>-6.4376500000000003E-2</v>
      </c>
      <c r="AA122" s="119">
        <v>-6.3240299999999999E-2</v>
      </c>
      <c r="AB122" s="119">
        <v>6.16065E-5</v>
      </c>
      <c r="AC122" s="119">
        <v>-8.1043900000000002E-2</v>
      </c>
      <c r="AD122" s="119">
        <v>-3.68828E-2</v>
      </c>
      <c r="AE122" s="119">
        <v>-8.3835599999999996E-2</v>
      </c>
      <c r="AF122" s="119">
        <v>-7.4026599999999998E-2</v>
      </c>
      <c r="AG122" s="119" t="s">
        <v>475</v>
      </c>
      <c r="AH122" s="119" t="s">
        <v>173</v>
      </c>
      <c r="AI122" s="119">
        <v>100</v>
      </c>
      <c r="AJ122" s="119">
        <v>36.865357000000003</v>
      </c>
      <c r="AK122" s="119">
        <v>6547509</v>
      </c>
      <c r="AL122" s="119">
        <v>1.6166666746139999</v>
      </c>
      <c r="AN122" s="123">
        <f t="shared" si="10"/>
        <v>46250</v>
      </c>
      <c r="AO122" s="124">
        <f t="shared" si="11"/>
        <v>0.73527777777777781</v>
      </c>
      <c r="AQ122" s="125">
        <v>0</v>
      </c>
      <c r="AR122" s="125">
        <v>0</v>
      </c>
      <c r="AS122" s="125">
        <v>0</v>
      </c>
      <c r="AT122" s="125">
        <v>0</v>
      </c>
    </row>
    <row r="123" spans="1:46">
      <c r="A123" s="118" t="s">
        <v>476</v>
      </c>
      <c r="B123" s="119">
        <v>2</v>
      </c>
      <c r="C123" s="119">
        <v>210</v>
      </c>
      <c r="D123" s="119">
        <v>210</v>
      </c>
      <c r="E123" s="119">
        <v>25.264800000000001</v>
      </c>
      <c r="F123" s="119">
        <v>25.021699999999999</v>
      </c>
      <c r="G123" s="119">
        <v>1420.3</v>
      </c>
      <c r="H123" s="119">
        <v>1421.54</v>
      </c>
      <c r="I123" s="119">
        <v>1420.87</v>
      </c>
      <c r="J123" s="119">
        <v>1420.7</v>
      </c>
      <c r="K123" s="119">
        <v>1420.66</v>
      </c>
      <c r="L123" s="119">
        <v>1419.31</v>
      </c>
      <c r="M123" s="119">
        <v>1420.77</v>
      </c>
      <c r="N123" s="119">
        <v>1420.93</v>
      </c>
      <c r="O123" s="119">
        <v>0.916543</v>
      </c>
      <c r="P123" s="119">
        <v>2499.9899999999998</v>
      </c>
      <c r="Q123" s="119">
        <v>2500.2800000000002</v>
      </c>
      <c r="R123" s="119">
        <v>2499.77</v>
      </c>
      <c r="S123" s="119">
        <v>2499.69</v>
      </c>
      <c r="T123" s="119">
        <v>2500.4299999999998</v>
      </c>
      <c r="U123" s="119">
        <v>2499.12</v>
      </c>
      <c r="V123" s="119">
        <v>2500.38</v>
      </c>
      <c r="W123" s="119">
        <v>2500.19</v>
      </c>
      <c r="X123" s="119">
        <v>209.7</v>
      </c>
      <c r="Y123" s="119">
        <v>6.6488800000000001E-2</v>
      </c>
      <c r="Z123" s="119">
        <v>-6.4527299999999996E-2</v>
      </c>
      <c r="AA123" s="119">
        <v>-6.1374499999999999E-2</v>
      </c>
      <c r="AB123" s="119">
        <v>4.6120800000000001E-4</v>
      </c>
      <c r="AC123" s="119">
        <v>-7.5637200000000002E-2</v>
      </c>
      <c r="AD123" s="119">
        <v>-3.6326999999999998E-2</v>
      </c>
      <c r="AE123" s="119">
        <v>-7.8645400000000004E-2</v>
      </c>
      <c r="AF123" s="119">
        <v>-6.9875999999999994E-2</v>
      </c>
      <c r="AG123" s="119" t="s">
        <v>477</v>
      </c>
      <c r="AH123" s="119" t="s">
        <v>173</v>
      </c>
      <c r="AI123" s="119">
        <v>100</v>
      </c>
      <c r="AJ123" s="119">
        <v>34.920372</v>
      </c>
      <c r="AK123" s="119">
        <v>6202068</v>
      </c>
      <c r="AL123" s="119">
        <v>1.6150000095367001</v>
      </c>
      <c r="AN123" s="123">
        <f t="shared" si="10"/>
        <v>46250</v>
      </c>
      <c r="AO123" s="124">
        <f t="shared" si="11"/>
        <v>0.74454861111111115</v>
      </c>
      <c r="AQ123" s="125">
        <v>0</v>
      </c>
      <c r="AR123" s="125">
        <v>0</v>
      </c>
      <c r="AS123" s="125">
        <v>0</v>
      </c>
      <c r="AT123" s="125">
        <v>0</v>
      </c>
    </row>
    <row r="124" spans="1:46">
      <c r="A124" s="118" t="s">
        <v>478</v>
      </c>
      <c r="B124" s="119">
        <v>3</v>
      </c>
      <c r="C124" s="119">
        <v>210</v>
      </c>
      <c r="D124" s="119">
        <v>209.9</v>
      </c>
      <c r="E124" s="119">
        <v>25.188099999999999</v>
      </c>
      <c r="F124" s="119">
        <v>25.017399999999999</v>
      </c>
      <c r="G124" s="119">
        <v>1393.89</v>
      </c>
      <c r="H124" s="119">
        <v>1393.66</v>
      </c>
      <c r="I124" s="119">
        <v>1393.54</v>
      </c>
      <c r="J124" s="119">
        <v>1392.4</v>
      </c>
      <c r="K124" s="119">
        <v>1394.13</v>
      </c>
      <c r="L124" s="119">
        <v>1393.66</v>
      </c>
      <c r="M124" s="119">
        <v>1394.11</v>
      </c>
      <c r="N124" s="119">
        <v>1394.5</v>
      </c>
      <c r="O124" s="119">
        <v>0.92936799999999997</v>
      </c>
      <c r="P124" s="119">
        <v>2500.29</v>
      </c>
      <c r="Q124" s="119">
        <v>2500.73</v>
      </c>
      <c r="R124" s="119">
        <v>2499.92</v>
      </c>
      <c r="S124" s="119">
        <v>2500.0700000000002</v>
      </c>
      <c r="T124" s="119">
        <v>2499.84</v>
      </c>
      <c r="U124" s="119">
        <v>2499.65</v>
      </c>
      <c r="V124" s="119">
        <v>2499.6999999999998</v>
      </c>
      <c r="W124" s="119">
        <v>2499.92</v>
      </c>
      <c r="X124" s="119">
        <v>210.1</v>
      </c>
      <c r="Y124" s="119">
        <v>6.0948299999999997E-2</v>
      </c>
      <c r="Z124" s="119">
        <v>-6.4066499999999998E-2</v>
      </c>
      <c r="AA124" s="119">
        <v>-6.2343599999999999E-2</v>
      </c>
      <c r="AB124" s="119">
        <v>1.99366E-3</v>
      </c>
      <c r="AC124" s="119">
        <v>-7.7674499999999994E-2</v>
      </c>
      <c r="AD124" s="119">
        <v>-4.07193E-2</v>
      </c>
      <c r="AE124" s="119">
        <v>-5.35903E-2</v>
      </c>
      <c r="AF124" s="119">
        <v>-6.4419900000000002E-2</v>
      </c>
      <c r="AG124" s="119" t="s">
        <v>479</v>
      </c>
      <c r="AH124" s="119" t="s">
        <v>173</v>
      </c>
      <c r="AI124" s="119">
        <v>100</v>
      </c>
      <c r="AJ124" s="119">
        <v>35.140922000000003</v>
      </c>
      <c r="AK124" s="119">
        <v>6241239</v>
      </c>
      <c r="AL124" s="119">
        <v>1.6166666746139999</v>
      </c>
      <c r="AN124" s="123">
        <f t="shared" si="10"/>
        <v>46250</v>
      </c>
      <c r="AO124" s="124">
        <f t="shared" si="11"/>
        <v>0.75381944444444449</v>
      </c>
      <c r="AQ124" s="125">
        <v>0</v>
      </c>
      <c r="AR124" s="125">
        <v>0</v>
      </c>
      <c r="AS124" s="125">
        <v>0</v>
      </c>
      <c r="AT124" s="125">
        <v>0</v>
      </c>
    </row>
    <row r="125" spans="1:46">
      <c r="A125" s="118" t="s">
        <v>480</v>
      </c>
      <c r="B125" s="119">
        <v>4</v>
      </c>
      <c r="C125" s="119">
        <v>210</v>
      </c>
      <c r="D125" s="119">
        <v>210</v>
      </c>
      <c r="E125" s="119">
        <v>25.190999999999999</v>
      </c>
      <c r="F125" s="119">
        <v>25.034700000000001</v>
      </c>
      <c r="G125" s="119">
        <v>1452.76</v>
      </c>
      <c r="H125" s="119">
        <v>1452.52</v>
      </c>
      <c r="I125" s="119">
        <v>1452.48</v>
      </c>
      <c r="J125" s="119">
        <v>1450.88</v>
      </c>
      <c r="K125" s="119">
        <v>1452.41</v>
      </c>
      <c r="L125" s="119">
        <v>1452.51</v>
      </c>
      <c r="M125" s="119">
        <v>1452.95</v>
      </c>
      <c r="N125" s="119">
        <v>1453.07</v>
      </c>
      <c r="O125" s="119">
        <v>0.88995899999999994</v>
      </c>
      <c r="P125" s="119">
        <v>2499.8200000000002</v>
      </c>
      <c r="Q125" s="119">
        <v>2499.8200000000002</v>
      </c>
      <c r="R125" s="119">
        <v>2500.21</v>
      </c>
      <c r="S125" s="119">
        <v>2499.5500000000002</v>
      </c>
      <c r="T125" s="119">
        <v>2500.27</v>
      </c>
      <c r="U125" s="119">
        <v>2500.5</v>
      </c>
      <c r="V125" s="119">
        <v>2500.06</v>
      </c>
      <c r="W125" s="119">
        <v>2500.25</v>
      </c>
      <c r="X125" s="119">
        <v>209.9</v>
      </c>
      <c r="Y125" s="119">
        <v>5.9914599999999998E-2</v>
      </c>
      <c r="Z125" s="119">
        <v>-6.5269800000000003E-2</v>
      </c>
      <c r="AA125" s="119">
        <v>-6.2595100000000001E-2</v>
      </c>
      <c r="AB125" s="119">
        <v>-1.2482699999999999E-3</v>
      </c>
      <c r="AC125" s="119">
        <v>-7.8010800000000005E-2</v>
      </c>
      <c r="AD125" s="119">
        <v>-3.8262499999999998E-2</v>
      </c>
      <c r="AE125" s="119">
        <v>-6.7331600000000005E-2</v>
      </c>
      <c r="AF125" s="119">
        <v>-6.8570199999999998E-2</v>
      </c>
      <c r="AG125" s="119" t="s">
        <v>481</v>
      </c>
      <c r="AH125" s="119" t="s">
        <v>173</v>
      </c>
      <c r="AI125" s="119">
        <v>100</v>
      </c>
      <c r="AJ125" s="119">
        <v>36.327807</v>
      </c>
      <c r="AK125" s="119">
        <v>6452037</v>
      </c>
      <c r="AL125" s="119">
        <v>1.6150000095367001</v>
      </c>
      <c r="AN125" s="123">
        <f t="shared" si="10"/>
        <v>46250</v>
      </c>
      <c r="AO125" s="124">
        <f t="shared" si="11"/>
        <v>0.76310185185185186</v>
      </c>
      <c r="AQ125" s="125">
        <v>0</v>
      </c>
      <c r="AR125" s="125">
        <v>0</v>
      </c>
      <c r="AS125" s="125">
        <v>0</v>
      </c>
      <c r="AT125" s="125">
        <v>0</v>
      </c>
    </row>
    <row r="126" spans="1:46">
      <c r="A126" s="118" t="s">
        <v>482</v>
      </c>
      <c r="B126" s="119">
        <v>5</v>
      </c>
      <c r="C126" s="119">
        <v>210</v>
      </c>
      <c r="D126" s="119">
        <v>210</v>
      </c>
      <c r="E126" s="119">
        <v>25.204000000000001</v>
      </c>
      <c r="F126" s="119">
        <v>25.021699999999999</v>
      </c>
      <c r="G126" s="119">
        <v>1415.27</v>
      </c>
      <c r="H126" s="119">
        <v>1414.96</v>
      </c>
      <c r="I126" s="119">
        <v>1414.9</v>
      </c>
      <c r="J126" s="119">
        <v>1414</v>
      </c>
      <c r="K126" s="119">
        <v>1415.36</v>
      </c>
      <c r="L126" s="119">
        <v>1414.66</v>
      </c>
      <c r="M126" s="119">
        <v>1415.01</v>
      </c>
      <c r="N126" s="119">
        <v>1415.52</v>
      </c>
      <c r="O126" s="119">
        <v>0.88976999999999995</v>
      </c>
      <c r="P126" s="119">
        <v>2500.19</v>
      </c>
      <c r="Q126" s="119">
        <v>2499.9499999999998</v>
      </c>
      <c r="R126" s="119">
        <v>2499.4699999999998</v>
      </c>
      <c r="S126" s="119">
        <v>2500.54</v>
      </c>
      <c r="T126" s="119">
        <v>2500.17</v>
      </c>
      <c r="U126" s="119">
        <v>2498.73</v>
      </c>
      <c r="V126" s="119">
        <v>2500.0300000000002</v>
      </c>
      <c r="W126" s="119">
        <v>2500.09</v>
      </c>
      <c r="X126" s="119">
        <v>209.9</v>
      </c>
      <c r="Y126" s="119">
        <v>6.7061899999999994E-2</v>
      </c>
      <c r="Z126" s="119">
        <v>-6.0822899999999999E-2</v>
      </c>
      <c r="AA126" s="119">
        <v>-5.8317000000000001E-2</v>
      </c>
      <c r="AB126" s="119">
        <v>2.77999E-3</v>
      </c>
      <c r="AC126" s="119">
        <v>-7.9488000000000003E-2</v>
      </c>
      <c r="AD126" s="119">
        <v>-3.9569300000000002E-2</v>
      </c>
      <c r="AE126" s="119">
        <v>-5.4843000000000003E-2</v>
      </c>
      <c r="AF126" s="119">
        <v>-6.6837300000000002E-2</v>
      </c>
      <c r="AG126" s="119" t="s">
        <v>483</v>
      </c>
      <c r="AH126" s="119" t="s">
        <v>173</v>
      </c>
      <c r="AI126" s="119">
        <v>100</v>
      </c>
      <c r="AJ126" s="119">
        <v>36.385395000000003</v>
      </c>
      <c r="AK126" s="119">
        <v>6462265</v>
      </c>
      <c r="AL126" s="119">
        <v>1.6150000095367001</v>
      </c>
      <c r="AN126" s="123">
        <f t="shared" si="10"/>
        <v>46250</v>
      </c>
      <c r="AO126" s="124">
        <f t="shared" si="11"/>
        <v>0.77236111111111116</v>
      </c>
      <c r="AQ126" s="125">
        <v>0</v>
      </c>
      <c r="AR126" s="125">
        <v>0</v>
      </c>
      <c r="AS126" s="125">
        <v>0</v>
      </c>
      <c r="AT126" s="125">
        <v>0</v>
      </c>
    </row>
    <row r="127" spans="1:46">
      <c r="A127" s="118" t="s">
        <v>484</v>
      </c>
      <c r="B127" s="119">
        <v>6</v>
      </c>
      <c r="C127" s="119">
        <v>210</v>
      </c>
      <c r="D127" s="119">
        <v>210</v>
      </c>
      <c r="E127" s="119">
        <v>25.245999999999999</v>
      </c>
      <c r="F127" s="119">
        <v>25.020299999999999</v>
      </c>
      <c r="G127" s="119">
        <v>1447.32</v>
      </c>
      <c r="H127" s="119">
        <v>1442.97</v>
      </c>
      <c r="I127" s="119">
        <v>1442.22</v>
      </c>
      <c r="J127" s="119">
        <v>1441.46</v>
      </c>
      <c r="K127" s="119">
        <v>1442.48</v>
      </c>
      <c r="L127" s="119">
        <v>1442.2</v>
      </c>
      <c r="M127" s="119">
        <v>1442.6</v>
      </c>
      <c r="N127" s="119">
        <v>1443.2</v>
      </c>
      <c r="O127" s="119">
        <v>0.892509</v>
      </c>
      <c r="P127" s="119">
        <v>2500.16</v>
      </c>
      <c r="Q127" s="119">
        <v>2500.08</v>
      </c>
      <c r="R127" s="119">
        <v>2498.83</v>
      </c>
      <c r="S127" s="119">
        <v>2500.13</v>
      </c>
      <c r="T127" s="119">
        <v>2499.75</v>
      </c>
      <c r="U127" s="119">
        <v>2500.0700000000002</v>
      </c>
      <c r="V127" s="119">
        <v>2498.58</v>
      </c>
      <c r="W127" s="119">
        <v>2499.69</v>
      </c>
      <c r="X127" s="119">
        <v>210</v>
      </c>
      <c r="Y127" s="119">
        <v>6.4375399999999999E-2</v>
      </c>
      <c r="Z127" s="119">
        <v>-6.1426599999999998E-2</v>
      </c>
      <c r="AA127" s="119">
        <v>-6.2109299999999999E-2</v>
      </c>
      <c r="AB127" s="119">
        <v>1.3955199999999999E-3</v>
      </c>
      <c r="AC127" s="119">
        <v>-7.7786599999999997E-2</v>
      </c>
      <c r="AD127" s="119">
        <v>-3.6718599999999997E-2</v>
      </c>
      <c r="AE127" s="119">
        <v>-5.9325799999999998E-2</v>
      </c>
      <c r="AF127" s="119">
        <v>-6.5785899999999994E-2</v>
      </c>
      <c r="AG127" s="119" t="s">
        <v>485</v>
      </c>
      <c r="AH127" s="119" t="s">
        <v>173</v>
      </c>
      <c r="AI127" s="119">
        <v>100</v>
      </c>
      <c r="AJ127" s="119">
        <v>35.496647000000003</v>
      </c>
      <c r="AK127" s="119">
        <v>6304418</v>
      </c>
      <c r="AL127" s="119">
        <v>1.6166666746139999</v>
      </c>
      <c r="AN127" s="123">
        <f t="shared" si="10"/>
        <v>46250</v>
      </c>
      <c r="AO127" s="124">
        <f t="shared" si="11"/>
        <v>0.78164351851851854</v>
      </c>
      <c r="AQ127" s="125">
        <v>0</v>
      </c>
      <c r="AR127" s="125">
        <v>0</v>
      </c>
      <c r="AS127" s="125">
        <v>0</v>
      </c>
      <c r="AT127" s="125">
        <v>0</v>
      </c>
    </row>
    <row r="128" spans="1:46">
      <c r="A128" s="118" t="s">
        <v>486</v>
      </c>
      <c r="B128" s="119">
        <v>7</v>
      </c>
      <c r="C128" s="119">
        <v>210</v>
      </c>
      <c r="D128" s="119">
        <v>210</v>
      </c>
      <c r="E128" s="119">
        <v>25.266200000000001</v>
      </c>
      <c r="F128" s="119">
        <v>25.005800000000001</v>
      </c>
      <c r="G128" s="119">
        <v>1432.55</v>
      </c>
      <c r="H128" s="119">
        <v>1432.49</v>
      </c>
      <c r="I128" s="119">
        <v>1431.54</v>
      </c>
      <c r="J128" s="119">
        <v>1430.63</v>
      </c>
      <c r="K128" s="119">
        <v>1431.48</v>
      </c>
      <c r="L128" s="119">
        <v>1431.57</v>
      </c>
      <c r="M128" s="119">
        <v>1431.89</v>
      </c>
      <c r="N128" s="119">
        <v>1432.1</v>
      </c>
      <c r="O128" s="119">
        <v>0.88004400000000005</v>
      </c>
      <c r="P128" s="119">
        <v>2500.2399999999998</v>
      </c>
      <c r="Q128" s="119">
        <v>2499.84</v>
      </c>
      <c r="R128" s="119">
        <v>2499.79</v>
      </c>
      <c r="S128" s="119">
        <v>2499.02</v>
      </c>
      <c r="T128" s="119">
        <v>2500.31</v>
      </c>
      <c r="U128" s="119">
        <v>2499.91</v>
      </c>
      <c r="V128" s="119">
        <v>2499.94</v>
      </c>
      <c r="W128" s="119">
        <v>2499.79</v>
      </c>
      <c r="X128" s="119">
        <v>210</v>
      </c>
      <c r="Y128" s="119">
        <v>6.9402900000000003E-2</v>
      </c>
      <c r="Z128" s="119">
        <v>-6.3610399999999998E-2</v>
      </c>
      <c r="AA128" s="119">
        <v>-6.0058300000000002E-2</v>
      </c>
      <c r="AB128" s="119">
        <v>-4.4440699999999996E-3</v>
      </c>
      <c r="AC128" s="119">
        <v>-7.3850399999999997E-2</v>
      </c>
      <c r="AD128" s="119">
        <v>-3.8418599999999997E-2</v>
      </c>
      <c r="AE128" s="119">
        <v>-6.1558300000000003E-2</v>
      </c>
      <c r="AF128" s="119">
        <v>-6.5261899999999998E-2</v>
      </c>
      <c r="AG128" s="119" t="s">
        <v>487</v>
      </c>
      <c r="AH128" s="119" t="s">
        <v>173</v>
      </c>
      <c r="AI128" s="119">
        <v>100</v>
      </c>
      <c r="AJ128" s="119">
        <v>36.155436999999999</v>
      </c>
      <c r="AK128" s="119">
        <v>6421423</v>
      </c>
      <c r="AL128" s="119">
        <v>1.6166666746139999</v>
      </c>
      <c r="AN128" s="123">
        <f t="shared" si="10"/>
        <v>46250</v>
      </c>
      <c r="AO128" s="124">
        <f t="shared" si="11"/>
        <v>0.79090277777777773</v>
      </c>
      <c r="AQ128" s="125">
        <v>0</v>
      </c>
      <c r="AR128" s="125">
        <v>0</v>
      </c>
      <c r="AS128" s="125">
        <v>0</v>
      </c>
      <c r="AT128" s="125">
        <v>0</v>
      </c>
    </row>
    <row r="129" spans="1:46">
      <c r="A129" s="118" t="s">
        <v>488</v>
      </c>
      <c r="B129" s="119">
        <v>8</v>
      </c>
      <c r="C129" s="119">
        <v>210</v>
      </c>
      <c r="D129" s="119">
        <v>209.9</v>
      </c>
      <c r="E129" s="119">
        <v>25.293700000000001</v>
      </c>
      <c r="F129" s="119">
        <v>25.010100000000001</v>
      </c>
      <c r="G129" s="119">
        <v>1446.01</v>
      </c>
      <c r="H129" s="119">
        <v>1445.93</v>
      </c>
      <c r="I129" s="119">
        <v>1445.86</v>
      </c>
      <c r="J129" s="119">
        <v>1446.5</v>
      </c>
      <c r="K129" s="119">
        <v>1446.58</v>
      </c>
      <c r="L129" s="119">
        <v>1446.51</v>
      </c>
      <c r="M129" s="119">
        <v>1446.7</v>
      </c>
      <c r="N129" s="119">
        <v>1445.19</v>
      </c>
      <c r="O129" s="119">
        <v>0.90153099999999997</v>
      </c>
      <c r="P129" s="119">
        <v>2499.13</v>
      </c>
      <c r="Q129" s="119">
        <v>2499.62</v>
      </c>
      <c r="R129" s="119">
        <v>2499.7399999999998</v>
      </c>
      <c r="S129" s="119">
        <v>2499.5500000000002</v>
      </c>
      <c r="T129" s="119">
        <v>2499.87</v>
      </c>
      <c r="U129" s="119">
        <v>2500.1</v>
      </c>
      <c r="V129" s="119">
        <v>2500.2600000000002</v>
      </c>
      <c r="W129" s="119">
        <v>2498.7399999999998</v>
      </c>
      <c r="X129" s="119">
        <v>210.1</v>
      </c>
      <c r="Y129" s="119">
        <v>6.3603900000000005E-2</v>
      </c>
      <c r="Z129" s="119">
        <v>-6.2531299999999998E-2</v>
      </c>
      <c r="AA129" s="119">
        <v>-5.99103E-2</v>
      </c>
      <c r="AB129" s="119">
        <v>4.1390000000000003E-3</v>
      </c>
      <c r="AC129" s="119">
        <v>-8.0197599999999994E-2</v>
      </c>
      <c r="AD129" s="119">
        <v>-3.7336300000000003E-2</v>
      </c>
      <c r="AE129" s="119">
        <v>-6.5208699999999994E-2</v>
      </c>
      <c r="AF129" s="119">
        <v>-6.5566799999999995E-2</v>
      </c>
      <c r="AG129" s="119" t="s">
        <v>489</v>
      </c>
      <c r="AH129" s="119" t="s">
        <v>173</v>
      </c>
      <c r="AI129" s="119">
        <v>100</v>
      </c>
      <c r="AJ129" s="119">
        <v>35.476011999999997</v>
      </c>
      <c r="AK129" s="119">
        <v>6300753</v>
      </c>
      <c r="AL129" s="119">
        <v>1.6150000095367001</v>
      </c>
      <c r="AN129" s="123">
        <f t="shared" si="10"/>
        <v>46250</v>
      </c>
      <c r="AO129" s="124">
        <f t="shared" si="11"/>
        <v>0.80018518518518522</v>
      </c>
      <c r="AQ129" s="125">
        <v>0</v>
      </c>
      <c r="AR129" s="125">
        <v>0</v>
      </c>
      <c r="AS129" s="125">
        <v>0</v>
      </c>
      <c r="AT129" s="125">
        <v>0</v>
      </c>
    </row>
    <row r="130" spans="1:46">
      <c r="A130" s="118" t="s">
        <v>490</v>
      </c>
      <c r="B130" s="119">
        <v>1</v>
      </c>
      <c r="C130" s="119">
        <v>210</v>
      </c>
      <c r="D130" s="119">
        <v>210</v>
      </c>
      <c r="E130" s="119">
        <v>25.250299999999999</v>
      </c>
      <c r="F130" s="119">
        <v>25.034700000000001</v>
      </c>
      <c r="G130" s="119">
        <v>1436.77</v>
      </c>
      <c r="H130" s="119">
        <v>1437.25</v>
      </c>
      <c r="I130" s="119">
        <v>1438.11</v>
      </c>
      <c r="J130" s="119">
        <v>1438.21</v>
      </c>
      <c r="K130" s="119">
        <v>1437.94</v>
      </c>
      <c r="L130" s="119">
        <v>1438</v>
      </c>
      <c r="M130" s="119">
        <v>1438.13</v>
      </c>
      <c r="N130" s="119">
        <v>1438.08</v>
      </c>
      <c r="O130" s="119">
        <v>0.936886</v>
      </c>
      <c r="P130" s="119">
        <v>2499.9</v>
      </c>
      <c r="Q130" s="119">
        <v>2500.3000000000002</v>
      </c>
      <c r="R130" s="119">
        <v>2499.96</v>
      </c>
      <c r="S130" s="119">
        <v>2500.35</v>
      </c>
      <c r="T130" s="119">
        <v>2499.7600000000002</v>
      </c>
      <c r="U130" s="119">
        <v>2499.9299999999998</v>
      </c>
      <c r="V130" s="119">
        <v>2499.6</v>
      </c>
      <c r="W130" s="119">
        <v>2500.31</v>
      </c>
      <c r="X130" s="119">
        <v>210.1</v>
      </c>
      <c r="Y130" s="119">
        <v>6.3471E-2</v>
      </c>
      <c r="Z130" s="119">
        <v>-6.44623E-2</v>
      </c>
      <c r="AA130" s="119">
        <v>-5.42201E-2</v>
      </c>
      <c r="AB130" s="119">
        <v>3.3568200000000002E-4</v>
      </c>
      <c r="AC130" s="119">
        <v>-7.6770500000000005E-2</v>
      </c>
      <c r="AD130" s="119">
        <v>-3.7957999999999999E-2</v>
      </c>
      <c r="AE130" s="119">
        <v>-6.2931500000000001E-2</v>
      </c>
      <c r="AF130" s="119">
        <v>-6.5398700000000004E-2</v>
      </c>
      <c r="AG130" s="119" t="s">
        <v>491</v>
      </c>
      <c r="AH130" s="119" t="s">
        <v>173</v>
      </c>
      <c r="AI130" s="119">
        <v>100</v>
      </c>
      <c r="AJ130" s="119">
        <v>36.863379999999999</v>
      </c>
      <c r="AK130" s="119">
        <v>6547158</v>
      </c>
      <c r="AL130" s="119">
        <v>1.6166666746139999</v>
      </c>
      <c r="AN130" s="123">
        <f t="shared" si="10"/>
        <v>46250</v>
      </c>
      <c r="AO130" s="124">
        <f t="shared" si="11"/>
        <v>0.80945601851851856</v>
      </c>
      <c r="AQ130" s="125">
        <v>0</v>
      </c>
      <c r="AR130" s="125">
        <v>0</v>
      </c>
      <c r="AS130" s="125">
        <v>0</v>
      </c>
      <c r="AT130" s="125">
        <v>0</v>
      </c>
    </row>
    <row r="131" spans="1:46">
      <c r="A131" s="118" t="s">
        <v>492</v>
      </c>
      <c r="B131" s="119">
        <v>2</v>
      </c>
      <c r="C131" s="119">
        <v>210</v>
      </c>
      <c r="D131" s="119">
        <v>210.1</v>
      </c>
      <c r="E131" s="119">
        <v>25.263300000000001</v>
      </c>
      <c r="F131" s="119">
        <v>25.037600000000001</v>
      </c>
      <c r="G131" s="119">
        <v>1404.26</v>
      </c>
      <c r="H131" s="119">
        <v>1404.97</v>
      </c>
      <c r="I131" s="119">
        <v>1405.11</v>
      </c>
      <c r="J131" s="119">
        <v>1407.3</v>
      </c>
      <c r="K131" s="119">
        <v>1405.21</v>
      </c>
      <c r="L131" s="119">
        <v>1405.58</v>
      </c>
      <c r="M131" s="119">
        <v>1405.56</v>
      </c>
      <c r="N131" s="119">
        <v>1404.75</v>
      </c>
      <c r="O131" s="119">
        <v>0.97036</v>
      </c>
      <c r="P131" s="119">
        <v>2500.62</v>
      </c>
      <c r="Q131" s="119">
        <v>2500.02</v>
      </c>
      <c r="R131" s="119">
        <v>2500.14</v>
      </c>
      <c r="S131" s="119">
        <v>2499.87</v>
      </c>
      <c r="T131" s="119">
        <v>2499.86</v>
      </c>
      <c r="U131" s="119">
        <v>2500.77</v>
      </c>
      <c r="V131" s="119">
        <v>2500.34</v>
      </c>
      <c r="W131" s="119">
        <v>2499.5</v>
      </c>
      <c r="X131" s="119">
        <v>210.1</v>
      </c>
      <c r="Y131" s="119">
        <v>6.4014799999999997E-2</v>
      </c>
      <c r="Z131" s="119">
        <v>-6.0129200000000001E-2</v>
      </c>
      <c r="AA131" s="119">
        <v>-6.0119800000000001E-2</v>
      </c>
      <c r="AB131" s="119">
        <v>2.7092300000000001E-4</v>
      </c>
      <c r="AC131" s="119">
        <v>-7.7509300000000003E-2</v>
      </c>
      <c r="AD131" s="119">
        <v>-3.6246100000000003E-2</v>
      </c>
      <c r="AE131" s="119">
        <v>-7.1493600000000004E-2</v>
      </c>
      <c r="AF131" s="119">
        <v>-6.9373699999999996E-2</v>
      </c>
      <c r="AG131" s="119" t="s">
        <v>493</v>
      </c>
      <c r="AH131" s="119" t="s">
        <v>173</v>
      </c>
      <c r="AI131" s="119">
        <v>100</v>
      </c>
      <c r="AJ131" s="119">
        <v>34.915281999999998</v>
      </c>
      <c r="AK131" s="119">
        <v>6201164</v>
      </c>
      <c r="AL131" s="119">
        <v>1.6150000095367001</v>
      </c>
      <c r="AN131" s="123">
        <f t="shared" si="10"/>
        <v>46250</v>
      </c>
      <c r="AO131" s="124">
        <f t="shared" si="11"/>
        <v>0.8187268518518519</v>
      </c>
      <c r="AQ131" s="125">
        <v>0</v>
      </c>
      <c r="AR131" s="125">
        <v>0</v>
      </c>
      <c r="AS131" s="125">
        <v>0</v>
      </c>
      <c r="AT131" s="125">
        <v>0</v>
      </c>
    </row>
    <row r="132" spans="1:46">
      <c r="A132" s="118" t="s">
        <v>494</v>
      </c>
      <c r="B132" s="119">
        <v>3</v>
      </c>
      <c r="C132" s="119">
        <v>210</v>
      </c>
      <c r="D132" s="119">
        <v>210</v>
      </c>
      <c r="E132" s="119">
        <v>25.011600000000001</v>
      </c>
      <c r="F132" s="119">
        <v>25.017399999999999</v>
      </c>
      <c r="G132" s="119">
        <v>1433.35</v>
      </c>
      <c r="H132" s="119">
        <v>1433.74</v>
      </c>
      <c r="I132" s="119">
        <v>1433.28</v>
      </c>
      <c r="J132" s="119">
        <v>1434.65</v>
      </c>
      <c r="K132" s="119">
        <v>1433.24</v>
      </c>
      <c r="L132" s="119">
        <v>1433.26</v>
      </c>
      <c r="M132" s="119">
        <v>1433.01</v>
      </c>
      <c r="N132" s="119">
        <v>1433.43</v>
      </c>
      <c r="O132" s="119">
        <v>0.94078499999999998</v>
      </c>
      <c r="P132" s="119">
        <v>2499.61</v>
      </c>
      <c r="Q132" s="119">
        <v>2499.77</v>
      </c>
      <c r="R132" s="119">
        <v>2499.81</v>
      </c>
      <c r="S132" s="119">
        <v>2499.61</v>
      </c>
      <c r="T132" s="119">
        <v>2500.13</v>
      </c>
      <c r="U132" s="119">
        <v>2500.09</v>
      </c>
      <c r="V132" s="119">
        <v>2499.23</v>
      </c>
      <c r="W132" s="119">
        <v>2500.1799999999998</v>
      </c>
      <c r="X132" s="119">
        <v>210.2</v>
      </c>
      <c r="Y132" s="119">
        <v>6.4148899999999995E-2</v>
      </c>
      <c r="Z132" s="119">
        <v>-6.2781299999999998E-2</v>
      </c>
      <c r="AA132" s="119">
        <v>-5.808E-2</v>
      </c>
      <c r="AB132" s="119">
        <v>-1.50775E-3</v>
      </c>
      <c r="AC132" s="119">
        <v>-7.8982200000000002E-2</v>
      </c>
      <c r="AD132" s="119">
        <v>-3.4904699999999997E-2</v>
      </c>
      <c r="AE132" s="119">
        <v>-6.1490000000000003E-2</v>
      </c>
      <c r="AF132" s="119">
        <v>-6.4786899999999994E-2</v>
      </c>
      <c r="AG132" s="119" t="s">
        <v>495</v>
      </c>
      <c r="AH132" s="119" t="s">
        <v>173</v>
      </c>
      <c r="AI132" s="119">
        <v>100</v>
      </c>
      <c r="AJ132" s="119">
        <v>35.595326</v>
      </c>
      <c r="AK132" s="119">
        <v>6321944</v>
      </c>
      <c r="AL132" s="119">
        <v>1.6166666746139999</v>
      </c>
      <c r="AN132" s="123">
        <f t="shared" si="10"/>
        <v>46250</v>
      </c>
      <c r="AO132" s="124">
        <f t="shared" si="11"/>
        <v>0.82799768518518524</v>
      </c>
      <c r="AQ132" s="125">
        <v>0</v>
      </c>
      <c r="AR132" s="125">
        <v>0</v>
      </c>
      <c r="AS132" s="125">
        <v>0</v>
      </c>
      <c r="AT132" s="125">
        <v>0</v>
      </c>
    </row>
    <row r="133" spans="1:46">
      <c r="A133" s="118" t="s">
        <v>496</v>
      </c>
      <c r="B133" s="119">
        <v>4</v>
      </c>
      <c r="C133" s="119">
        <v>209.9</v>
      </c>
      <c r="D133" s="119">
        <v>209.9</v>
      </c>
      <c r="E133" s="119">
        <v>25.0014</v>
      </c>
      <c r="F133" s="119">
        <v>25.023099999999999</v>
      </c>
      <c r="G133" s="119">
        <v>1402.67</v>
      </c>
      <c r="H133" s="119">
        <v>1402.2</v>
      </c>
      <c r="I133" s="119">
        <v>1402.69</v>
      </c>
      <c r="J133" s="119">
        <v>1402.25</v>
      </c>
      <c r="K133" s="119">
        <v>1402.38</v>
      </c>
      <c r="L133" s="119">
        <v>1402.38</v>
      </c>
      <c r="M133" s="119">
        <v>1402.26</v>
      </c>
      <c r="N133" s="119">
        <v>1402.27</v>
      </c>
      <c r="O133" s="119">
        <v>0.93689599999999995</v>
      </c>
      <c r="P133" s="119">
        <v>2499.7399999999998</v>
      </c>
      <c r="Q133" s="119">
        <v>2500.27</v>
      </c>
      <c r="R133" s="119">
        <v>2499.29</v>
      </c>
      <c r="S133" s="119">
        <v>2499.38</v>
      </c>
      <c r="T133" s="119">
        <v>2499.9</v>
      </c>
      <c r="U133" s="119">
        <v>2499.6799999999998</v>
      </c>
      <c r="V133" s="119">
        <v>2499.64</v>
      </c>
      <c r="W133" s="119">
        <v>2499.6799999999998</v>
      </c>
      <c r="X133" s="119">
        <v>210.2</v>
      </c>
      <c r="Y133" s="119">
        <v>6.3450999999999994E-2</v>
      </c>
      <c r="Z133" s="119">
        <v>-6.3836799999999999E-2</v>
      </c>
      <c r="AA133" s="119">
        <v>-6.0414000000000002E-2</v>
      </c>
      <c r="AB133" s="119">
        <v>2.5421599999999998E-4</v>
      </c>
      <c r="AC133" s="119">
        <v>-8.1310800000000003E-2</v>
      </c>
      <c r="AD133" s="119">
        <v>-3.54422E-2</v>
      </c>
      <c r="AE133" s="119">
        <v>-5.73175E-2</v>
      </c>
      <c r="AF133" s="119">
        <v>-6.6259100000000001E-2</v>
      </c>
      <c r="AG133" s="119" t="s">
        <v>497</v>
      </c>
      <c r="AH133" s="119" t="s">
        <v>173</v>
      </c>
      <c r="AI133" s="119">
        <v>100</v>
      </c>
      <c r="AJ133" s="119">
        <v>36.501049999999999</v>
      </c>
      <c r="AK133" s="119">
        <v>6482806</v>
      </c>
      <c r="AL133" s="119">
        <v>1.6166666746139999</v>
      </c>
      <c r="AN133" s="123">
        <f t="shared" si="10"/>
        <v>46250</v>
      </c>
      <c r="AO133" s="124">
        <f t="shared" si="11"/>
        <v>0.83726851851851847</v>
      </c>
      <c r="AQ133" s="125">
        <v>0</v>
      </c>
      <c r="AR133" s="125">
        <v>0</v>
      </c>
      <c r="AS133" s="125">
        <v>0</v>
      </c>
      <c r="AT133" s="125">
        <v>0</v>
      </c>
    </row>
    <row r="134" spans="1:46">
      <c r="A134" s="118" t="s">
        <v>498</v>
      </c>
      <c r="B134" s="119">
        <v>5</v>
      </c>
      <c r="C134" s="119">
        <v>210</v>
      </c>
      <c r="D134" s="119">
        <v>210</v>
      </c>
      <c r="E134" s="119">
        <v>25.010100000000001</v>
      </c>
      <c r="F134" s="119">
        <v>25.021699999999999</v>
      </c>
      <c r="G134" s="119">
        <v>1410.52</v>
      </c>
      <c r="H134" s="119">
        <v>1411.48</v>
      </c>
      <c r="I134" s="119">
        <v>1411.14</v>
      </c>
      <c r="J134" s="119">
        <v>1409.48</v>
      </c>
      <c r="K134" s="119">
        <v>1410.48</v>
      </c>
      <c r="L134" s="119">
        <v>1410.51</v>
      </c>
      <c r="M134" s="119">
        <v>1410.5</v>
      </c>
      <c r="N134" s="119">
        <v>1410.79</v>
      </c>
      <c r="O134" s="119">
        <v>0.93536300000000006</v>
      </c>
      <c r="P134" s="119">
        <v>2498.0700000000002</v>
      </c>
      <c r="Q134" s="119">
        <v>2500.0500000000002</v>
      </c>
      <c r="R134" s="119">
        <v>2500.5300000000002</v>
      </c>
      <c r="S134" s="119">
        <v>2499.13</v>
      </c>
      <c r="T134" s="119">
        <v>2500.14</v>
      </c>
      <c r="U134" s="119">
        <v>2500.62</v>
      </c>
      <c r="V134" s="119">
        <v>2500.36</v>
      </c>
      <c r="W134" s="119">
        <v>2501.19</v>
      </c>
      <c r="X134" s="119">
        <v>209.9</v>
      </c>
      <c r="Y134" s="119">
        <v>6.8396899999999997E-2</v>
      </c>
      <c r="Z134" s="119">
        <v>-6.6318000000000002E-2</v>
      </c>
      <c r="AA134" s="119">
        <v>-5.6797100000000003E-2</v>
      </c>
      <c r="AB134" s="119">
        <v>-7.4063299999999998E-4</v>
      </c>
      <c r="AC134" s="119">
        <v>-7.90965E-2</v>
      </c>
      <c r="AD134" s="119">
        <v>-3.6906500000000002E-2</v>
      </c>
      <c r="AE134" s="119">
        <v>-7.5057600000000002E-2</v>
      </c>
      <c r="AF134" s="119">
        <v>-7.0686700000000005E-2</v>
      </c>
      <c r="AG134" s="119" t="s">
        <v>499</v>
      </c>
      <c r="AH134" s="119" t="s">
        <v>173</v>
      </c>
      <c r="AI134" s="119">
        <v>100</v>
      </c>
      <c r="AJ134" s="119">
        <v>36.227884000000003</v>
      </c>
      <c r="AK134" s="119">
        <v>6434290</v>
      </c>
      <c r="AL134" s="119">
        <v>1.6166666746139999</v>
      </c>
      <c r="AN134" s="123">
        <f t="shared" si="10"/>
        <v>46250</v>
      </c>
      <c r="AO134" s="124">
        <f t="shared" si="11"/>
        <v>0.84652777777777777</v>
      </c>
      <c r="AQ134" s="125">
        <v>0</v>
      </c>
      <c r="AR134" s="125">
        <v>0</v>
      </c>
      <c r="AS134" s="125">
        <v>0</v>
      </c>
      <c r="AT134" s="125">
        <v>0</v>
      </c>
    </row>
    <row r="135" spans="1:46">
      <c r="A135" s="118" t="s">
        <v>500</v>
      </c>
      <c r="B135" s="119">
        <v>6</v>
      </c>
      <c r="C135" s="119">
        <v>210</v>
      </c>
      <c r="D135" s="119">
        <v>210</v>
      </c>
      <c r="E135" s="119">
        <v>24.9986</v>
      </c>
      <c r="F135" s="119">
        <v>25.021699999999999</v>
      </c>
      <c r="G135" s="119">
        <v>1442.88</v>
      </c>
      <c r="H135" s="119">
        <v>1443.11</v>
      </c>
      <c r="I135" s="119">
        <v>1442.7</v>
      </c>
      <c r="J135" s="119">
        <v>1442.43</v>
      </c>
      <c r="K135" s="119">
        <v>1442.39</v>
      </c>
      <c r="L135" s="119">
        <v>1442.54</v>
      </c>
      <c r="M135" s="119">
        <v>1442.68</v>
      </c>
      <c r="N135" s="119">
        <v>1442.72</v>
      </c>
      <c r="O135" s="119">
        <v>0.93162599999999995</v>
      </c>
      <c r="P135" s="119">
        <v>2499.86</v>
      </c>
      <c r="Q135" s="119">
        <v>2499.83</v>
      </c>
      <c r="R135" s="119">
        <v>2499.8200000000002</v>
      </c>
      <c r="S135" s="119">
        <v>2499.5</v>
      </c>
      <c r="T135" s="119">
        <v>2500</v>
      </c>
      <c r="U135" s="119">
        <v>2499.35</v>
      </c>
      <c r="V135" s="119">
        <v>2499.65</v>
      </c>
      <c r="W135" s="119">
        <v>2500.27</v>
      </c>
      <c r="X135" s="119">
        <v>210.1</v>
      </c>
      <c r="Y135" s="119">
        <v>6.2606200000000001E-2</v>
      </c>
      <c r="Z135" s="119">
        <v>-7.0157800000000006E-2</v>
      </c>
      <c r="AA135" s="119">
        <v>-6.2993800000000003E-2</v>
      </c>
      <c r="AB135" s="119">
        <v>-5.5699600000000003E-4</v>
      </c>
      <c r="AC135" s="119">
        <v>-8.1479800000000005E-2</v>
      </c>
      <c r="AD135" s="119">
        <v>-3.76026E-2</v>
      </c>
      <c r="AE135" s="119">
        <v>-7.4119199999999996E-2</v>
      </c>
      <c r="AF135" s="119">
        <v>-6.9742700000000005E-2</v>
      </c>
      <c r="AG135" s="119" t="s">
        <v>501</v>
      </c>
      <c r="AH135" s="119" t="s">
        <v>173</v>
      </c>
      <c r="AI135" s="119">
        <v>100</v>
      </c>
      <c r="AJ135" s="119">
        <v>35.416825000000003</v>
      </c>
      <c r="AK135" s="119">
        <v>6290241</v>
      </c>
      <c r="AL135" s="119">
        <v>1.6166666746139999</v>
      </c>
      <c r="AN135" s="123">
        <f t="shared" si="10"/>
        <v>46250</v>
      </c>
      <c r="AO135" s="124">
        <f t="shared" si="11"/>
        <v>0.85581018518518515</v>
      </c>
      <c r="AQ135" s="125">
        <v>0</v>
      </c>
      <c r="AR135" s="125">
        <v>0</v>
      </c>
      <c r="AS135" s="125">
        <v>0</v>
      </c>
      <c r="AT135" s="125">
        <v>0</v>
      </c>
    </row>
    <row r="136" spans="1:46">
      <c r="A136" s="118" t="s">
        <v>502</v>
      </c>
      <c r="B136" s="119">
        <v>7</v>
      </c>
      <c r="C136" s="119">
        <v>209.9</v>
      </c>
      <c r="D136" s="119">
        <v>210</v>
      </c>
      <c r="E136" s="119">
        <v>25.018799999999999</v>
      </c>
      <c r="F136" s="119">
        <v>25.0289</v>
      </c>
      <c r="G136" s="119">
        <v>1409.57</v>
      </c>
      <c r="H136" s="119">
        <v>1410.03</v>
      </c>
      <c r="I136" s="119">
        <v>1409.5</v>
      </c>
      <c r="J136" s="119">
        <v>1408.82</v>
      </c>
      <c r="K136" s="119">
        <v>1409.53</v>
      </c>
      <c r="L136" s="119">
        <v>1408.77</v>
      </c>
      <c r="M136" s="119">
        <v>1409.15</v>
      </c>
      <c r="N136" s="119">
        <v>1409.36</v>
      </c>
      <c r="O136" s="119">
        <v>0.92372299999999996</v>
      </c>
      <c r="P136" s="119">
        <v>2499.65</v>
      </c>
      <c r="Q136" s="119">
        <v>2499.3200000000002</v>
      </c>
      <c r="R136" s="119">
        <v>2499.48</v>
      </c>
      <c r="S136" s="119">
        <v>2500.0700000000002</v>
      </c>
      <c r="T136" s="119">
        <v>2499.0500000000002</v>
      </c>
      <c r="U136" s="119">
        <v>2499.34</v>
      </c>
      <c r="V136" s="119">
        <v>2500.08</v>
      </c>
      <c r="W136" s="119">
        <v>2499.66</v>
      </c>
      <c r="X136" s="119">
        <v>209.9</v>
      </c>
      <c r="Y136" s="119">
        <v>6.6937499999999997E-2</v>
      </c>
      <c r="Z136" s="119">
        <v>-5.92682E-2</v>
      </c>
      <c r="AA136" s="119">
        <v>-6.0154199999999998E-2</v>
      </c>
      <c r="AB136" s="119">
        <v>-3.5022600000000001E-3</v>
      </c>
      <c r="AC136" s="119">
        <v>-7.9342700000000002E-2</v>
      </c>
      <c r="AD136" s="119">
        <v>-3.82814E-2</v>
      </c>
      <c r="AE136" s="119">
        <v>-6.8338499999999996E-2</v>
      </c>
      <c r="AF136" s="119">
        <v>-6.7860500000000004E-2</v>
      </c>
      <c r="AG136" s="119" t="s">
        <v>503</v>
      </c>
      <c r="AH136" s="119" t="s">
        <v>173</v>
      </c>
      <c r="AI136" s="119">
        <v>100</v>
      </c>
      <c r="AJ136" s="119">
        <v>36.197834</v>
      </c>
      <c r="AK136" s="119">
        <v>6428953</v>
      </c>
      <c r="AL136" s="119">
        <v>1.6166666746139999</v>
      </c>
      <c r="AN136" s="123">
        <f t="shared" si="10"/>
        <v>46250</v>
      </c>
      <c r="AO136" s="124">
        <f t="shared" si="11"/>
        <v>0.86508101851851849</v>
      </c>
      <c r="AQ136" s="125">
        <v>0</v>
      </c>
      <c r="AR136" s="125">
        <v>0</v>
      </c>
      <c r="AS136" s="125">
        <v>0</v>
      </c>
      <c r="AT136" s="125">
        <v>0</v>
      </c>
    </row>
    <row r="137" spans="1:46">
      <c r="A137" s="118" t="s">
        <v>504</v>
      </c>
      <c r="B137" s="119">
        <v>8</v>
      </c>
      <c r="C137" s="119">
        <v>210</v>
      </c>
      <c r="D137" s="119">
        <v>209.9</v>
      </c>
      <c r="E137" s="119">
        <v>25.005800000000001</v>
      </c>
      <c r="F137" s="119">
        <v>25.021699999999999</v>
      </c>
      <c r="G137" s="119">
        <v>1405.57</v>
      </c>
      <c r="H137" s="119">
        <v>1405.99</v>
      </c>
      <c r="I137" s="119">
        <v>1405.68</v>
      </c>
      <c r="J137" s="119">
        <v>1405.82</v>
      </c>
      <c r="K137" s="119">
        <v>1405.59</v>
      </c>
      <c r="L137" s="119">
        <v>1406.19</v>
      </c>
      <c r="M137" s="119">
        <v>1405.67</v>
      </c>
      <c r="N137" s="119">
        <v>1405.43</v>
      </c>
      <c r="O137" s="119">
        <v>0.93062599999999995</v>
      </c>
      <c r="P137" s="119">
        <v>2500.64</v>
      </c>
      <c r="Q137" s="119">
        <v>2499.77</v>
      </c>
      <c r="R137" s="119">
        <v>2499.98</v>
      </c>
      <c r="S137" s="119">
        <v>2500.62</v>
      </c>
      <c r="T137" s="119">
        <v>2500.0300000000002</v>
      </c>
      <c r="U137" s="119">
        <v>2499.06</v>
      </c>
      <c r="V137" s="119">
        <v>2499.2399999999998</v>
      </c>
      <c r="W137" s="119">
        <v>2499.4699999999998</v>
      </c>
      <c r="X137" s="119">
        <v>209.9</v>
      </c>
      <c r="Y137" s="119">
        <v>6.5330299999999994E-2</v>
      </c>
      <c r="Z137" s="119">
        <v>-6.4395800000000003E-2</v>
      </c>
      <c r="AA137" s="119">
        <v>-5.8228700000000001E-2</v>
      </c>
      <c r="AB137" s="119">
        <v>-3.2428300000000003E-4</v>
      </c>
      <c r="AC137" s="119">
        <v>-7.8698500000000005E-2</v>
      </c>
      <c r="AD137" s="119">
        <v>-3.54948E-2</v>
      </c>
      <c r="AE137" s="119">
        <v>-7.35682E-2</v>
      </c>
      <c r="AF137" s="119">
        <v>-6.8043999999999993E-2</v>
      </c>
      <c r="AG137" s="119" t="s">
        <v>505</v>
      </c>
      <c r="AH137" s="119" t="s">
        <v>173</v>
      </c>
      <c r="AI137" s="119">
        <v>100</v>
      </c>
      <c r="AJ137" s="119">
        <v>35.446981000000001</v>
      </c>
      <c r="AK137" s="119">
        <v>6295597</v>
      </c>
      <c r="AL137" s="119">
        <v>1.6150000095367001</v>
      </c>
      <c r="AN137" s="123">
        <f t="shared" si="10"/>
        <v>46250</v>
      </c>
      <c r="AO137" s="124">
        <f t="shared" si="11"/>
        <v>0.87434027777777779</v>
      </c>
      <c r="AQ137" s="125">
        <v>0</v>
      </c>
      <c r="AR137" s="125">
        <v>0</v>
      </c>
      <c r="AS137" s="125">
        <v>0</v>
      </c>
      <c r="AT137" s="125">
        <v>0</v>
      </c>
    </row>
    <row r="138" spans="1:46">
      <c r="A138" s="118" t="s">
        <v>506</v>
      </c>
      <c r="B138" s="119">
        <v>1</v>
      </c>
      <c r="C138" s="119">
        <v>210</v>
      </c>
      <c r="D138" s="119">
        <v>210</v>
      </c>
      <c r="E138" s="119">
        <v>25.065100000000001</v>
      </c>
      <c r="F138" s="119">
        <v>25.0275</v>
      </c>
      <c r="G138" s="119">
        <v>1423.88</v>
      </c>
      <c r="H138" s="119">
        <v>1423.61</v>
      </c>
      <c r="I138" s="119">
        <v>1423.75</v>
      </c>
      <c r="J138" s="119">
        <v>1421.43</v>
      </c>
      <c r="K138" s="119">
        <v>1423.76</v>
      </c>
      <c r="L138" s="119">
        <v>1423.59</v>
      </c>
      <c r="M138" s="119">
        <v>1423.39</v>
      </c>
      <c r="N138" s="119">
        <v>1423.79</v>
      </c>
      <c r="O138" s="119">
        <v>0.91228900000000002</v>
      </c>
      <c r="P138" s="119">
        <v>2499.64</v>
      </c>
      <c r="Q138" s="119">
        <v>2499.77</v>
      </c>
      <c r="R138" s="119">
        <v>2499.36</v>
      </c>
      <c r="S138" s="119">
        <v>2500.27</v>
      </c>
      <c r="T138" s="119">
        <v>2498.7800000000002</v>
      </c>
      <c r="U138" s="119">
        <v>2499.6</v>
      </c>
      <c r="V138" s="119">
        <v>2500.02</v>
      </c>
      <c r="W138" s="119">
        <v>2500.14</v>
      </c>
      <c r="X138" s="119">
        <v>209.9</v>
      </c>
      <c r="Y138" s="119">
        <v>6.4816299999999993E-2</v>
      </c>
      <c r="Z138" s="119">
        <v>-6.0406000000000001E-2</v>
      </c>
      <c r="AA138" s="119">
        <v>-5.9304900000000001E-2</v>
      </c>
      <c r="AB138" s="119">
        <v>-3.5574299999999999E-3</v>
      </c>
      <c r="AC138" s="119">
        <v>-8.3864499999999995E-2</v>
      </c>
      <c r="AD138" s="119">
        <v>-3.8113800000000003E-2</v>
      </c>
      <c r="AE138" s="119">
        <v>-6.7362500000000006E-2</v>
      </c>
      <c r="AF138" s="119">
        <v>-6.5421599999999996E-2</v>
      </c>
      <c r="AG138" s="119" t="s">
        <v>507</v>
      </c>
      <c r="AH138" s="119" t="s">
        <v>173</v>
      </c>
      <c r="AI138" s="119">
        <v>100</v>
      </c>
      <c r="AJ138" s="119">
        <v>36.715975</v>
      </c>
      <c r="AK138" s="119">
        <v>6520978</v>
      </c>
      <c r="AL138" s="119">
        <v>1.6166666746139999</v>
      </c>
      <c r="AN138" s="123">
        <f t="shared" si="10"/>
        <v>46250</v>
      </c>
      <c r="AO138" s="124">
        <f t="shared" si="11"/>
        <v>0.88364583333333335</v>
      </c>
      <c r="AQ138" s="125">
        <v>0</v>
      </c>
      <c r="AR138" s="125">
        <v>0</v>
      </c>
      <c r="AS138" s="125">
        <v>0</v>
      </c>
      <c r="AT138" s="125">
        <v>0</v>
      </c>
    </row>
    <row r="139" spans="1:46">
      <c r="A139" s="118" t="s">
        <v>508</v>
      </c>
      <c r="B139" s="119">
        <v>2</v>
      </c>
      <c r="C139" s="119">
        <v>210</v>
      </c>
      <c r="D139" s="119">
        <v>210.1</v>
      </c>
      <c r="E139" s="119">
        <v>25.146100000000001</v>
      </c>
      <c r="F139" s="119">
        <v>25.033300000000001</v>
      </c>
      <c r="G139" s="119">
        <v>1402.81</v>
      </c>
      <c r="H139" s="119">
        <v>1403.28</v>
      </c>
      <c r="I139" s="119">
        <v>1402.74</v>
      </c>
      <c r="J139" s="119">
        <v>1404.41</v>
      </c>
      <c r="K139" s="119">
        <v>1403.07</v>
      </c>
      <c r="L139" s="119">
        <v>1403.71</v>
      </c>
      <c r="M139" s="119">
        <v>1403.7</v>
      </c>
      <c r="N139" s="119">
        <v>1403.51</v>
      </c>
      <c r="O139" s="119">
        <v>0.95743999999999996</v>
      </c>
      <c r="P139" s="119">
        <v>2500.67</v>
      </c>
      <c r="Q139" s="119">
        <v>2500.35</v>
      </c>
      <c r="R139" s="119">
        <v>2499.7600000000002</v>
      </c>
      <c r="S139" s="119">
        <v>2499.85</v>
      </c>
      <c r="T139" s="119">
        <v>2500.37</v>
      </c>
      <c r="U139" s="119">
        <v>2500.14</v>
      </c>
      <c r="V139" s="119">
        <v>2499.62</v>
      </c>
      <c r="W139" s="119">
        <v>2499.38</v>
      </c>
      <c r="X139" s="119">
        <v>210</v>
      </c>
      <c r="Y139" s="119">
        <v>6.7742899999999995E-2</v>
      </c>
      <c r="Z139" s="119">
        <v>-5.7564400000000002E-2</v>
      </c>
      <c r="AA139" s="119">
        <v>-5.8609899999999999E-2</v>
      </c>
      <c r="AB139" s="119">
        <v>7.4158200000000001E-3</v>
      </c>
      <c r="AC139" s="119">
        <v>-7.7548099999999995E-2</v>
      </c>
      <c r="AD139" s="119">
        <v>-3.68753E-2</v>
      </c>
      <c r="AE139" s="119">
        <v>-7.0930099999999996E-2</v>
      </c>
      <c r="AF139" s="119">
        <v>-6.4974100000000007E-2</v>
      </c>
      <c r="AG139" s="119" t="s">
        <v>509</v>
      </c>
      <c r="AH139" s="119" t="s">
        <v>173</v>
      </c>
      <c r="AI139" s="119">
        <v>100</v>
      </c>
      <c r="AJ139" s="119">
        <v>34.888255999999998</v>
      </c>
      <c r="AK139" s="119">
        <v>6196364</v>
      </c>
      <c r="AL139" s="119">
        <v>1.6150000095367001</v>
      </c>
      <c r="AN139" s="123">
        <f t="shared" si="10"/>
        <v>46250</v>
      </c>
      <c r="AO139" s="124">
        <f t="shared" si="11"/>
        <v>0.8928935185185185</v>
      </c>
      <c r="AQ139" s="125">
        <v>0</v>
      </c>
      <c r="AR139" s="125">
        <v>0</v>
      </c>
      <c r="AS139" s="125">
        <v>0</v>
      </c>
      <c r="AT139" s="125">
        <v>0</v>
      </c>
    </row>
    <row r="140" spans="1:46">
      <c r="A140" s="118" t="s">
        <v>510</v>
      </c>
      <c r="B140" s="119">
        <v>3</v>
      </c>
      <c r="C140" s="119">
        <v>210</v>
      </c>
      <c r="D140" s="119">
        <v>210</v>
      </c>
      <c r="E140" s="119">
        <v>25.124400000000001</v>
      </c>
      <c r="F140" s="119">
        <v>25.021699999999999</v>
      </c>
      <c r="G140" s="119">
        <v>1441.34</v>
      </c>
      <c r="H140" s="119">
        <v>1441.63</v>
      </c>
      <c r="I140" s="119">
        <v>1441.26</v>
      </c>
      <c r="J140" s="119">
        <v>1441.79</v>
      </c>
      <c r="K140" s="119">
        <v>1441.78</v>
      </c>
      <c r="L140" s="119">
        <v>1441.72</v>
      </c>
      <c r="M140" s="119">
        <v>1441.71</v>
      </c>
      <c r="N140" s="119">
        <v>1441.43</v>
      </c>
      <c r="O140" s="119">
        <v>0.88733600000000001</v>
      </c>
      <c r="P140" s="119">
        <v>2499.88</v>
      </c>
      <c r="Q140" s="119">
        <v>2500.1</v>
      </c>
      <c r="R140" s="119">
        <v>2499.91</v>
      </c>
      <c r="S140" s="119">
        <v>2499.75</v>
      </c>
      <c r="T140" s="119">
        <v>2500.23</v>
      </c>
      <c r="U140" s="119">
        <v>2500.4299999999998</v>
      </c>
      <c r="V140" s="119">
        <v>2500.61</v>
      </c>
      <c r="W140" s="119">
        <v>2499.66</v>
      </c>
      <c r="X140" s="119">
        <v>209.9</v>
      </c>
      <c r="Y140" s="119">
        <v>6.5724299999999999E-2</v>
      </c>
      <c r="Z140" s="119">
        <v>-6.2535199999999999E-2</v>
      </c>
      <c r="AA140" s="119">
        <v>-6.0424499999999999E-2</v>
      </c>
      <c r="AB140" s="119">
        <v>2.4771400000000001E-3</v>
      </c>
      <c r="AC140" s="119">
        <v>-8.1012000000000001E-2</v>
      </c>
      <c r="AD140" s="119">
        <v>-3.8751500000000001E-2</v>
      </c>
      <c r="AE140" s="119">
        <v>-5.8812999999999997E-2</v>
      </c>
      <c r="AF140" s="119">
        <v>-6.7169599999999996E-2</v>
      </c>
      <c r="AG140" s="119" t="s">
        <v>511</v>
      </c>
      <c r="AH140" s="119" t="s">
        <v>173</v>
      </c>
      <c r="AI140" s="119">
        <v>100</v>
      </c>
      <c r="AJ140" s="119">
        <v>35.057771000000002</v>
      </c>
      <c r="AK140" s="119">
        <v>6226471</v>
      </c>
      <c r="AL140" s="119">
        <v>1.6150000095367001</v>
      </c>
      <c r="AN140" s="123">
        <f t="shared" si="10"/>
        <v>46250</v>
      </c>
      <c r="AO140" s="124">
        <f t="shared" si="11"/>
        <v>0.90217592592592588</v>
      </c>
      <c r="AQ140" s="125">
        <v>0</v>
      </c>
      <c r="AR140" s="125">
        <v>0</v>
      </c>
      <c r="AS140" s="125">
        <v>0</v>
      </c>
      <c r="AT140" s="125">
        <v>0</v>
      </c>
    </row>
    <row r="141" spans="1:46">
      <c r="A141" s="118" t="s">
        <v>512</v>
      </c>
      <c r="B141" s="119">
        <v>4</v>
      </c>
      <c r="C141" s="119">
        <v>210</v>
      </c>
      <c r="D141" s="119">
        <v>210</v>
      </c>
      <c r="E141" s="119">
        <v>25.176500000000001</v>
      </c>
      <c r="F141" s="119">
        <v>25.026</v>
      </c>
      <c r="G141" s="119">
        <v>1416.75</v>
      </c>
      <c r="H141" s="119">
        <v>1416.48</v>
      </c>
      <c r="I141" s="119">
        <v>1416.08</v>
      </c>
      <c r="J141" s="119">
        <v>1416.85</v>
      </c>
      <c r="K141" s="119">
        <v>1415.96</v>
      </c>
      <c r="L141" s="119">
        <v>1416.65</v>
      </c>
      <c r="M141" s="119">
        <v>1416.54</v>
      </c>
      <c r="N141" s="119">
        <v>1416.78</v>
      </c>
      <c r="O141" s="119">
        <v>0.93561700000000003</v>
      </c>
      <c r="P141" s="119">
        <v>2499.6</v>
      </c>
      <c r="Q141" s="119">
        <v>2499.4499999999998</v>
      </c>
      <c r="R141" s="119">
        <v>2500.34</v>
      </c>
      <c r="S141" s="119">
        <v>2499.52</v>
      </c>
      <c r="T141" s="119">
        <v>2499.67</v>
      </c>
      <c r="U141" s="119">
        <v>2499.2199999999998</v>
      </c>
      <c r="V141" s="119">
        <v>2500.25</v>
      </c>
      <c r="W141" s="119">
        <v>2500.3000000000002</v>
      </c>
      <c r="X141" s="119">
        <v>210</v>
      </c>
      <c r="Y141" s="119">
        <v>6.2894900000000004E-2</v>
      </c>
      <c r="Z141" s="119">
        <v>-6.2320100000000003E-2</v>
      </c>
      <c r="AA141" s="119">
        <v>-6.1754999999999997E-2</v>
      </c>
      <c r="AB141" s="119">
        <v>-2.0209199999999998E-3</v>
      </c>
      <c r="AC141" s="119">
        <v>-7.6676900000000006E-2</v>
      </c>
      <c r="AD141" s="119">
        <v>-3.5966600000000001E-2</v>
      </c>
      <c r="AE141" s="119">
        <v>-6.1939399999999999E-2</v>
      </c>
      <c r="AF141" s="119">
        <v>-6.6799999999999998E-2</v>
      </c>
      <c r="AG141" s="119" t="s">
        <v>513</v>
      </c>
      <c r="AH141" s="119" t="s">
        <v>173</v>
      </c>
      <c r="AI141" s="119">
        <v>100</v>
      </c>
      <c r="AJ141" s="119">
        <v>36.358904000000003</v>
      </c>
      <c r="AK141" s="119">
        <v>6457560</v>
      </c>
      <c r="AL141" s="119">
        <v>1.6166666746139999</v>
      </c>
      <c r="AN141" s="123">
        <f t="shared" si="10"/>
        <v>46250</v>
      </c>
      <c r="AO141" s="124">
        <f t="shared" si="11"/>
        <v>0.91144675925925922</v>
      </c>
      <c r="AQ141" s="125">
        <v>0</v>
      </c>
      <c r="AR141" s="125">
        <v>0</v>
      </c>
      <c r="AS141" s="125">
        <v>0</v>
      </c>
      <c r="AT141" s="125">
        <v>0</v>
      </c>
    </row>
    <row r="142" spans="1:46">
      <c r="A142" s="118" t="s">
        <v>514</v>
      </c>
      <c r="B142" s="119">
        <v>5</v>
      </c>
      <c r="C142" s="119">
        <v>210</v>
      </c>
      <c r="D142" s="119">
        <v>210</v>
      </c>
      <c r="E142" s="119">
        <v>25.1968</v>
      </c>
      <c r="F142" s="119">
        <v>25.040500000000002</v>
      </c>
      <c r="G142" s="119">
        <v>1418.56</v>
      </c>
      <c r="H142" s="119">
        <v>1418.53</v>
      </c>
      <c r="I142" s="119">
        <v>1418.07</v>
      </c>
      <c r="J142" s="119">
        <v>1416.61</v>
      </c>
      <c r="K142" s="119">
        <v>1418.12</v>
      </c>
      <c r="L142" s="119">
        <v>1417.74</v>
      </c>
      <c r="M142" s="119">
        <v>1418.06</v>
      </c>
      <c r="N142" s="119">
        <v>1418.28</v>
      </c>
      <c r="O142" s="119">
        <v>0.94354000000000005</v>
      </c>
      <c r="P142" s="119">
        <v>2499.59</v>
      </c>
      <c r="Q142" s="119">
        <v>2500.2600000000002</v>
      </c>
      <c r="R142" s="119">
        <v>2500.42</v>
      </c>
      <c r="S142" s="119">
        <v>2500.2199999999998</v>
      </c>
      <c r="T142" s="119">
        <v>2499.79</v>
      </c>
      <c r="U142" s="119">
        <v>2499.88</v>
      </c>
      <c r="V142" s="119">
        <v>2500.4499999999998</v>
      </c>
      <c r="W142" s="119">
        <v>2500.0700000000002</v>
      </c>
      <c r="X142" s="119">
        <v>209.9</v>
      </c>
      <c r="Y142" s="119">
        <v>6.7340800000000006E-2</v>
      </c>
      <c r="Z142" s="119">
        <v>-6.1400499999999997E-2</v>
      </c>
      <c r="AA142" s="119">
        <v>-5.4807399999999999E-2</v>
      </c>
      <c r="AB142" s="119">
        <v>3.1051400000000002E-3</v>
      </c>
      <c r="AC142" s="119">
        <v>-7.3542700000000003E-2</v>
      </c>
      <c r="AD142" s="119">
        <v>-2.9424700000000002E-2</v>
      </c>
      <c r="AE142" s="119">
        <v>-7.1352799999999994E-2</v>
      </c>
      <c r="AF142" s="119">
        <v>-6.7177100000000003E-2</v>
      </c>
      <c r="AG142" s="119" t="s">
        <v>515</v>
      </c>
      <c r="AH142" s="119" t="s">
        <v>173</v>
      </c>
      <c r="AI142" s="119">
        <v>100</v>
      </c>
      <c r="AJ142" s="119">
        <v>36.360227000000002</v>
      </c>
      <c r="AK142" s="119">
        <v>6457795</v>
      </c>
      <c r="AL142" s="119">
        <v>1.6150000095367001</v>
      </c>
      <c r="AN142" s="123">
        <f t="shared" si="10"/>
        <v>46250</v>
      </c>
      <c r="AO142" s="124">
        <f t="shared" si="11"/>
        <v>0.92070601851851852</v>
      </c>
      <c r="AQ142" s="125">
        <v>0</v>
      </c>
      <c r="AR142" s="125">
        <v>0</v>
      </c>
      <c r="AS142" s="125">
        <v>0</v>
      </c>
      <c r="AT142" s="125">
        <v>0</v>
      </c>
    </row>
    <row r="143" spans="1:46">
      <c r="A143" s="118" t="s">
        <v>516</v>
      </c>
      <c r="B143" s="119">
        <v>6</v>
      </c>
      <c r="C143" s="119">
        <v>210</v>
      </c>
      <c r="D143" s="119">
        <v>210</v>
      </c>
      <c r="E143" s="119">
        <v>25.221399999999999</v>
      </c>
      <c r="F143" s="119">
        <v>25.015899999999998</v>
      </c>
      <c r="G143" s="119">
        <v>1418.49</v>
      </c>
      <c r="H143" s="119">
        <v>1417.72</v>
      </c>
      <c r="I143" s="119">
        <v>1418.65</v>
      </c>
      <c r="J143" s="119">
        <v>1417.67</v>
      </c>
      <c r="K143" s="119">
        <v>1418.12</v>
      </c>
      <c r="L143" s="119">
        <v>1419.04</v>
      </c>
      <c r="M143" s="119">
        <v>1418.26</v>
      </c>
      <c r="N143" s="119">
        <v>1419.31</v>
      </c>
      <c r="O143" s="119">
        <v>0.90541700000000003</v>
      </c>
      <c r="P143" s="119">
        <v>2499.58</v>
      </c>
      <c r="Q143" s="119">
        <v>2500.54</v>
      </c>
      <c r="R143" s="119">
        <v>2499.92</v>
      </c>
      <c r="S143" s="119">
        <v>2499.33</v>
      </c>
      <c r="T143" s="119">
        <v>2500.02</v>
      </c>
      <c r="U143" s="119">
        <v>2500.0500000000002</v>
      </c>
      <c r="V143" s="119">
        <v>2498.9699999999998</v>
      </c>
      <c r="W143" s="119">
        <v>2499.6</v>
      </c>
      <c r="X143" s="119">
        <v>209.9</v>
      </c>
      <c r="Y143" s="119">
        <v>6.5066899999999997E-2</v>
      </c>
      <c r="Z143" s="119">
        <v>-5.9804200000000002E-2</v>
      </c>
      <c r="AA143" s="119">
        <v>-5.72422E-2</v>
      </c>
      <c r="AB143" s="119">
        <v>1.57003E-3</v>
      </c>
      <c r="AC143" s="119">
        <v>-7.7797400000000003E-2</v>
      </c>
      <c r="AD143" s="119">
        <v>-3.8403300000000001E-2</v>
      </c>
      <c r="AE143" s="119">
        <v>-6.4115800000000001E-2</v>
      </c>
      <c r="AF143" s="119">
        <v>-6.8924299999999994E-2</v>
      </c>
      <c r="AG143" s="119" t="s">
        <v>517</v>
      </c>
      <c r="AH143" s="119" t="s">
        <v>173</v>
      </c>
      <c r="AI143" s="119">
        <v>100</v>
      </c>
      <c r="AJ143" s="119">
        <v>35.429054000000001</v>
      </c>
      <c r="AK143" s="119">
        <v>6292413</v>
      </c>
      <c r="AL143" s="119">
        <v>1.6166666746139999</v>
      </c>
      <c r="AN143" s="123">
        <f t="shared" si="10"/>
        <v>46250</v>
      </c>
      <c r="AO143" s="124">
        <f t="shared" si="11"/>
        <v>0.92997685185185186</v>
      </c>
      <c r="AQ143" s="125">
        <v>0</v>
      </c>
      <c r="AR143" s="125">
        <v>0</v>
      </c>
      <c r="AS143" s="125">
        <v>0</v>
      </c>
      <c r="AT143" s="125">
        <v>0</v>
      </c>
    </row>
    <row r="144" spans="1:46">
      <c r="A144" s="118" t="s">
        <v>518</v>
      </c>
      <c r="B144" s="119">
        <v>7</v>
      </c>
      <c r="C144" s="119">
        <v>210</v>
      </c>
      <c r="D144" s="119">
        <v>210</v>
      </c>
      <c r="E144" s="119">
        <v>25.188099999999999</v>
      </c>
      <c r="F144" s="119">
        <v>25.0275</v>
      </c>
      <c r="G144" s="119">
        <v>1445.2</v>
      </c>
      <c r="H144" s="119">
        <v>1445.4</v>
      </c>
      <c r="I144" s="119">
        <v>1445</v>
      </c>
      <c r="J144" s="119">
        <v>1443.59</v>
      </c>
      <c r="K144" s="119">
        <v>1444.96</v>
      </c>
      <c r="L144" s="119">
        <v>1445.28</v>
      </c>
      <c r="M144" s="119">
        <v>1444.53</v>
      </c>
      <c r="N144" s="119">
        <v>1444.57</v>
      </c>
      <c r="O144" s="119">
        <v>0.89952399999999999</v>
      </c>
      <c r="P144" s="119">
        <v>2500.02</v>
      </c>
      <c r="Q144" s="119">
        <v>2499.08</v>
      </c>
      <c r="R144" s="119">
        <v>2499.6</v>
      </c>
      <c r="S144" s="119">
        <v>2499.85</v>
      </c>
      <c r="T144" s="119">
        <v>2499.75</v>
      </c>
      <c r="U144" s="119">
        <v>2500.15</v>
      </c>
      <c r="V144" s="119">
        <v>2499.62</v>
      </c>
      <c r="W144" s="119">
        <v>2500.98</v>
      </c>
      <c r="X144" s="119">
        <v>210.1</v>
      </c>
      <c r="Y144" s="119">
        <v>6.7546400000000006E-2</v>
      </c>
      <c r="Z144" s="119">
        <v>-6.47451E-2</v>
      </c>
      <c r="AA144" s="119">
        <v>-5.7662999999999999E-2</v>
      </c>
      <c r="AB144" s="119">
        <v>4.1516299999999999E-3</v>
      </c>
      <c r="AC144" s="119">
        <v>-8.2031699999999999E-2</v>
      </c>
      <c r="AD144" s="119">
        <v>-3.3475499999999998E-2</v>
      </c>
      <c r="AE144" s="119">
        <v>-6.4887299999999995E-2</v>
      </c>
      <c r="AF144" s="119">
        <v>-6.6091899999999995E-2</v>
      </c>
      <c r="AG144" s="119" t="s">
        <v>519</v>
      </c>
      <c r="AH144" s="119" t="s">
        <v>173</v>
      </c>
      <c r="AI144" s="119">
        <v>100</v>
      </c>
      <c r="AJ144" s="119">
        <v>36.076824999999999</v>
      </c>
      <c r="AK144" s="119">
        <v>6407461</v>
      </c>
      <c r="AL144" s="119">
        <v>1.6150000095367001</v>
      </c>
      <c r="AN144" s="123">
        <f t="shared" si="10"/>
        <v>46250</v>
      </c>
      <c r="AO144" s="124">
        <f t="shared" si="11"/>
        <v>0.93925925925925924</v>
      </c>
      <c r="AQ144" s="125">
        <v>0</v>
      </c>
      <c r="AR144" s="125">
        <v>0</v>
      </c>
      <c r="AS144" s="125">
        <v>0</v>
      </c>
      <c r="AT144" s="125">
        <v>0</v>
      </c>
    </row>
    <row r="145" spans="1:46">
      <c r="A145" s="118" t="s">
        <v>520</v>
      </c>
      <c r="B145" s="119">
        <v>8</v>
      </c>
      <c r="C145" s="119">
        <v>209.9</v>
      </c>
      <c r="D145" s="119">
        <v>210</v>
      </c>
      <c r="E145" s="119">
        <v>25.209800000000001</v>
      </c>
      <c r="F145" s="119">
        <v>25.037600000000001</v>
      </c>
      <c r="G145" s="119">
        <v>1429.22</v>
      </c>
      <c r="H145" s="119">
        <v>1428.59</v>
      </c>
      <c r="I145" s="119">
        <v>1429.13</v>
      </c>
      <c r="J145" s="119">
        <v>1429.31</v>
      </c>
      <c r="K145" s="119">
        <v>1429.18</v>
      </c>
      <c r="L145" s="119">
        <v>1429.89</v>
      </c>
      <c r="M145" s="119">
        <v>1429.54</v>
      </c>
      <c r="N145" s="119">
        <v>1429.08</v>
      </c>
      <c r="O145" s="119">
        <v>0.94780299999999995</v>
      </c>
      <c r="P145" s="119">
        <v>2499.61</v>
      </c>
      <c r="Q145" s="119">
        <v>2500.41</v>
      </c>
      <c r="R145" s="119">
        <v>2499.92</v>
      </c>
      <c r="S145" s="119">
        <v>2499.9699999999998</v>
      </c>
      <c r="T145" s="119">
        <v>2500.1</v>
      </c>
      <c r="U145" s="119">
        <v>2500.1999999999998</v>
      </c>
      <c r="V145" s="119">
        <v>2500.39</v>
      </c>
      <c r="W145" s="119">
        <v>2500.19</v>
      </c>
      <c r="X145" s="119">
        <v>210.1</v>
      </c>
      <c r="Y145" s="119">
        <v>6.7749299999999998E-2</v>
      </c>
      <c r="Z145" s="119">
        <v>-6.4589099999999997E-2</v>
      </c>
      <c r="AA145" s="119">
        <v>-5.8789899999999999E-2</v>
      </c>
      <c r="AB145" s="119">
        <v>-3.2592900000000002E-3</v>
      </c>
      <c r="AC145" s="119">
        <v>-8.0194799999999997E-2</v>
      </c>
      <c r="AD145" s="119">
        <v>-3.4475100000000002E-2</v>
      </c>
      <c r="AE145" s="119">
        <v>-6.4474699999999996E-2</v>
      </c>
      <c r="AF145" s="119">
        <v>-6.5850199999999998E-2</v>
      </c>
      <c r="AG145" s="119" t="s">
        <v>521</v>
      </c>
      <c r="AH145" s="119" t="s">
        <v>173</v>
      </c>
      <c r="AI145" s="119">
        <v>100</v>
      </c>
      <c r="AJ145" s="119">
        <v>35.538272999999997</v>
      </c>
      <c r="AK145" s="119">
        <v>6311811</v>
      </c>
      <c r="AL145" s="119">
        <v>1.6166666746139999</v>
      </c>
      <c r="AN145" s="123">
        <f t="shared" si="10"/>
        <v>46250</v>
      </c>
      <c r="AO145" s="124">
        <f t="shared" si="11"/>
        <v>0.94851851851851854</v>
      </c>
      <c r="AQ145" s="125">
        <v>0</v>
      </c>
      <c r="AR145" s="125">
        <v>0</v>
      </c>
      <c r="AS145" s="125">
        <v>0</v>
      </c>
      <c r="AT145" s="125">
        <v>0</v>
      </c>
    </row>
    <row r="146" spans="1:46">
      <c r="A146" s="118" t="s">
        <v>522</v>
      </c>
      <c r="B146" s="119">
        <v>1</v>
      </c>
      <c r="C146" s="119">
        <v>209.9</v>
      </c>
      <c r="D146" s="119">
        <v>210</v>
      </c>
      <c r="E146" s="119">
        <v>25.1982</v>
      </c>
      <c r="F146" s="119">
        <v>25.0318</v>
      </c>
      <c r="G146" s="119">
        <v>1427.33</v>
      </c>
      <c r="H146" s="119">
        <v>1427.43</v>
      </c>
      <c r="I146" s="119">
        <v>1427.25</v>
      </c>
      <c r="J146" s="119">
        <v>1428.12</v>
      </c>
      <c r="K146" s="119">
        <v>1427.61</v>
      </c>
      <c r="L146" s="119">
        <v>1427</v>
      </c>
      <c r="M146" s="119">
        <v>1427.66</v>
      </c>
      <c r="N146" s="119">
        <v>1427.73</v>
      </c>
      <c r="O146" s="119">
        <v>1.0130300000000001</v>
      </c>
      <c r="P146" s="119">
        <v>2500.48</v>
      </c>
      <c r="Q146" s="119">
        <v>2499.58</v>
      </c>
      <c r="R146" s="119">
        <v>2500.67</v>
      </c>
      <c r="S146" s="119">
        <v>2500.31</v>
      </c>
      <c r="T146" s="119">
        <v>2499.61</v>
      </c>
      <c r="U146" s="119">
        <v>2499.06</v>
      </c>
      <c r="V146" s="119">
        <v>2499.98</v>
      </c>
      <c r="W146" s="119">
        <v>2499.98</v>
      </c>
      <c r="X146" s="119">
        <v>210</v>
      </c>
      <c r="Y146" s="119">
        <v>6.5701800000000005E-2</v>
      </c>
      <c r="Z146" s="119">
        <v>-6.0743800000000001E-2</v>
      </c>
      <c r="AA146" s="119">
        <v>-5.5420499999999998E-2</v>
      </c>
      <c r="AB146" s="119">
        <v>1.86316E-3</v>
      </c>
      <c r="AC146" s="119">
        <v>-7.7084899999999998E-2</v>
      </c>
      <c r="AD146" s="119">
        <v>-3.4825200000000001E-2</v>
      </c>
      <c r="AE146" s="119">
        <v>-6.0775299999999997E-2</v>
      </c>
      <c r="AF146" s="119">
        <v>-6.6161999999999999E-2</v>
      </c>
      <c r="AG146" s="119" t="s">
        <v>523</v>
      </c>
      <c r="AH146" s="119" t="s">
        <v>173</v>
      </c>
      <c r="AI146" s="119">
        <v>100</v>
      </c>
      <c r="AJ146" s="119">
        <v>36.924937999999997</v>
      </c>
      <c r="AK146" s="119">
        <v>6558091</v>
      </c>
      <c r="AL146" s="119">
        <v>1.6150000095367001</v>
      </c>
      <c r="AN146" s="123">
        <f t="shared" si="10"/>
        <v>46250</v>
      </c>
      <c r="AO146" s="124">
        <f t="shared" si="11"/>
        <v>0.95781249999999996</v>
      </c>
      <c r="AQ146" s="125">
        <v>0</v>
      </c>
      <c r="AR146" s="125">
        <v>0</v>
      </c>
      <c r="AS146" s="125">
        <v>0</v>
      </c>
      <c r="AT146" s="125">
        <v>0</v>
      </c>
    </row>
    <row r="147" spans="1:46">
      <c r="A147" s="118" t="s">
        <v>524</v>
      </c>
      <c r="B147" s="119">
        <v>2</v>
      </c>
      <c r="C147" s="119">
        <v>210</v>
      </c>
      <c r="D147" s="119">
        <v>210</v>
      </c>
      <c r="E147" s="119">
        <v>25.222799999999999</v>
      </c>
      <c r="F147" s="119">
        <v>25.017399999999999</v>
      </c>
      <c r="G147" s="119">
        <v>1431.04</v>
      </c>
      <c r="H147" s="119">
        <v>1430.94</v>
      </c>
      <c r="I147" s="119">
        <v>1430.93</v>
      </c>
      <c r="J147" s="119">
        <v>1429.93</v>
      </c>
      <c r="K147" s="119">
        <v>1430.57</v>
      </c>
      <c r="L147" s="119">
        <v>1430.63</v>
      </c>
      <c r="M147" s="119">
        <v>1431.18</v>
      </c>
      <c r="N147" s="119">
        <v>1430.24</v>
      </c>
      <c r="O147" s="119">
        <v>0.87265700000000002</v>
      </c>
      <c r="P147" s="119">
        <v>2500.3200000000002</v>
      </c>
      <c r="Q147" s="119">
        <v>2499.1</v>
      </c>
      <c r="R147" s="119">
        <v>2499.89</v>
      </c>
      <c r="S147" s="119">
        <v>2500.48</v>
      </c>
      <c r="T147" s="119">
        <v>2499.84</v>
      </c>
      <c r="U147" s="119">
        <v>2500.15</v>
      </c>
      <c r="V147" s="119">
        <v>2500.31</v>
      </c>
      <c r="W147" s="119">
        <v>2499.87</v>
      </c>
      <c r="X147" s="119">
        <v>210</v>
      </c>
      <c r="Y147" s="119">
        <v>6.2508300000000003E-2</v>
      </c>
      <c r="Z147" s="119">
        <v>-6.6133899999999995E-2</v>
      </c>
      <c r="AA147" s="119">
        <v>-5.8448300000000002E-2</v>
      </c>
      <c r="AB147" s="119">
        <v>-4.6604899999999998E-3</v>
      </c>
      <c r="AC147" s="119">
        <v>-7.5109800000000004E-2</v>
      </c>
      <c r="AD147" s="119">
        <v>-3.6874200000000003E-2</v>
      </c>
      <c r="AE147" s="119">
        <v>-6.40815E-2</v>
      </c>
      <c r="AF147" s="119">
        <v>-6.7054299999999997E-2</v>
      </c>
      <c r="AG147" s="119" t="s">
        <v>525</v>
      </c>
      <c r="AH147" s="119" t="s">
        <v>173</v>
      </c>
      <c r="AI147" s="119">
        <v>100</v>
      </c>
      <c r="AJ147" s="119">
        <v>35.025615999999999</v>
      </c>
      <c r="AK147" s="119">
        <v>6220760</v>
      </c>
      <c r="AL147" s="119">
        <v>1.6150000095367001</v>
      </c>
      <c r="AN147" s="123">
        <f t="shared" si="10"/>
        <v>46250</v>
      </c>
      <c r="AO147" s="124">
        <f t="shared" si="11"/>
        <v>0.96708333333333329</v>
      </c>
      <c r="AQ147" s="125">
        <v>0</v>
      </c>
      <c r="AR147" s="125">
        <v>0</v>
      </c>
      <c r="AS147" s="125">
        <v>0</v>
      </c>
      <c r="AT147" s="125">
        <v>0</v>
      </c>
    </row>
    <row r="148" spans="1:46">
      <c r="A148" s="118" t="s">
        <v>526</v>
      </c>
      <c r="B148" s="119">
        <v>3</v>
      </c>
      <c r="C148" s="119">
        <v>210</v>
      </c>
      <c r="D148" s="119">
        <v>210</v>
      </c>
      <c r="E148" s="119">
        <v>25.269100000000002</v>
      </c>
      <c r="F148" s="119">
        <v>25.0289</v>
      </c>
      <c r="G148" s="119">
        <v>1408.72</v>
      </c>
      <c r="H148" s="119">
        <v>1409.92</v>
      </c>
      <c r="I148" s="119">
        <v>1410.34</v>
      </c>
      <c r="J148" s="119">
        <v>1410.02</v>
      </c>
      <c r="K148" s="119">
        <v>1410.4</v>
      </c>
      <c r="L148" s="119">
        <v>1410.97</v>
      </c>
      <c r="M148" s="119">
        <v>1409.63</v>
      </c>
      <c r="N148" s="119">
        <v>1410.37</v>
      </c>
      <c r="O148" s="119">
        <v>0.932477</v>
      </c>
      <c r="P148" s="119">
        <v>2498.6</v>
      </c>
      <c r="Q148" s="119">
        <v>2499.67</v>
      </c>
      <c r="R148" s="119">
        <v>2500.54</v>
      </c>
      <c r="S148" s="119">
        <v>2499.9299999999998</v>
      </c>
      <c r="T148" s="119">
        <v>2499.91</v>
      </c>
      <c r="U148" s="119">
        <v>2500.04</v>
      </c>
      <c r="V148" s="119">
        <v>2499.64</v>
      </c>
      <c r="W148" s="119">
        <v>2500.15</v>
      </c>
      <c r="X148" s="119">
        <v>210.2</v>
      </c>
      <c r="Y148" s="119">
        <v>6.4611199999999994E-2</v>
      </c>
      <c r="Z148" s="119">
        <v>-6.4353599999999997E-2</v>
      </c>
      <c r="AA148" s="119">
        <v>-5.50193E-2</v>
      </c>
      <c r="AB148" s="119">
        <v>-1.03221E-3</v>
      </c>
      <c r="AC148" s="119">
        <v>-7.7996999999999997E-2</v>
      </c>
      <c r="AD148" s="119">
        <v>-3.6711300000000002E-2</v>
      </c>
      <c r="AE148" s="119">
        <v>-6.1187900000000003E-2</v>
      </c>
      <c r="AF148" s="119">
        <v>-6.6026199999999993E-2</v>
      </c>
      <c r="AG148" s="119" t="s">
        <v>527</v>
      </c>
      <c r="AH148" s="119" t="s">
        <v>173</v>
      </c>
      <c r="AI148" s="119">
        <v>100</v>
      </c>
      <c r="AJ148" s="119">
        <v>35.232326</v>
      </c>
      <c r="AK148" s="119">
        <v>6257473</v>
      </c>
      <c r="AL148" s="119">
        <v>1.6166666746139999</v>
      </c>
      <c r="AN148" s="123">
        <f t="shared" si="10"/>
        <v>46250</v>
      </c>
      <c r="AO148" s="124">
        <f t="shared" si="11"/>
        <v>0.97636574074074078</v>
      </c>
      <c r="AQ148" s="125">
        <v>0</v>
      </c>
      <c r="AR148" s="125">
        <v>0</v>
      </c>
      <c r="AS148" s="125">
        <v>0</v>
      </c>
      <c r="AT148" s="125">
        <v>0</v>
      </c>
    </row>
    <row r="149" spans="1:46">
      <c r="A149" s="118" t="s">
        <v>528</v>
      </c>
      <c r="B149" s="119">
        <v>4</v>
      </c>
      <c r="C149" s="119">
        <v>210</v>
      </c>
      <c r="D149" s="119">
        <v>210</v>
      </c>
      <c r="E149" s="119">
        <v>25.289400000000001</v>
      </c>
      <c r="F149" s="119">
        <v>25.021699999999999</v>
      </c>
      <c r="G149" s="119">
        <v>1439.95</v>
      </c>
      <c r="H149" s="119">
        <v>1439.17</v>
      </c>
      <c r="I149" s="119">
        <v>1439.48</v>
      </c>
      <c r="J149" s="119">
        <v>1438.06</v>
      </c>
      <c r="K149" s="119">
        <v>1439.32</v>
      </c>
      <c r="L149" s="119">
        <v>1439.18</v>
      </c>
      <c r="M149" s="119">
        <v>1439.48</v>
      </c>
      <c r="N149" s="119">
        <v>1439.03</v>
      </c>
      <c r="O149" s="119">
        <v>0.88603799999999999</v>
      </c>
      <c r="P149" s="119">
        <v>2500.61</v>
      </c>
      <c r="Q149" s="119">
        <v>2500.4299999999998</v>
      </c>
      <c r="R149" s="119">
        <v>2501.11</v>
      </c>
      <c r="S149" s="119">
        <v>2500.6999999999998</v>
      </c>
      <c r="T149" s="119">
        <v>2499.87</v>
      </c>
      <c r="U149" s="119">
        <v>2499.4699999999998</v>
      </c>
      <c r="V149" s="119">
        <v>2500.96</v>
      </c>
      <c r="W149" s="119">
        <v>2499.1799999999998</v>
      </c>
      <c r="X149" s="119">
        <v>210</v>
      </c>
      <c r="Y149" s="119">
        <v>6.3655699999999996E-2</v>
      </c>
      <c r="Z149" s="119">
        <v>-6.1956999999999998E-2</v>
      </c>
      <c r="AA149" s="119">
        <v>-5.9981800000000002E-2</v>
      </c>
      <c r="AB149" s="119">
        <v>2.2293299999999999E-3</v>
      </c>
      <c r="AC149" s="119">
        <v>-7.7818499999999999E-2</v>
      </c>
      <c r="AD149" s="119">
        <v>-3.7932199999999999E-2</v>
      </c>
      <c r="AE149" s="119">
        <v>-7.6028100000000001E-2</v>
      </c>
      <c r="AF149" s="119">
        <v>-7.0495500000000003E-2</v>
      </c>
      <c r="AG149" s="119" t="s">
        <v>529</v>
      </c>
      <c r="AH149" s="119" t="s">
        <v>173</v>
      </c>
      <c r="AI149" s="119">
        <v>100</v>
      </c>
      <c r="AJ149" s="119">
        <v>36.386454000000001</v>
      </c>
      <c r="AK149" s="119">
        <v>6462453</v>
      </c>
      <c r="AL149" s="119">
        <v>1.6150000095367001</v>
      </c>
      <c r="AN149" s="123">
        <f t="shared" si="10"/>
        <v>46250</v>
      </c>
      <c r="AO149" s="124">
        <f t="shared" si="11"/>
        <v>0.98564814814814816</v>
      </c>
      <c r="AQ149" s="125">
        <v>0</v>
      </c>
      <c r="AR149" s="125">
        <v>0</v>
      </c>
      <c r="AS149" s="125">
        <v>0</v>
      </c>
      <c r="AT149" s="125">
        <v>0</v>
      </c>
    </row>
    <row r="150" spans="1:46">
      <c r="A150" s="118" t="s">
        <v>530</v>
      </c>
      <c r="B150" s="119">
        <v>5</v>
      </c>
      <c r="C150" s="119">
        <v>210</v>
      </c>
      <c r="D150" s="119">
        <v>210</v>
      </c>
      <c r="E150" s="119">
        <v>25.302399999999999</v>
      </c>
      <c r="F150" s="119">
        <v>25.026</v>
      </c>
      <c r="G150" s="119">
        <v>1434.37</v>
      </c>
      <c r="H150" s="119">
        <v>1435.2</v>
      </c>
      <c r="I150" s="119">
        <v>1435.25</v>
      </c>
      <c r="J150" s="119">
        <v>1435.84</v>
      </c>
      <c r="K150" s="119">
        <v>1434.98</v>
      </c>
      <c r="L150" s="119">
        <v>1434.49</v>
      </c>
      <c r="M150" s="119">
        <v>1434.65</v>
      </c>
      <c r="N150" s="119">
        <v>1434.53</v>
      </c>
      <c r="O150" s="119">
        <v>0.94239300000000004</v>
      </c>
      <c r="P150" s="119">
        <v>2499.6999999999998</v>
      </c>
      <c r="Q150" s="119">
        <v>2499.79</v>
      </c>
      <c r="R150" s="119">
        <v>2500.54</v>
      </c>
      <c r="S150" s="119">
        <v>2499.02</v>
      </c>
      <c r="T150" s="119">
        <v>2499.96</v>
      </c>
      <c r="U150" s="119">
        <v>2499.5500000000002</v>
      </c>
      <c r="V150" s="119">
        <v>2498.9699999999998</v>
      </c>
      <c r="W150" s="119">
        <v>2499.7800000000002</v>
      </c>
      <c r="X150" s="119">
        <v>209.9</v>
      </c>
      <c r="Y150" s="119">
        <v>6.5290500000000001E-2</v>
      </c>
      <c r="Z150" s="119">
        <v>-6.5212199999999998E-2</v>
      </c>
      <c r="AA150" s="119">
        <v>-5.6307799999999998E-2</v>
      </c>
      <c r="AB150" s="119">
        <v>8.1746599999999998E-4</v>
      </c>
      <c r="AC150" s="119">
        <v>-8.0882800000000005E-2</v>
      </c>
      <c r="AD150" s="119">
        <v>-3.7459399999999997E-2</v>
      </c>
      <c r="AE150" s="119">
        <v>-6.41177E-2</v>
      </c>
      <c r="AF150" s="119">
        <v>-6.7694299999999999E-2</v>
      </c>
      <c r="AG150" s="119" t="s">
        <v>531</v>
      </c>
      <c r="AH150" s="119" t="s">
        <v>173</v>
      </c>
      <c r="AI150" s="119">
        <v>100</v>
      </c>
      <c r="AJ150" s="119">
        <v>36.507142000000002</v>
      </c>
      <c r="AK150" s="119">
        <v>6483888</v>
      </c>
      <c r="AL150" s="119">
        <v>1.6166666746139999</v>
      </c>
      <c r="AN150" s="123">
        <f t="shared" si="10"/>
        <v>46250</v>
      </c>
      <c r="AO150" s="124">
        <f t="shared" si="11"/>
        <v>0.99493055555555554</v>
      </c>
      <c r="AQ150" s="125">
        <v>0</v>
      </c>
      <c r="AR150" s="125">
        <v>0</v>
      </c>
      <c r="AS150" s="125">
        <v>0</v>
      </c>
      <c r="AT150" s="125">
        <v>0</v>
      </c>
    </row>
    <row r="151" spans="1:46">
      <c r="A151" s="118" t="s">
        <v>532</v>
      </c>
      <c r="B151" s="119">
        <v>6</v>
      </c>
      <c r="C151" s="119">
        <v>209.9</v>
      </c>
      <c r="D151" s="119">
        <v>210</v>
      </c>
      <c r="E151" s="119">
        <v>25.300899999999999</v>
      </c>
      <c r="F151" s="119">
        <v>25.020299999999999</v>
      </c>
      <c r="G151" s="119">
        <v>1431.12</v>
      </c>
      <c r="H151" s="119">
        <v>1431.47</v>
      </c>
      <c r="I151" s="119">
        <v>1430.92</v>
      </c>
      <c r="J151" s="119">
        <v>1431.05</v>
      </c>
      <c r="K151" s="119">
        <v>1431.05</v>
      </c>
      <c r="L151" s="119">
        <v>1430.83</v>
      </c>
      <c r="M151" s="119">
        <v>1430.64</v>
      </c>
      <c r="N151" s="119">
        <v>1431.32</v>
      </c>
      <c r="O151" s="119">
        <v>0.90930999999999995</v>
      </c>
      <c r="P151" s="119">
        <v>2500.17</v>
      </c>
      <c r="Q151" s="119">
        <v>2499.83</v>
      </c>
      <c r="R151" s="119">
        <v>2499.86</v>
      </c>
      <c r="S151" s="119">
        <v>2500.69</v>
      </c>
      <c r="T151" s="119">
        <v>2499.7199999999998</v>
      </c>
      <c r="U151" s="119">
        <v>2499.9899999999998</v>
      </c>
      <c r="V151" s="119">
        <v>2500.84</v>
      </c>
      <c r="W151" s="119">
        <v>2499.37</v>
      </c>
      <c r="X151" s="119">
        <v>209.9</v>
      </c>
      <c r="Y151" s="119">
        <v>6.6111000000000003E-2</v>
      </c>
      <c r="Z151" s="119">
        <v>-5.9152400000000001E-2</v>
      </c>
      <c r="AA151" s="119">
        <v>-5.7860399999999999E-2</v>
      </c>
      <c r="AB151" s="119">
        <v>2.0918400000000002E-3</v>
      </c>
      <c r="AC151" s="119">
        <v>-7.6571399999999998E-2</v>
      </c>
      <c r="AD151" s="119">
        <v>-3.8901999999999999E-2</v>
      </c>
      <c r="AE151" s="119">
        <v>-6.5619499999999997E-2</v>
      </c>
      <c r="AF151" s="119">
        <v>-6.7381399999999994E-2</v>
      </c>
      <c r="AG151" s="119" t="s">
        <v>533</v>
      </c>
      <c r="AH151" s="119" t="s">
        <v>173</v>
      </c>
      <c r="AI151" s="119">
        <v>100</v>
      </c>
      <c r="AJ151" s="119">
        <v>35.616428999999997</v>
      </c>
      <c r="AK151" s="119">
        <v>6325692</v>
      </c>
      <c r="AL151" s="119">
        <v>1.6166666746139999</v>
      </c>
      <c r="AN151" s="123">
        <f t="shared" si="10"/>
        <v>46251</v>
      </c>
      <c r="AO151" s="124">
        <f t="shared" si="11"/>
        <v>4.1898148148148146E-3</v>
      </c>
      <c r="AQ151" s="125">
        <v>0</v>
      </c>
      <c r="AR151" s="125">
        <v>0</v>
      </c>
      <c r="AS151" s="125">
        <v>0</v>
      </c>
      <c r="AT151" s="125">
        <v>0</v>
      </c>
    </row>
    <row r="152" spans="1:46">
      <c r="A152" s="118" t="s">
        <v>534</v>
      </c>
      <c r="B152" s="119">
        <v>7</v>
      </c>
      <c r="C152" s="119">
        <v>209.9</v>
      </c>
      <c r="D152" s="119">
        <v>210</v>
      </c>
      <c r="E152" s="119">
        <v>25.318300000000001</v>
      </c>
      <c r="F152" s="119">
        <v>25.011600000000001</v>
      </c>
      <c r="G152" s="119">
        <v>1436.19</v>
      </c>
      <c r="H152" s="119">
        <v>1435.01</v>
      </c>
      <c r="I152" s="119">
        <v>1434.7</v>
      </c>
      <c r="J152" s="119">
        <v>1434.59</v>
      </c>
      <c r="K152" s="119">
        <v>1435.67</v>
      </c>
      <c r="L152" s="119">
        <v>1436.04</v>
      </c>
      <c r="M152" s="119">
        <v>1434.68</v>
      </c>
      <c r="N152" s="119">
        <v>1434.83</v>
      </c>
      <c r="O152" s="119">
        <v>0.92483700000000002</v>
      </c>
      <c r="P152" s="119">
        <v>2498.9</v>
      </c>
      <c r="Q152" s="119">
        <v>2499.4299999999998</v>
      </c>
      <c r="R152" s="119">
        <v>2499.73</v>
      </c>
      <c r="S152" s="119">
        <v>2499.23</v>
      </c>
      <c r="T152" s="119">
        <v>2499.4299999999998</v>
      </c>
      <c r="U152" s="119">
        <v>2500.21</v>
      </c>
      <c r="V152" s="119">
        <v>2500.25</v>
      </c>
      <c r="W152" s="119">
        <v>2500.62</v>
      </c>
      <c r="X152" s="119">
        <v>209.9</v>
      </c>
      <c r="Y152" s="119">
        <v>6.2106500000000002E-2</v>
      </c>
      <c r="Z152" s="119">
        <v>-6.4802399999999996E-2</v>
      </c>
      <c r="AA152" s="119">
        <v>-5.6988700000000003E-2</v>
      </c>
      <c r="AB152" s="119">
        <v>1.1744800000000001E-3</v>
      </c>
      <c r="AC152" s="119">
        <v>-7.9141400000000001E-2</v>
      </c>
      <c r="AD152" s="119">
        <v>-3.7889600000000002E-2</v>
      </c>
      <c r="AE152" s="119">
        <v>-8.3559400000000006E-2</v>
      </c>
      <c r="AF152" s="119">
        <v>-7.2078500000000004E-2</v>
      </c>
      <c r="AG152" s="119" t="s">
        <v>535</v>
      </c>
      <c r="AH152" s="119" t="s">
        <v>173</v>
      </c>
      <c r="AI152" s="119">
        <v>100</v>
      </c>
      <c r="AJ152" s="119">
        <v>36.298450000000003</v>
      </c>
      <c r="AK152" s="119">
        <v>6446823</v>
      </c>
      <c r="AL152" s="119">
        <v>1.6150000095367001</v>
      </c>
      <c r="AN152" s="123">
        <f t="shared" si="10"/>
        <v>46251</v>
      </c>
      <c r="AO152" s="124">
        <f t="shared" si="11"/>
        <v>1.3472222222222222E-2</v>
      </c>
      <c r="AQ152" s="125">
        <v>0</v>
      </c>
      <c r="AR152" s="125">
        <v>0</v>
      </c>
      <c r="AS152" s="125">
        <v>0</v>
      </c>
      <c r="AT152" s="125">
        <v>0</v>
      </c>
    </row>
    <row r="153" spans="1:46">
      <c r="A153" s="118" t="s">
        <v>536</v>
      </c>
      <c r="B153" s="119">
        <v>8</v>
      </c>
      <c r="C153" s="119">
        <v>210</v>
      </c>
      <c r="D153" s="119">
        <v>210</v>
      </c>
      <c r="E153" s="119">
        <v>25.319700000000001</v>
      </c>
      <c r="F153" s="119">
        <v>25.0029</v>
      </c>
      <c r="G153" s="119">
        <v>1394.55</v>
      </c>
      <c r="H153" s="119">
        <v>1394.34</v>
      </c>
      <c r="I153" s="119">
        <v>1394.4</v>
      </c>
      <c r="J153" s="119">
        <v>1394.43</v>
      </c>
      <c r="K153" s="119">
        <v>1394.78</v>
      </c>
      <c r="L153" s="119">
        <v>1394.32</v>
      </c>
      <c r="M153" s="119">
        <v>1394.6</v>
      </c>
      <c r="N153" s="119">
        <v>1395.29</v>
      </c>
      <c r="O153" s="119">
        <v>0.92211699999999996</v>
      </c>
      <c r="P153" s="119">
        <v>2500.04</v>
      </c>
      <c r="Q153" s="119">
        <v>2500.5</v>
      </c>
      <c r="R153" s="119">
        <v>2499.94</v>
      </c>
      <c r="S153" s="119">
        <v>2500.11</v>
      </c>
      <c r="T153" s="119">
        <v>2499.7600000000002</v>
      </c>
      <c r="U153" s="119">
        <v>2498.08</v>
      </c>
      <c r="V153" s="119">
        <v>2500.65</v>
      </c>
      <c r="W153" s="119">
        <v>2500.2199999999998</v>
      </c>
      <c r="X153" s="119">
        <v>209.9</v>
      </c>
      <c r="Y153" s="119">
        <v>6.2873600000000002E-2</v>
      </c>
      <c r="Z153" s="119">
        <v>-6.5497600000000003E-2</v>
      </c>
      <c r="AA153" s="119">
        <v>-5.9233099999999997E-2</v>
      </c>
      <c r="AB153" s="119">
        <v>-1.86308E-3</v>
      </c>
      <c r="AC153" s="119">
        <v>-8.0219399999999996E-2</v>
      </c>
      <c r="AD153" s="119">
        <v>-3.9695300000000003E-2</v>
      </c>
      <c r="AE153" s="119">
        <v>-0.10791199999999999</v>
      </c>
      <c r="AF153" s="119">
        <v>-7.5400300000000003E-2</v>
      </c>
      <c r="AG153" s="119" t="s">
        <v>537</v>
      </c>
      <c r="AH153" s="119" t="s">
        <v>173</v>
      </c>
      <c r="AI153" s="119">
        <v>100</v>
      </c>
      <c r="AJ153" s="119">
        <v>35.497255000000003</v>
      </c>
      <c r="AK153" s="119">
        <v>6304526</v>
      </c>
      <c r="AL153" s="119">
        <v>1.6150000095367001</v>
      </c>
      <c r="AN153" s="123">
        <f t="shared" si="10"/>
        <v>46251</v>
      </c>
      <c r="AO153" s="124">
        <f t="shared" si="11"/>
        <v>2.2731481481481481E-2</v>
      </c>
      <c r="AQ153" s="125">
        <v>0</v>
      </c>
      <c r="AR153" s="125">
        <v>0</v>
      </c>
      <c r="AS153" s="125">
        <v>0</v>
      </c>
      <c r="AT153" s="125">
        <v>0</v>
      </c>
    </row>
    <row r="154" spans="1:46">
      <c r="A154" s="118" t="s">
        <v>538</v>
      </c>
      <c r="B154" s="119">
        <v>1</v>
      </c>
      <c r="C154" s="119">
        <v>210.1</v>
      </c>
      <c r="D154" s="119">
        <v>210.1</v>
      </c>
      <c r="E154" s="119">
        <v>25.040500000000002</v>
      </c>
      <c r="F154" s="119">
        <v>24.9986</v>
      </c>
      <c r="G154" s="119">
        <v>1411.45</v>
      </c>
      <c r="H154" s="119">
        <v>1411.81</v>
      </c>
      <c r="I154" s="119">
        <v>1411.41</v>
      </c>
      <c r="J154" s="119">
        <v>1410.37</v>
      </c>
      <c r="K154" s="119">
        <v>1411.71</v>
      </c>
      <c r="L154" s="119">
        <v>1411.57</v>
      </c>
      <c r="M154" s="119">
        <v>1411.84</v>
      </c>
      <c r="N154" s="119">
        <v>1412.24</v>
      </c>
      <c r="O154" s="119">
        <v>0.88861900000000005</v>
      </c>
      <c r="P154" s="119">
        <v>2499.9299999999998</v>
      </c>
      <c r="Q154" s="119">
        <v>2500.5300000000002</v>
      </c>
      <c r="R154" s="119">
        <v>2499.34</v>
      </c>
      <c r="S154" s="119">
        <v>2500.5700000000002</v>
      </c>
      <c r="T154" s="119">
        <v>2499.7800000000002</v>
      </c>
      <c r="U154" s="119">
        <v>2499.79</v>
      </c>
      <c r="V154" s="119">
        <v>2500.65</v>
      </c>
      <c r="W154" s="119">
        <v>2499.81</v>
      </c>
      <c r="X154" s="119">
        <v>210.3</v>
      </c>
      <c r="Y154" s="119">
        <v>6.3797099999999995E-2</v>
      </c>
      <c r="Z154" s="119">
        <v>-6.5280299999999999E-2</v>
      </c>
      <c r="AA154" s="119">
        <v>-6.15623E-2</v>
      </c>
      <c r="AB154" s="119">
        <v>3.5069000000000002E-4</v>
      </c>
      <c r="AC154" s="119">
        <v>-7.6391700000000007E-2</v>
      </c>
      <c r="AD154" s="119">
        <v>-3.7409600000000001E-2</v>
      </c>
      <c r="AE154" s="119">
        <v>-8.4808599999999998E-2</v>
      </c>
      <c r="AF154" s="119">
        <v>-7.0029800000000003E-2</v>
      </c>
      <c r="AG154" s="119" t="s">
        <v>539</v>
      </c>
      <c r="AH154" s="119" t="s">
        <v>173</v>
      </c>
      <c r="AI154" s="119">
        <v>100</v>
      </c>
      <c r="AJ154" s="119">
        <v>37.232011</v>
      </c>
      <c r="AK154" s="119">
        <v>6612629</v>
      </c>
      <c r="AL154" s="119">
        <v>1.6166666746139999</v>
      </c>
      <c r="AN154" s="123">
        <f t="shared" si="10"/>
        <v>46251</v>
      </c>
      <c r="AO154" s="124">
        <f t="shared" si="11"/>
        <v>3.2002314814814817E-2</v>
      </c>
      <c r="AQ154" s="125">
        <v>0</v>
      </c>
      <c r="AR154" s="125">
        <v>0</v>
      </c>
      <c r="AS154" s="125">
        <v>0</v>
      </c>
      <c r="AT154" s="125">
        <v>0</v>
      </c>
    </row>
    <row r="155" spans="1:46">
      <c r="A155" s="118" t="s">
        <v>540</v>
      </c>
      <c r="B155" s="119">
        <v>2</v>
      </c>
      <c r="C155" s="119">
        <v>209.8</v>
      </c>
      <c r="D155" s="119">
        <v>210.2</v>
      </c>
      <c r="E155" s="119">
        <v>25.010100000000001</v>
      </c>
      <c r="F155" s="119">
        <v>25.0318</v>
      </c>
      <c r="G155" s="119">
        <v>1425.78</v>
      </c>
      <c r="H155" s="119">
        <v>1425.79</v>
      </c>
      <c r="I155" s="119">
        <v>1425.56</v>
      </c>
      <c r="J155" s="119">
        <v>1425.26</v>
      </c>
      <c r="K155" s="119">
        <v>1425.62</v>
      </c>
      <c r="L155" s="119">
        <v>1425.41</v>
      </c>
      <c r="M155" s="119">
        <v>1425.83</v>
      </c>
      <c r="N155" s="119">
        <v>1426.37</v>
      </c>
      <c r="O155" s="119">
        <v>0.89963000000000004</v>
      </c>
      <c r="P155" s="119">
        <v>2499.5100000000002</v>
      </c>
      <c r="Q155" s="119">
        <v>2499.85</v>
      </c>
      <c r="R155" s="119">
        <v>2499.9299999999998</v>
      </c>
      <c r="S155" s="119">
        <v>2500.1799999999998</v>
      </c>
      <c r="T155" s="119">
        <v>2499.83</v>
      </c>
      <c r="U155" s="119">
        <v>2499.62</v>
      </c>
      <c r="V155" s="119">
        <v>2500.6999999999998</v>
      </c>
      <c r="W155" s="119">
        <v>2498.81</v>
      </c>
      <c r="X155" s="119">
        <v>210.3</v>
      </c>
      <c r="Y155" s="119">
        <v>6.3806399999999999E-2</v>
      </c>
      <c r="Z155" s="119">
        <v>-6.6377099999999994E-2</v>
      </c>
      <c r="AA155" s="119">
        <v>-5.7560399999999998E-2</v>
      </c>
      <c r="AB155" s="119">
        <v>-3.4233000000000002E-3</v>
      </c>
      <c r="AC155" s="119">
        <v>-7.6422900000000002E-2</v>
      </c>
      <c r="AD155" s="119">
        <v>-3.8141300000000003E-2</v>
      </c>
      <c r="AE155" s="119">
        <v>-7.0336800000000005E-2</v>
      </c>
      <c r="AF155" s="119">
        <v>-6.5912600000000002E-2</v>
      </c>
      <c r="AG155" s="119" t="s">
        <v>541</v>
      </c>
      <c r="AH155" s="119" t="s">
        <v>173</v>
      </c>
      <c r="AI155" s="119">
        <v>100</v>
      </c>
      <c r="AJ155" s="119">
        <v>35.233322999999999</v>
      </c>
      <c r="AK155" s="119">
        <v>6257650</v>
      </c>
      <c r="AL155" s="119">
        <v>1.6166666746139999</v>
      </c>
      <c r="AN155" s="123">
        <f t="shared" si="10"/>
        <v>46251</v>
      </c>
      <c r="AO155" s="124">
        <f t="shared" si="11"/>
        <v>4.1273148148148149E-2</v>
      </c>
      <c r="AQ155" s="125">
        <v>0</v>
      </c>
      <c r="AR155" s="125">
        <v>0</v>
      </c>
      <c r="AS155" s="125">
        <v>0</v>
      </c>
      <c r="AT155" s="125">
        <v>0</v>
      </c>
    </row>
    <row r="156" spans="1:46">
      <c r="A156" s="118" t="s">
        <v>542</v>
      </c>
      <c r="B156" s="119">
        <v>3</v>
      </c>
      <c r="C156" s="119">
        <v>210</v>
      </c>
      <c r="D156" s="119">
        <v>210</v>
      </c>
      <c r="E156" s="119">
        <v>24.988399999999999</v>
      </c>
      <c r="F156" s="119">
        <v>25.011600000000001</v>
      </c>
      <c r="G156" s="119">
        <v>1430.72</v>
      </c>
      <c r="H156" s="119">
        <v>1431.69</v>
      </c>
      <c r="I156" s="119">
        <v>1431.42</v>
      </c>
      <c r="J156" s="119">
        <v>1430.58</v>
      </c>
      <c r="K156" s="119">
        <v>1431.54</v>
      </c>
      <c r="L156" s="119">
        <v>1431.46</v>
      </c>
      <c r="M156" s="119">
        <v>1431.63</v>
      </c>
      <c r="N156" s="119">
        <v>1431.77</v>
      </c>
      <c r="O156" s="119">
        <v>0.92388000000000003</v>
      </c>
      <c r="P156" s="119">
        <v>2499.3200000000002</v>
      </c>
      <c r="Q156" s="119">
        <v>2499.4499999999998</v>
      </c>
      <c r="R156" s="119">
        <v>2499.4699999999998</v>
      </c>
      <c r="S156" s="119">
        <v>2499.86</v>
      </c>
      <c r="T156" s="119">
        <v>2499.96</v>
      </c>
      <c r="U156" s="119">
        <v>2499.5100000000002</v>
      </c>
      <c r="V156" s="119">
        <v>2500.0500000000002</v>
      </c>
      <c r="W156" s="119">
        <v>2499.73</v>
      </c>
      <c r="X156" s="119">
        <v>209.7</v>
      </c>
      <c r="Y156" s="119">
        <v>6.2951499999999994E-2</v>
      </c>
      <c r="Z156" s="119">
        <v>-6.2978000000000006E-2</v>
      </c>
      <c r="AA156" s="119">
        <v>-5.6867800000000003E-2</v>
      </c>
      <c r="AB156" s="119">
        <v>-3.4162299999999999E-4</v>
      </c>
      <c r="AC156" s="119">
        <v>-7.9068100000000002E-2</v>
      </c>
      <c r="AD156" s="119">
        <v>-3.8764399999999997E-2</v>
      </c>
      <c r="AE156" s="119">
        <v>-8.3627000000000007E-2</v>
      </c>
      <c r="AF156" s="119">
        <v>-7.2030999999999998E-2</v>
      </c>
      <c r="AG156" s="119" t="s">
        <v>543</v>
      </c>
      <c r="AH156" s="119" t="s">
        <v>173</v>
      </c>
      <c r="AI156" s="119">
        <v>100</v>
      </c>
      <c r="AJ156" s="119">
        <v>35.219714000000003</v>
      </c>
      <c r="AK156" s="119">
        <v>6255233</v>
      </c>
      <c r="AL156" s="119">
        <v>1.6166666746139999</v>
      </c>
      <c r="AN156" s="123">
        <f t="shared" si="10"/>
        <v>46251</v>
      </c>
      <c r="AO156" s="124">
        <f t="shared" si="11"/>
        <v>5.0543981481481481E-2</v>
      </c>
      <c r="AQ156" s="125">
        <v>0</v>
      </c>
      <c r="AR156" s="125">
        <v>0</v>
      </c>
      <c r="AS156" s="125">
        <v>0</v>
      </c>
      <c r="AT156" s="125">
        <v>0</v>
      </c>
    </row>
    <row r="157" spans="1:46">
      <c r="A157" s="118" t="s">
        <v>544</v>
      </c>
      <c r="B157" s="119">
        <v>4</v>
      </c>
      <c r="C157" s="119">
        <v>210</v>
      </c>
      <c r="D157" s="119">
        <v>209.9</v>
      </c>
      <c r="E157" s="119">
        <v>24.976900000000001</v>
      </c>
      <c r="F157" s="119">
        <v>25.021699999999999</v>
      </c>
      <c r="G157" s="119">
        <v>1406.09</v>
      </c>
      <c r="H157" s="119">
        <v>1406.11</v>
      </c>
      <c r="I157" s="119">
        <v>1405.34</v>
      </c>
      <c r="J157" s="119">
        <v>1405.69</v>
      </c>
      <c r="K157" s="119">
        <v>1406.21</v>
      </c>
      <c r="L157" s="119">
        <v>1406.25</v>
      </c>
      <c r="M157" s="119">
        <v>1405.81</v>
      </c>
      <c r="N157" s="119">
        <v>1405.64</v>
      </c>
      <c r="O157" s="119">
        <v>0.94096100000000005</v>
      </c>
      <c r="P157" s="119">
        <v>2499.33</v>
      </c>
      <c r="Q157" s="119">
        <v>2500.08</v>
      </c>
      <c r="R157" s="119">
        <v>2499.48</v>
      </c>
      <c r="S157" s="119">
        <v>2499.9</v>
      </c>
      <c r="T157" s="119">
        <v>2500.02</v>
      </c>
      <c r="U157" s="119">
        <v>2500.2600000000002</v>
      </c>
      <c r="V157" s="119">
        <v>2500.25</v>
      </c>
      <c r="W157" s="119">
        <v>2499.15</v>
      </c>
      <c r="X157" s="119">
        <v>209.9</v>
      </c>
      <c r="Y157" s="119">
        <v>6.6182599999999994E-2</v>
      </c>
      <c r="Z157" s="119">
        <v>-6.0423200000000003E-2</v>
      </c>
      <c r="AA157" s="119">
        <v>-5.5643499999999999E-2</v>
      </c>
      <c r="AB157" s="119">
        <v>-1.3510900000000001E-3</v>
      </c>
      <c r="AC157" s="119">
        <v>-7.6439099999999996E-2</v>
      </c>
      <c r="AD157" s="119">
        <v>-3.6769400000000001E-2</v>
      </c>
      <c r="AE157" s="119">
        <v>-7.0639400000000005E-2</v>
      </c>
      <c r="AF157" s="119">
        <v>-6.7890400000000004E-2</v>
      </c>
      <c r="AG157" s="119" t="s">
        <v>545</v>
      </c>
      <c r="AH157" s="119" t="s">
        <v>173</v>
      </c>
      <c r="AI157" s="119">
        <v>100</v>
      </c>
      <c r="AJ157" s="119">
        <v>36.492767999999998</v>
      </c>
      <c r="AK157" s="119">
        <v>6481335</v>
      </c>
      <c r="AL157" s="119">
        <v>1.6150000095367001</v>
      </c>
      <c r="AN157" s="123">
        <f t="shared" si="10"/>
        <v>46251</v>
      </c>
      <c r="AO157" s="124">
        <f t="shared" si="11"/>
        <v>5.9837962962962961E-2</v>
      </c>
      <c r="AQ157" s="125">
        <v>0</v>
      </c>
      <c r="AR157" s="125">
        <v>0</v>
      </c>
      <c r="AS157" s="125">
        <v>0</v>
      </c>
      <c r="AT157" s="125">
        <v>0</v>
      </c>
    </row>
    <row r="158" spans="1:46">
      <c r="A158" s="118" t="s">
        <v>546</v>
      </c>
      <c r="B158" s="119">
        <v>5</v>
      </c>
      <c r="C158" s="119">
        <v>210</v>
      </c>
      <c r="D158" s="119">
        <v>210</v>
      </c>
      <c r="E158" s="119">
        <v>24.989899999999999</v>
      </c>
      <c r="F158" s="119">
        <v>25.039100000000001</v>
      </c>
      <c r="G158" s="119">
        <v>1440.53</v>
      </c>
      <c r="H158" s="119">
        <v>1441.39</v>
      </c>
      <c r="I158" s="119">
        <v>1441.06</v>
      </c>
      <c r="J158" s="119">
        <v>1440.15</v>
      </c>
      <c r="K158" s="119">
        <v>1441.38</v>
      </c>
      <c r="L158" s="119">
        <v>1441.17</v>
      </c>
      <c r="M158" s="119">
        <v>1440.65</v>
      </c>
      <c r="N158" s="119">
        <v>1441.03</v>
      </c>
      <c r="O158" s="119">
        <v>0.92156700000000003</v>
      </c>
      <c r="P158" s="119">
        <v>2499.17</v>
      </c>
      <c r="Q158" s="119">
        <v>2499.87</v>
      </c>
      <c r="R158" s="119">
        <v>2499.87</v>
      </c>
      <c r="S158" s="119">
        <v>2499.87</v>
      </c>
      <c r="T158" s="119">
        <v>2500.12</v>
      </c>
      <c r="U158" s="119">
        <v>2499.61</v>
      </c>
      <c r="V158" s="119">
        <v>2500.14</v>
      </c>
      <c r="W158" s="119">
        <v>2501.71</v>
      </c>
      <c r="X158" s="119">
        <v>210.1</v>
      </c>
      <c r="Y158" s="119">
        <v>6.3206100000000001E-2</v>
      </c>
      <c r="Z158" s="119">
        <v>-6.7357600000000004E-2</v>
      </c>
      <c r="AA158" s="119">
        <v>-5.9677800000000003E-2</v>
      </c>
      <c r="AB158" s="119">
        <v>9.4127000000000002E-4</v>
      </c>
      <c r="AC158" s="119">
        <v>-7.8077499999999994E-2</v>
      </c>
      <c r="AD158" s="119">
        <v>-3.67414E-2</v>
      </c>
      <c r="AE158" s="119">
        <v>-6.6948199999999999E-2</v>
      </c>
      <c r="AF158" s="119">
        <v>-6.9582500000000005E-2</v>
      </c>
      <c r="AG158" s="119" t="s">
        <v>547</v>
      </c>
      <c r="AH158" s="119" t="s">
        <v>173</v>
      </c>
      <c r="AI158" s="119">
        <v>100</v>
      </c>
      <c r="AJ158" s="119">
        <v>36.421531999999999</v>
      </c>
      <c r="AK158" s="119">
        <v>6468683</v>
      </c>
      <c r="AL158" s="119">
        <v>1.6150000095367001</v>
      </c>
      <c r="AN158" s="123">
        <f t="shared" si="10"/>
        <v>46251</v>
      </c>
      <c r="AO158" s="124">
        <f t="shared" si="11"/>
        <v>6.9108796296296293E-2</v>
      </c>
      <c r="AQ158" s="125">
        <v>0</v>
      </c>
      <c r="AR158" s="125">
        <v>0</v>
      </c>
      <c r="AS158" s="125">
        <v>0</v>
      </c>
      <c r="AT158" s="125">
        <v>0</v>
      </c>
    </row>
    <row r="159" spans="1:46">
      <c r="A159" s="118" t="s">
        <v>548</v>
      </c>
      <c r="B159" s="119">
        <v>6</v>
      </c>
      <c r="C159" s="119">
        <v>209.9</v>
      </c>
      <c r="D159" s="119">
        <v>210</v>
      </c>
      <c r="E159" s="119">
        <v>25.020299999999999</v>
      </c>
      <c r="F159" s="119">
        <v>25.011600000000001</v>
      </c>
      <c r="G159" s="119">
        <v>1453.31</v>
      </c>
      <c r="H159" s="119">
        <v>1453.76</v>
      </c>
      <c r="I159" s="119">
        <v>1453.07</v>
      </c>
      <c r="J159" s="119">
        <v>1454.52</v>
      </c>
      <c r="K159" s="119">
        <v>1453.17</v>
      </c>
      <c r="L159" s="119">
        <v>1453.3</v>
      </c>
      <c r="M159" s="119">
        <v>1453.43</v>
      </c>
      <c r="N159" s="119">
        <v>1453.07</v>
      </c>
      <c r="O159" s="119">
        <v>0.92515700000000001</v>
      </c>
      <c r="P159" s="119">
        <v>2500.92</v>
      </c>
      <c r="Q159" s="119">
        <v>2500.25</v>
      </c>
      <c r="R159" s="119">
        <v>2500.2199999999998</v>
      </c>
      <c r="S159" s="119">
        <v>2499.9499999999998</v>
      </c>
      <c r="T159" s="119">
        <v>2499.87</v>
      </c>
      <c r="U159" s="119">
        <v>2500.0100000000002</v>
      </c>
      <c r="V159" s="119">
        <v>2499.79</v>
      </c>
      <c r="W159" s="119">
        <v>2499.0700000000002</v>
      </c>
      <c r="X159" s="119">
        <v>210.1</v>
      </c>
      <c r="Y159" s="119">
        <v>6.4915E-2</v>
      </c>
      <c r="Z159" s="119">
        <v>-6.2578599999999998E-2</v>
      </c>
      <c r="AA159" s="119">
        <v>-5.7856499999999998E-2</v>
      </c>
      <c r="AB159" s="119">
        <v>2.07895E-3</v>
      </c>
      <c r="AC159" s="119">
        <v>-7.5552999999999995E-2</v>
      </c>
      <c r="AD159" s="119">
        <v>-3.4167299999999998E-2</v>
      </c>
      <c r="AE159" s="119">
        <v>-6.2257600000000003E-2</v>
      </c>
      <c r="AF159" s="119">
        <v>-6.5849900000000003E-2</v>
      </c>
      <c r="AG159" s="119" t="s">
        <v>549</v>
      </c>
      <c r="AH159" s="119" t="s">
        <v>173</v>
      </c>
      <c r="AI159" s="119">
        <v>100</v>
      </c>
      <c r="AJ159" s="119">
        <v>35.552489999999999</v>
      </c>
      <c r="AK159" s="119">
        <v>6314336</v>
      </c>
      <c r="AL159" s="119">
        <v>1.6166666746139999</v>
      </c>
      <c r="AN159" s="123">
        <f t="shared" si="10"/>
        <v>46251</v>
      </c>
      <c r="AO159" s="124">
        <f t="shared" si="11"/>
        <v>7.8391203703703699E-2</v>
      </c>
      <c r="AQ159" s="125">
        <v>0</v>
      </c>
      <c r="AR159" s="125">
        <v>0</v>
      </c>
      <c r="AS159" s="125">
        <v>0</v>
      </c>
      <c r="AT159" s="125">
        <v>0</v>
      </c>
    </row>
    <row r="160" spans="1:46">
      <c r="A160" s="118" t="s">
        <v>550</v>
      </c>
      <c r="B160" s="119">
        <v>7</v>
      </c>
      <c r="C160" s="119">
        <v>210</v>
      </c>
      <c r="D160" s="119">
        <v>210</v>
      </c>
      <c r="E160" s="119">
        <v>25.104199999999999</v>
      </c>
      <c r="F160" s="119">
        <v>25.020299999999999</v>
      </c>
      <c r="G160" s="119">
        <v>1424.23</v>
      </c>
      <c r="H160" s="119">
        <v>1425.88</v>
      </c>
      <c r="I160" s="119">
        <v>1425.58</v>
      </c>
      <c r="J160" s="119">
        <v>1425.79</v>
      </c>
      <c r="K160" s="119">
        <v>1425.9</v>
      </c>
      <c r="L160" s="119">
        <v>1425.84</v>
      </c>
      <c r="M160" s="119">
        <v>1425.61</v>
      </c>
      <c r="N160" s="119">
        <v>1425.88</v>
      </c>
      <c r="O160" s="119">
        <v>0.93578600000000001</v>
      </c>
      <c r="P160" s="119">
        <v>2500.4699999999998</v>
      </c>
      <c r="Q160" s="119">
        <v>2499.92</v>
      </c>
      <c r="R160" s="119">
        <v>2500.56</v>
      </c>
      <c r="S160" s="119">
        <v>2500.2600000000002</v>
      </c>
      <c r="T160" s="119">
        <v>2499.91</v>
      </c>
      <c r="U160" s="119">
        <v>2499.98</v>
      </c>
      <c r="V160" s="119">
        <v>2499.62</v>
      </c>
      <c r="W160" s="119">
        <v>2500.34</v>
      </c>
      <c r="X160" s="119">
        <v>209.7</v>
      </c>
      <c r="Y160" s="119">
        <v>6.5055799999999997E-2</v>
      </c>
      <c r="Z160" s="119">
        <v>-6.6514699999999996E-2</v>
      </c>
      <c r="AA160" s="119">
        <v>-5.9691500000000002E-2</v>
      </c>
      <c r="AB160" s="119">
        <v>1.38694E-4</v>
      </c>
      <c r="AC160" s="119">
        <v>-7.9499899999999998E-2</v>
      </c>
      <c r="AD160" s="119">
        <v>-3.3835200000000003E-2</v>
      </c>
      <c r="AE160" s="119">
        <v>-6.8413699999999994E-2</v>
      </c>
      <c r="AF160" s="119">
        <v>-6.8929900000000002E-2</v>
      </c>
      <c r="AG160" s="119" t="s">
        <v>551</v>
      </c>
      <c r="AH160" s="119" t="s">
        <v>173</v>
      </c>
      <c r="AI160" s="119">
        <v>100</v>
      </c>
      <c r="AJ160" s="119">
        <v>36.240130000000001</v>
      </c>
      <c r="AK160" s="119">
        <v>6436465</v>
      </c>
      <c r="AL160" s="119">
        <v>1.6166666746139999</v>
      </c>
      <c r="AN160" s="123">
        <f t="shared" si="10"/>
        <v>46251</v>
      </c>
      <c r="AO160" s="124">
        <f t="shared" si="11"/>
        <v>8.7662037037037038E-2</v>
      </c>
      <c r="AQ160" s="125">
        <v>0</v>
      </c>
      <c r="AR160" s="125">
        <v>0</v>
      </c>
      <c r="AS160" s="125">
        <v>0</v>
      </c>
      <c r="AT160" s="125">
        <v>0</v>
      </c>
    </row>
    <row r="161" spans="1:46">
      <c r="A161" s="118" t="s">
        <v>552</v>
      </c>
      <c r="B161" s="119">
        <v>8</v>
      </c>
      <c r="C161" s="119">
        <v>210</v>
      </c>
      <c r="D161" s="119">
        <v>210</v>
      </c>
      <c r="E161" s="119">
        <v>25.118600000000001</v>
      </c>
      <c r="F161" s="119">
        <v>25.020299999999999</v>
      </c>
      <c r="G161" s="119">
        <v>1440.04</v>
      </c>
      <c r="H161" s="119">
        <v>1440.14</v>
      </c>
      <c r="I161" s="119">
        <v>1439.78</v>
      </c>
      <c r="J161" s="119">
        <v>1439.48</v>
      </c>
      <c r="K161" s="119">
        <v>1440</v>
      </c>
      <c r="L161" s="119">
        <v>1439.87</v>
      </c>
      <c r="M161" s="119">
        <v>1439.85</v>
      </c>
      <c r="N161" s="119">
        <v>1439.5</v>
      </c>
      <c r="O161" s="119">
        <v>0.91009700000000004</v>
      </c>
      <c r="P161" s="119">
        <v>2501.35</v>
      </c>
      <c r="Q161" s="119">
        <v>2500.21</v>
      </c>
      <c r="R161" s="119">
        <v>2500.1799999999998</v>
      </c>
      <c r="S161" s="119">
        <v>2499.44</v>
      </c>
      <c r="T161" s="119">
        <v>2500.27</v>
      </c>
      <c r="U161" s="119">
        <v>2500.4499999999998</v>
      </c>
      <c r="V161" s="119">
        <v>2499.91</v>
      </c>
      <c r="W161" s="119">
        <v>2500</v>
      </c>
      <c r="X161" s="119">
        <v>209.9</v>
      </c>
      <c r="Y161" s="119">
        <v>6.4093700000000003E-2</v>
      </c>
      <c r="Z161" s="119">
        <v>-6.3091800000000003E-2</v>
      </c>
      <c r="AA161" s="119">
        <v>-5.72907E-2</v>
      </c>
      <c r="AB161" s="119">
        <v>6.34378E-4</v>
      </c>
      <c r="AC161" s="119">
        <v>-7.9857600000000001E-2</v>
      </c>
      <c r="AD161" s="119">
        <v>-3.5855100000000001E-2</v>
      </c>
      <c r="AE161" s="119">
        <v>-8.1072199999999997E-2</v>
      </c>
      <c r="AF161" s="119">
        <v>-6.8217899999999998E-2</v>
      </c>
      <c r="AG161" s="119" t="s">
        <v>553</v>
      </c>
      <c r="AH161" s="119" t="s">
        <v>173</v>
      </c>
      <c r="AI161" s="119">
        <v>100</v>
      </c>
      <c r="AJ161" s="119">
        <v>35.610208</v>
      </c>
      <c r="AK161" s="119">
        <v>6324587</v>
      </c>
      <c r="AL161" s="119">
        <v>1.6166666746139999</v>
      </c>
      <c r="AN161" s="123">
        <f t="shared" si="10"/>
        <v>46251</v>
      </c>
      <c r="AO161" s="124">
        <f t="shared" si="11"/>
        <v>9.6909722222222217E-2</v>
      </c>
      <c r="AQ161" s="125">
        <v>0</v>
      </c>
      <c r="AR161" s="125">
        <v>0</v>
      </c>
      <c r="AS161" s="125">
        <v>0</v>
      </c>
      <c r="AT161" s="125">
        <v>0</v>
      </c>
    </row>
    <row r="162" spans="1:46">
      <c r="A162" s="118" t="s">
        <v>554</v>
      </c>
      <c r="B162" s="119">
        <v>1</v>
      </c>
      <c r="C162" s="119">
        <v>210.1</v>
      </c>
      <c r="D162" s="119">
        <v>210</v>
      </c>
      <c r="E162" s="119">
        <v>25.1447</v>
      </c>
      <c r="F162" s="119">
        <v>25.026</v>
      </c>
      <c r="G162" s="119">
        <v>1399.94</v>
      </c>
      <c r="H162" s="119">
        <v>1399.49</v>
      </c>
      <c r="I162" s="119">
        <v>1399.7</v>
      </c>
      <c r="J162" s="119">
        <v>1401.06</v>
      </c>
      <c r="K162" s="119">
        <v>1400.03</v>
      </c>
      <c r="L162" s="119">
        <v>1400.45</v>
      </c>
      <c r="M162" s="119">
        <v>1399.59</v>
      </c>
      <c r="N162" s="119">
        <v>1399.96</v>
      </c>
      <c r="O162" s="119">
        <v>0.96157700000000002</v>
      </c>
      <c r="P162" s="119">
        <v>2500.11</v>
      </c>
      <c r="Q162" s="119">
        <v>2499.89</v>
      </c>
      <c r="R162" s="119">
        <v>2500.0500000000002</v>
      </c>
      <c r="S162" s="119">
        <v>2499.77</v>
      </c>
      <c r="T162" s="119">
        <v>2500.25</v>
      </c>
      <c r="U162" s="119">
        <v>2498.92</v>
      </c>
      <c r="V162" s="119">
        <v>2499.38</v>
      </c>
      <c r="W162" s="119">
        <v>2500.0500000000002</v>
      </c>
      <c r="X162" s="119">
        <v>210.1</v>
      </c>
      <c r="Y162" s="119">
        <v>6.3684299999999999E-2</v>
      </c>
      <c r="Z162" s="119">
        <v>-6.4251900000000001E-2</v>
      </c>
      <c r="AA162" s="119">
        <v>-5.9752699999999999E-2</v>
      </c>
      <c r="AB162" s="119">
        <v>3.80281E-4</v>
      </c>
      <c r="AC162" s="119">
        <v>-8.0968799999999994E-2</v>
      </c>
      <c r="AD162" s="119">
        <v>-3.6792600000000002E-2</v>
      </c>
      <c r="AE162" s="119">
        <v>-9.03032E-2</v>
      </c>
      <c r="AF162" s="119">
        <v>-6.9386600000000007E-2</v>
      </c>
      <c r="AG162" s="119" t="s">
        <v>555</v>
      </c>
      <c r="AH162" s="119" t="s">
        <v>173</v>
      </c>
      <c r="AI162" s="119">
        <v>100</v>
      </c>
      <c r="AJ162" s="119">
        <v>36.922055</v>
      </c>
      <c r="AK162" s="119">
        <v>6557579</v>
      </c>
      <c r="AL162" s="119">
        <v>1.6150000095367001</v>
      </c>
      <c r="AN162" s="123">
        <f t="shared" si="10"/>
        <v>46251</v>
      </c>
      <c r="AO162" s="124">
        <f t="shared" si="11"/>
        <v>0.10619212962962964</v>
      </c>
      <c r="AQ162" s="125">
        <v>0</v>
      </c>
      <c r="AR162" s="125">
        <v>0</v>
      </c>
      <c r="AS162" s="125">
        <v>0</v>
      </c>
      <c r="AT162" s="125">
        <v>0</v>
      </c>
    </row>
    <row r="163" spans="1:46">
      <c r="A163" s="118" t="s">
        <v>556</v>
      </c>
      <c r="B163" s="119">
        <v>2</v>
      </c>
      <c r="C163" s="119">
        <v>210</v>
      </c>
      <c r="D163" s="119">
        <v>209.9</v>
      </c>
      <c r="E163" s="119">
        <v>25.161999999999999</v>
      </c>
      <c r="F163" s="119">
        <v>25.023099999999999</v>
      </c>
      <c r="G163" s="119">
        <v>1432.61</v>
      </c>
      <c r="H163" s="119">
        <v>1431.9</v>
      </c>
      <c r="I163" s="119">
        <v>1431.13</v>
      </c>
      <c r="J163" s="119">
        <v>1430.82</v>
      </c>
      <c r="K163" s="119">
        <v>1431.34</v>
      </c>
      <c r="L163" s="119">
        <v>1431.76</v>
      </c>
      <c r="M163" s="119">
        <v>1431.41</v>
      </c>
      <c r="N163" s="119">
        <v>1431.59</v>
      </c>
      <c r="O163" s="119">
        <v>0.83775500000000003</v>
      </c>
      <c r="P163" s="119">
        <v>2499.6999999999998</v>
      </c>
      <c r="Q163" s="119">
        <v>2500.44</v>
      </c>
      <c r="R163" s="119">
        <v>2499.5</v>
      </c>
      <c r="S163" s="119">
        <v>2500.4699999999998</v>
      </c>
      <c r="T163" s="119">
        <v>2499.88</v>
      </c>
      <c r="U163" s="119">
        <v>2499.58</v>
      </c>
      <c r="V163" s="119">
        <v>2499.4899999999998</v>
      </c>
      <c r="W163" s="119">
        <v>2499.0500000000002</v>
      </c>
      <c r="X163" s="119">
        <v>209.8</v>
      </c>
      <c r="Y163" s="119">
        <v>6.2045000000000003E-2</v>
      </c>
      <c r="Z163" s="119">
        <v>-6.0163899999999999E-2</v>
      </c>
      <c r="AA163" s="119">
        <v>-5.8602799999999997E-2</v>
      </c>
      <c r="AB163" s="119">
        <v>-2.1139000000000002E-3</v>
      </c>
      <c r="AC163" s="119">
        <v>-7.7453499999999995E-2</v>
      </c>
      <c r="AD163" s="119">
        <v>-3.9309499999999997E-2</v>
      </c>
      <c r="AE163" s="119">
        <v>-9.5890799999999998E-2</v>
      </c>
      <c r="AF163" s="119">
        <v>-7.3897699999999997E-2</v>
      </c>
      <c r="AG163" s="119" t="s">
        <v>557</v>
      </c>
      <c r="AH163" s="119" t="s">
        <v>173</v>
      </c>
      <c r="AI163" s="119">
        <v>100</v>
      </c>
      <c r="AJ163" s="119">
        <v>34.985684999999997</v>
      </c>
      <c r="AK163" s="119">
        <v>6213668</v>
      </c>
      <c r="AL163" s="119">
        <v>1.6166666746139999</v>
      </c>
      <c r="AN163" s="123">
        <f t="shared" si="10"/>
        <v>46251</v>
      </c>
      <c r="AO163" s="124">
        <f t="shared" si="11"/>
        <v>0.11546296296296296</v>
      </c>
      <c r="AQ163" s="125">
        <v>0</v>
      </c>
      <c r="AR163" s="125">
        <v>0</v>
      </c>
      <c r="AS163" s="125">
        <v>0</v>
      </c>
      <c r="AT163" s="125">
        <v>0</v>
      </c>
    </row>
    <row r="164" spans="1:46">
      <c r="A164" s="118" t="s">
        <v>558</v>
      </c>
      <c r="B164" s="119">
        <v>3</v>
      </c>
      <c r="C164" s="119">
        <v>210</v>
      </c>
      <c r="D164" s="119">
        <v>210</v>
      </c>
      <c r="E164" s="119">
        <v>25.156199999999998</v>
      </c>
      <c r="F164" s="119">
        <v>25.010100000000001</v>
      </c>
      <c r="G164" s="119">
        <v>1446.6</v>
      </c>
      <c r="H164" s="119">
        <v>1446.66</v>
      </c>
      <c r="I164" s="119">
        <v>1446.04</v>
      </c>
      <c r="J164" s="119">
        <v>1445.91</v>
      </c>
      <c r="K164" s="119">
        <v>1445.87</v>
      </c>
      <c r="L164" s="119">
        <v>1446.32</v>
      </c>
      <c r="M164" s="119">
        <v>1445.69</v>
      </c>
      <c r="N164" s="119">
        <v>1445.74</v>
      </c>
      <c r="O164" s="119">
        <v>0.93409600000000004</v>
      </c>
      <c r="P164" s="119">
        <v>2500.41</v>
      </c>
      <c r="Q164" s="119">
        <v>2499.2600000000002</v>
      </c>
      <c r="R164" s="119">
        <v>2500.38</v>
      </c>
      <c r="S164" s="119">
        <v>2500.08</v>
      </c>
      <c r="T164" s="119">
        <v>2499.83</v>
      </c>
      <c r="U164" s="119">
        <v>2499.86</v>
      </c>
      <c r="V164" s="119">
        <v>2500.09</v>
      </c>
      <c r="W164" s="119">
        <v>2500.1999999999998</v>
      </c>
      <c r="X164" s="119">
        <v>210</v>
      </c>
      <c r="Y164" s="119">
        <v>6.5770999999999996E-2</v>
      </c>
      <c r="Z164" s="119">
        <v>-6.2005400000000002E-2</v>
      </c>
      <c r="AA164" s="119">
        <v>-5.76172E-2</v>
      </c>
      <c r="AB164" s="119">
        <v>5.4383799999999996E-3</v>
      </c>
      <c r="AC164" s="119">
        <v>-7.5870000000000007E-2</v>
      </c>
      <c r="AD164" s="119">
        <v>-3.5941500000000001E-2</v>
      </c>
      <c r="AE164" s="119">
        <v>-8.4243299999999993E-2</v>
      </c>
      <c r="AF164" s="119">
        <v>-6.7933499999999994E-2</v>
      </c>
      <c r="AG164" s="119" t="s">
        <v>559</v>
      </c>
      <c r="AH164" s="119" t="s">
        <v>173</v>
      </c>
      <c r="AI164" s="119">
        <v>100</v>
      </c>
      <c r="AJ164" s="119">
        <v>35.255805000000002</v>
      </c>
      <c r="AK164" s="119">
        <v>6261643</v>
      </c>
      <c r="AL164" s="119">
        <v>1.6150000095367001</v>
      </c>
      <c r="AN164" s="123">
        <f t="shared" si="10"/>
        <v>46251</v>
      </c>
      <c r="AO164" s="124">
        <f t="shared" si="11"/>
        <v>0.1247337962962963</v>
      </c>
      <c r="AQ164" s="125">
        <v>0</v>
      </c>
      <c r="AR164" s="125">
        <v>0</v>
      </c>
      <c r="AS164" s="125">
        <v>0</v>
      </c>
      <c r="AT164" s="125">
        <v>0</v>
      </c>
    </row>
    <row r="165" spans="1:46">
      <c r="A165" s="118" t="s">
        <v>560</v>
      </c>
      <c r="B165" s="119">
        <v>4</v>
      </c>
      <c r="C165" s="119">
        <v>210</v>
      </c>
      <c r="D165" s="119">
        <v>210</v>
      </c>
      <c r="E165" s="119">
        <v>25.182300000000001</v>
      </c>
      <c r="F165" s="119">
        <v>25.050599999999999</v>
      </c>
      <c r="G165" s="119">
        <v>1430.26</v>
      </c>
      <c r="H165" s="119">
        <v>1430.14</v>
      </c>
      <c r="I165" s="119">
        <v>1431.14</v>
      </c>
      <c r="J165" s="119">
        <v>1431.34</v>
      </c>
      <c r="K165" s="119">
        <v>1430.84</v>
      </c>
      <c r="L165" s="119">
        <v>1429.44</v>
      </c>
      <c r="M165" s="119">
        <v>1430.54</v>
      </c>
      <c r="N165" s="119">
        <v>1429.76</v>
      </c>
      <c r="O165" s="119">
        <v>0.93090099999999998</v>
      </c>
      <c r="P165" s="119">
        <v>2499.7399999999998</v>
      </c>
      <c r="Q165" s="119">
        <v>2500.21</v>
      </c>
      <c r="R165" s="119">
        <v>2499.6</v>
      </c>
      <c r="S165" s="119">
        <v>2499.91</v>
      </c>
      <c r="T165" s="119">
        <v>2500.42</v>
      </c>
      <c r="U165" s="119">
        <v>2500.44</v>
      </c>
      <c r="V165" s="119">
        <v>2500.63</v>
      </c>
      <c r="W165" s="119">
        <v>2499.16</v>
      </c>
      <c r="X165" s="119">
        <v>209.9</v>
      </c>
      <c r="Y165" s="119">
        <v>6.3004699999999997E-2</v>
      </c>
      <c r="Z165" s="119">
        <v>-6.9044400000000006E-2</v>
      </c>
      <c r="AA165" s="119">
        <v>-5.8187799999999998E-2</v>
      </c>
      <c r="AB165" s="119">
        <v>-2.3421100000000001E-3</v>
      </c>
      <c r="AC165" s="119">
        <v>-7.4819499999999997E-2</v>
      </c>
      <c r="AD165" s="119">
        <v>-3.87278E-2</v>
      </c>
      <c r="AE165" s="119">
        <v>-9.0813400000000002E-2</v>
      </c>
      <c r="AF165" s="119">
        <v>-7.1012800000000001E-2</v>
      </c>
      <c r="AG165" s="119" t="s">
        <v>561</v>
      </c>
      <c r="AH165" s="119" t="s">
        <v>173</v>
      </c>
      <c r="AI165" s="119">
        <v>100</v>
      </c>
      <c r="AJ165" s="119">
        <v>36.273479000000002</v>
      </c>
      <c r="AK165" s="119">
        <v>6442388</v>
      </c>
      <c r="AL165" s="119">
        <v>1.6166666746139999</v>
      </c>
      <c r="AN165" s="123">
        <f t="shared" ref="AN165:AN201" si="12">DATEVALUE(SUBSTITUTE(LEFT(A165,10),".","/"))</f>
        <v>46251</v>
      </c>
      <c r="AO165" s="124">
        <f t="shared" ref="AO165:AO201" si="13">TIMEVALUE(RIGHT(A165,8))</f>
        <v>0.13400462962962964</v>
      </c>
      <c r="AQ165" s="125">
        <v>0</v>
      </c>
      <c r="AR165" s="125">
        <v>0</v>
      </c>
      <c r="AS165" s="125">
        <v>0</v>
      </c>
      <c r="AT165" s="125">
        <v>0</v>
      </c>
    </row>
    <row r="166" spans="1:46">
      <c r="A166" s="118" t="s">
        <v>562</v>
      </c>
      <c r="B166" s="119">
        <v>5</v>
      </c>
      <c r="C166" s="119">
        <v>209.9</v>
      </c>
      <c r="D166" s="119">
        <v>210</v>
      </c>
      <c r="E166" s="119">
        <v>25.205400000000001</v>
      </c>
      <c r="F166" s="119">
        <v>25.021699999999999</v>
      </c>
      <c r="G166" s="119">
        <v>1412.58</v>
      </c>
      <c r="H166" s="119">
        <v>1412.46</v>
      </c>
      <c r="I166" s="119">
        <v>1412.29</v>
      </c>
      <c r="J166" s="119">
        <v>1410.54</v>
      </c>
      <c r="K166" s="119">
        <v>1412.23</v>
      </c>
      <c r="L166" s="119">
        <v>1412.27</v>
      </c>
      <c r="M166" s="119">
        <v>1411.8</v>
      </c>
      <c r="N166" s="119">
        <v>1413.77</v>
      </c>
      <c r="O166" s="119">
        <v>0.91493500000000005</v>
      </c>
      <c r="P166" s="119">
        <v>2500.04</v>
      </c>
      <c r="Q166" s="119">
        <v>2499.7399999999998</v>
      </c>
      <c r="R166" s="119">
        <v>2499.04</v>
      </c>
      <c r="S166" s="119">
        <v>2500.06</v>
      </c>
      <c r="T166" s="119">
        <v>2499.9699999999998</v>
      </c>
      <c r="U166" s="119">
        <v>2499.6</v>
      </c>
      <c r="V166" s="119">
        <v>2500.17</v>
      </c>
      <c r="W166" s="119">
        <v>2500.1</v>
      </c>
      <c r="X166" s="119">
        <v>210</v>
      </c>
      <c r="Y166" s="119">
        <v>6.3769400000000004E-2</v>
      </c>
      <c r="Z166" s="119">
        <v>-6.7281300000000002E-2</v>
      </c>
      <c r="AA166" s="119">
        <v>-5.9404899999999997E-2</v>
      </c>
      <c r="AB166" s="119">
        <v>6.7679999999999997E-3</v>
      </c>
      <c r="AC166" s="119">
        <v>-7.7937099999999995E-2</v>
      </c>
      <c r="AD166" s="119">
        <v>-3.8822799999999998E-2</v>
      </c>
      <c r="AE166" s="119">
        <v>-0.14771500000000001</v>
      </c>
      <c r="AF166" s="119">
        <v>-7.6316200000000001E-2</v>
      </c>
      <c r="AG166" s="119" t="s">
        <v>563</v>
      </c>
      <c r="AH166" s="119" t="s">
        <v>173</v>
      </c>
      <c r="AI166" s="119">
        <v>100</v>
      </c>
      <c r="AJ166" s="119">
        <v>36.344028999999999</v>
      </c>
      <c r="AK166" s="119">
        <v>6454918</v>
      </c>
      <c r="AL166" s="119">
        <v>1.6166666746139999</v>
      </c>
      <c r="AN166" s="123">
        <f t="shared" si="12"/>
        <v>46251</v>
      </c>
      <c r="AO166" s="124">
        <f t="shared" si="13"/>
        <v>0.14327546296296295</v>
      </c>
      <c r="AQ166" s="125">
        <v>0</v>
      </c>
      <c r="AR166" s="125">
        <v>0</v>
      </c>
      <c r="AS166" s="125">
        <v>0</v>
      </c>
      <c r="AT166" s="125">
        <v>0</v>
      </c>
    </row>
    <row r="167" spans="1:46">
      <c r="A167" s="118" t="s">
        <v>564</v>
      </c>
      <c r="B167" s="119">
        <v>6</v>
      </c>
      <c r="C167" s="119">
        <v>210</v>
      </c>
      <c r="D167" s="119">
        <v>210</v>
      </c>
      <c r="E167" s="119">
        <v>25.222799999999999</v>
      </c>
      <c r="F167" s="119">
        <v>25.042000000000002</v>
      </c>
      <c r="G167" s="119">
        <v>1407.92</v>
      </c>
      <c r="H167" s="119">
        <v>1407.13</v>
      </c>
      <c r="I167" s="119">
        <v>1407.81</v>
      </c>
      <c r="J167" s="119">
        <v>1406.64</v>
      </c>
      <c r="K167" s="119">
        <v>1407.37</v>
      </c>
      <c r="L167" s="119">
        <v>1407.27</v>
      </c>
      <c r="M167" s="119">
        <v>1407.89</v>
      </c>
      <c r="N167" s="119">
        <v>1407.75</v>
      </c>
      <c r="O167" s="119">
        <v>0.96633899999999995</v>
      </c>
      <c r="P167" s="119">
        <v>2499.36</v>
      </c>
      <c r="Q167" s="119">
        <v>2499.4499999999998</v>
      </c>
      <c r="R167" s="119">
        <v>2500.0100000000002</v>
      </c>
      <c r="S167" s="119">
        <v>2499.42</v>
      </c>
      <c r="T167" s="119">
        <v>2499.67</v>
      </c>
      <c r="U167" s="119">
        <v>2500.64</v>
      </c>
      <c r="V167" s="119">
        <v>2500.2800000000002</v>
      </c>
      <c r="W167" s="119">
        <v>2500.06</v>
      </c>
      <c r="X167" s="119">
        <v>209.9</v>
      </c>
      <c r="Y167" s="119">
        <v>6.6973699999999997E-2</v>
      </c>
      <c r="Z167" s="119">
        <v>-6.5039E-2</v>
      </c>
      <c r="AA167" s="119">
        <v>-5.8989800000000002E-2</v>
      </c>
      <c r="AB167" s="119">
        <v>1.1197900000000001E-3</v>
      </c>
      <c r="AC167" s="119">
        <v>-7.6288800000000004E-2</v>
      </c>
      <c r="AD167" s="119">
        <v>-3.74735E-2</v>
      </c>
      <c r="AE167" s="119">
        <v>-0.19281100000000001</v>
      </c>
      <c r="AF167" s="119">
        <v>-7.6511599999999999E-2</v>
      </c>
      <c r="AG167" s="119" t="s">
        <v>565</v>
      </c>
      <c r="AH167" s="119" t="s">
        <v>173</v>
      </c>
      <c r="AI167" s="119">
        <v>100</v>
      </c>
      <c r="AJ167" s="119">
        <v>35.532952000000002</v>
      </c>
      <c r="AK167" s="119">
        <v>6310866</v>
      </c>
      <c r="AL167" s="119">
        <v>1.6166666746139999</v>
      </c>
      <c r="AN167" s="123">
        <f t="shared" si="12"/>
        <v>46251</v>
      </c>
      <c r="AO167" s="124">
        <f t="shared" si="13"/>
        <v>0.15254629629629629</v>
      </c>
      <c r="AQ167" s="125">
        <v>0</v>
      </c>
      <c r="AR167" s="125">
        <v>0</v>
      </c>
      <c r="AS167" s="125">
        <v>0</v>
      </c>
      <c r="AT167" s="125">
        <v>0</v>
      </c>
    </row>
    <row r="168" spans="1:46">
      <c r="A168" s="118" t="s">
        <v>566</v>
      </c>
      <c r="B168" s="119">
        <v>7</v>
      </c>
      <c r="C168" s="119">
        <v>210</v>
      </c>
      <c r="D168" s="119">
        <v>210</v>
      </c>
      <c r="E168" s="119">
        <v>25.214099999999998</v>
      </c>
      <c r="F168" s="119">
        <v>25.033300000000001</v>
      </c>
      <c r="G168" s="119">
        <v>1428.86</v>
      </c>
      <c r="H168" s="119">
        <v>1428.71</v>
      </c>
      <c r="I168" s="119">
        <v>1428.45</v>
      </c>
      <c r="J168" s="119">
        <v>1427.74</v>
      </c>
      <c r="K168" s="119">
        <v>1428.41</v>
      </c>
      <c r="L168" s="119">
        <v>1428.05</v>
      </c>
      <c r="M168" s="119">
        <v>1428.15</v>
      </c>
      <c r="N168" s="119">
        <v>1429.86</v>
      </c>
      <c r="O168" s="119">
        <v>0.88027699999999998</v>
      </c>
      <c r="P168" s="119">
        <v>2499.92</v>
      </c>
      <c r="Q168" s="119">
        <v>2499.2399999999998</v>
      </c>
      <c r="R168" s="119">
        <v>2500.35</v>
      </c>
      <c r="S168" s="119">
        <v>2500.14</v>
      </c>
      <c r="T168" s="119">
        <v>2499.7600000000002</v>
      </c>
      <c r="U168" s="119">
        <v>2500.16</v>
      </c>
      <c r="V168" s="119">
        <v>2499.77</v>
      </c>
      <c r="W168" s="119">
        <v>2500.46</v>
      </c>
      <c r="X168" s="119">
        <v>209.9</v>
      </c>
      <c r="Y168" s="119">
        <v>6.2634599999999999E-2</v>
      </c>
      <c r="Z168" s="119">
        <v>-6.2475200000000002E-2</v>
      </c>
      <c r="AA168" s="119">
        <v>-5.9553300000000003E-2</v>
      </c>
      <c r="AB168" s="119">
        <v>-1.5631499999999999E-3</v>
      </c>
      <c r="AC168" s="119">
        <v>-8.0624799999999996E-2</v>
      </c>
      <c r="AD168" s="119">
        <v>-4.0545200000000003E-2</v>
      </c>
      <c r="AE168" s="119">
        <v>-0.101453</v>
      </c>
      <c r="AF168" s="119">
        <v>-7.1601399999999996E-2</v>
      </c>
      <c r="AG168" s="119" t="s">
        <v>567</v>
      </c>
      <c r="AH168" s="119" t="s">
        <v>173</v>
      </c>
      <c r="AI168" s="119">
        <v>100</v>
      </c>
      <c r="AJ168" s="119">
        <v>36.196742</v>
      </c>
      <c r="AK168" s="119">
        <v>6428759</v>
      </c>
      <c r="AL168" s="119">
        <v>1.6150000095367001</v>
      </c>
      <c r="AN168" s="123">
        <f t="shared" si="12"/>
        <v>46251</v>
      </c>
      <c r="AO168" s="124">
        <f t="shared" si="13"/>
        <v>0.1618287037037037</v>
      </c>
      <c r="AQ168" s="125">
        <v>0</v>
      </c>
      <c r="AR168" s="125">
        <v>0</v>
      </c>
      <c r="AS168" s="125">
        <v>0</v>
      </c>
      <c r="AT168" s="125">
        <v>0</v>
      </c>
    </row>
    <row r="169" spans="1:46">
      <c r="A169" s="118" t="s">
        <v>568</v>
      </c>
      <c r="B169" s="119">
        <v>8</v>
      </c>
      <c r="C169" s="119">
        <v>210</v>
      </c>
      <c r="D169" s="119">
        <v>209.9</v>
      </c>
      <c r="E169" s="119">
        <v>25.2242</v>
      </c>
      <c r="F169" s="119">
        <v>24.995699999999999</v>
      </c>
      <c r="G169" s="119">
        <v>1423.62</v>
      </c>
      <c r="H169" s="119">
        <v>1422.39</v>
      </c>
      <c r="I169" s="119">
        <v>1422.93</v>
      </c>
      <c r="J169" s="119">
        <v>1423.35</v>
      </c>
      <c r="K169" s="119">
        <v>1423.49</v>
      </c>
      <c r="L169" s="119">
        <v>1423.48</v>
      </c>
      <c r="M169" s="119">
        <v>1423.26</v>
      </c>
      <c r="N169" s="119">
        <v>1423.12</v>
      </c>
      <c r="O169" s="119">
        <v>0.91785300000000003</v>
      </c>
      <c r="P169" s="119">
        <v>2500.4</v>
      </c>
      <c r="Q169" s="119">
        <v>2500.54</v>
      </c>
      <c r="R169" s="119">
        <v>2499.98</v>
      </c>
      <c r="S169" s="119">
        <v>2499.92</v>
      </c>
      <c r="T169" s="119">
        <v>2499.77</v>
      </c>
      <c r="U169" s="119">
        <v>2500.4899999999998</v>
      </c>
      <c r="V169" s="119">
        <v>2499.02</v>
      </c>
      <c r="W169" s="119">
        <v>2500.34</v>
      </c>
      <c r="X169" s="119">
        <v>210</v>
      </c>
      <c r="Y169" s="119">
        <v>6.4839800000000003E-2</v>
      </c>
      <c r="Z169" s="119">
        <v>-6.5559000000000006E-2</v>
      </c>
      <c r="AA169" s="119">
        <v>-5.8446199999999997E-2</v>
      </c>
      <c r="AB169" s="119">
        <v>3.3772799999999999E-3</v>
      </c>
      <c r="AC169" s="119">
        <v>-8.0210299999999998E-2</v>
      </c>
      <c r="AD169" s="119">
        <v>-3.6307899999999997E-2</v>
      </c>
      <c r="AE169" s="119">
        <v>-0.153726</v>
      </c>
      <c r="AF169" s="119">
        <v>-7.4432200000000004E-2</v>
      </c>
      <c r="AG169" s="119" t="s">
        <v>569</v>
      </c>
      <c r="AH169" s="119" t="s">
        <v>173</v>
      </c>
      <c r="AI169" s="119">
        <v>100</v>
      </c>
      <c r="AJ169" s="119">
        <v>35.692191999999999</v>
      </c>
      <c r="AK169" s="119">
        <v>6339148</v>
      </c>
      <c r="AL169" s="119">
        <v>1.6150000095367001</v>
      </c>
      <c r="AN169" s="123">
        <f t="shared" si="12"/>
        <v>46251</v>
      </c>
      <c r="AO169" s="124">
        <f t="shared" si="13"/>
        <v>0.1711111111111111</v>
      </c>
      <c r="AQ169" s="125">
        <v>0</v>
      </c>
      <c r="AR169" s="125">
        <v>0</v>
      </c>
      <c r="AS169" s="125">
        <v>0</v>
      </c>
      <c r="AT169" s="125">
        <v>0</v>
      </c>
    </row>
    <row r="170" spans="1:46">
      <c r="A170" s="118" t="s">
        <v>570</v>
      </c>
      <c r="B170" s="119">
        <v>1</v>
      </c>
      <c r="C170" s="119">
        <v>209.9</v>
      </c>
      <c r="D170" s="119">
        <v>210</v>
      </c>
      <c r="E170" s="119">
        <v>25.2271</v>
      </c>
      <c r="F170" s="119">
        <v>25.008700000000001</v>
      </c>
      <c r="G170" s="119">
        <v>1425.57</v>
      </c>
      <c r="H170" s="119">
        <v>1426.24</v>
      </c>
      <c r="I170" s="119">
        <v>1426.23</v>
      </c>
      <c r="J170" s="119">
        <v>1425.32</v>
      </c>
      <c r="K170" s="119">
        <v>1425.52</v>
      </c>
      <c r="L170" s="119">
        <v>1426.49</v>
      </c>
      <c r="M170" s="119">
        <v>1426.3</v>
      </c>
      <c r="N170" s="119">
        <v>1426.66</v>
      </c>
      <c r="O170" s="119">
        <v>0.95030400000000004</v>
      </c>
      <c r="P170" s="119">
        <v>2499.7600000000002</v>
      </c>
      <c r="Q170" s="119">
        <v>2500.37</v>
      </c>
      <c r="R170" s="119">
        <v>2499.56</v>
      </c>
      <c r="S170" s="119">
        <v>2500.0300000000002</v>
      </c>
      <c r="T170" s="119">
        <v>2500.3000000000002</v>
      </c>
      <c r="U170" s="119">
        <v>2499.9899999999998</v>
      </c>
      <c r="V170" s="119">
        <v>2499.56</v>
      </c>
      <c r="W170" s="119">
        <v>2499.42</v>
      </c>
      <c r="X170" s="119">
        <v>210.2</v>
      </c>
      <c r="Y170" s="119">
        <v>6.6779199999999997E-2</v>
      </c>
      <c r="Z170" s="119">
        <v>-6.14431E-2</v>
      </c>
      <c r="AA170" s="119">
        <v>-5.98787E-2</v>
      </c>
      <c r="AB170" s="119">
        <v>6.7258499999999996E-4</v>
      </c>
      <c r="AC170" s="119">
        <v>-7.6509499999999994E-2</v>
      </c>
      <c r="AD170" s="119">
        <v>-3.5017899999999998E-2</v>
      </c>
      <c r="AE170" s="119">
        <v>-0.11629</v>
      </c>
      <c r="AF170" s="119">
        <v>-7.3950500000000002E-2</v>
      </c>
      <c r="AG170" s="119" t="s">
        <v>571</v>
      </c>
      <c r="AH170" s="119" t="s">
        <v>173</v>
      </c>
      <c r="AI170" s="119">
        <v>100</v>
      </c>
      <c r="AJ170" s="119">
        <v>36.983978999999998</v>
      </c>
      <c r="AK170" s="119">
        <v>6568577</v>
      </c>
      <c r="AL170" s="119">
        <v>1.6166666746139999</v>
      </c>
      <c r="AN170" s="123">
        <f t="shared" si="12"/>
        <v>46251</v>
      </c>
      <c r="AO170" s="124">
        <f t="shared" si="13"/>
        <v>0.18038194444444444</v>
      </c>
      <c r="AQ170" s="125">
        <v>0</v>
      </c>
      <c r="AR170" s="125">
        <v>0</v>
      </c>
      <c r="AS170" s="125">
        <v>0</v>
      </c>
      <c r="AT170" s="125">
        <v>0</v>
      </c>
    </row>
    <row r="171" spans="1:46">
      <c r="A171" s="118" t="s">
        <v>572</v>
      </c>
      <c r="B171" s="119">
        <v>2</v>
      </c>
      <c r="C171" s="119">
        <v>210</v>
      </c>
      <c r="D171" s="119">
        <v>210</v>
      </c>
      <c r="E171" s="119">
        <v>25.216999999999999</v>
      </c>
      <c r="F171" s="119">
        <v>25.021699999999999</v>
      </c>
      <c r="G171" s="119">
        <v>1437.35</v>
      </c>
      <c r="H171" s="119">
        <v>1437.72</v>
      </c>
      <c r="I171" s="119">
        <v>1438.22</v>
      </c>
      <c r="J171" s="119">
        <v>1440.59</v>
      </c>
      <c r="K171" s="119">
        <v>1438.19</v>
      </c>
      <c r="L171" s="119">
        <v>1438.53</v>
      </c>
      <c r="M171" s="119">
        <v>1437.84</v>
      </c>
      <c r="N171" s="119">
        <v>1436.96</v>
      </c>
      <c r="O171" s="119">
        <v>0.93446799999999997</v>
      </c>
      <c r="P171" s="119">
        <v>2499.65</v>
      </c>
      <c r="Q171" s="119">
        <v>2499.75</v>
      </c>
      <c r="R171" s="119">
        <v>2499.39</v>
      </c>
      <c r="S171" s="119">
        <v>2499.35</v>
      </c>
      <c r="T171" s="119">
        <v>2500.19</v>
      </c>
      <c r="U171" s="119">
        <v>2499.77</v>
      </c>
      <c r="V171" s="119">
        <v>2500.4299999999998</v>
      </c>
      <c r="W171" s="119">
        <v>2498.94</v>
      </c>
      <c r="X171" s="119">
        <v>210.1</v>
      </c>
      <c r="Y171" s="119">
        <v>6.3239799999999999E-2</v>
      </c>
      <c r="Z171" s="119">
        <v>-6.2948599999999993E-2</v>
      </c>
      <c r="AA171" s="119">
        <v>-5.6506300000000002E-2</v>
      </c>
      <c r="AB171" s="119">
        <v>-2.1478000000000001E-3</v>
      </c>
      <c r="AC171" s="119">
        <v>-7.5890899999999997E-2</v>
      </c>
      <c r="AD171" s="119">
        <v>-3.8525900000000002E-2</v>
      </c>
      <c r="AE171" s="119">
        <v>-6.9714899999999996E-2</v>
      </c>
      <c r="AF171" s="119">
        <v>-6.68961E-2</v>
      </c>
      <c r="AG171" s="119" t="s">
        <v>573</v>
      </c>
      <c r="AH171" s="119" t="s">
        <v>173</v>
      </c>
      <c r="AI171" s="119">
        <v>100</v>
      </c>
      <c r="AJ171" s="119">
        <v>35.242460999999999</v>
      </c>
      <c r="AK171" s="119">
        <v>6259273</v>
      </c>
      <c r="AL171" s="119">
        <v>1.6150000095367001</v>
      </c>
      <c r="AN171" s="123">
        <f t="shared" si="12"/>
        <v>46251</v>
      </c>
      <c r="AO171" s="124">
        <f t="shared" si="13"/>
        <v>0.18964120370370371</v>
      </c>
      <c r="AQ171" s="125">
        <v>0</v>
      </c>
      <c r="AR171" s="125">
        <v>0</v>
      </c>
      <c r="AS171" s="125">
        <v>0</v>
      </c>
      <c r="AT171" s="125">
        <v>0</v>
      </c>
    </row>
    <row r="172" spans="1:46">
      <c r="A172" s="118" t="s">
        <v>574</v>
      </c>
      <c r="B172" s="119">
        <v>3</v>
      </c>
      <c r="C172" s="119">
        <v>210</v>
      </c>
      <c r="D172" s="119">
        <v>210</v>
      </c>
      <c r="E172" s="119">
        <v>25.240200000000002</v>
      </c>
      <c r="F172" s="119">
        <v>25.021699999999999</v>
      </c>
      <c r="G172" s="119">
        <v>1428.19</v>
      </c>
      <c r="H172" s="119">
        <v>1427.8</v>
      </c>
      <c r="I172" s="119">
        <v>1428.57</v>
      </c>
      <c r="J172" s="119">
        <v>1427.92</v>
      </c>
      <c r="K172" s="119">
        <v>1427.66</v>
      </c>
      <c r="L172" s="119">
        <v>1428.05</v>
      </c>
      <c r="M172" s="119">
        <v>1427.98</v>
      </c>
      <c r="N172" s="119">
        <v>1427.88</v>
      </c>
      <c r="O172" s="119">
        <v>0.98474799999999996</v>
      </c>
      <c r="P172" s="119">
        <v>2501.0300000000002</v>
      </c>
      <c r="Q172" s="119">
        <v>2500.41</v>
      </c>
      <c r="R172" s="119">
        <v>2500.87</v>
      </c>
      <c r="S172" s="119">
        <v>2500.02</v>
      </c>
      <c r="T172" s="119">
        <v>2499.92</v>
      </c>
      <c r="U172" s="119">
        <v>2500.06</v>
      </c>
      <c r="V172" s="119">
        <v>2499.52</v>
      </c>
      <c r="W172" s="119">
        <v>2500.31</v>
      </c>
      <c r="X172" s="119">
        <v>210.1</v>
      </c>
      <c r="Y172" s="119">
        <v>6.5300899999999995E-2</v>
      </c>
      <c r="Z172" s="119">
        <v>-6.9488599999999998E-2</v>
      </c>
      <c r="AA172" s="119">
        <v>-5.96357E-2</v>
      </c>
      <c r="AB172" s="119">
        <v>-3.52082E-3</v>
      </c>
      <c r="AC172" s="119">
        <v>-7.8123300000000007E-2</v>
      </c>
      <c r="AD172" s="119">
        <v>-3.7381400000000002E-2</v>
      </c>
      <c r="AE172" s="119">
        <v>-6.8056000000000005E-2</v>
      </c>
      <c r="AF172" s="119">
        <v>-6.5387399999999998E-2</v>
      </c>
      <c r="AG172" s="119" t="s">
        <v>575</v>
      </c>
      <c r="AH172" s="119" t="s">
        <v>173</v>
      </c>
      <c r="AI172" s="119">
        <v>100</v>
      </c>
      <c r="AJ172" s="119">
        <v>35.285612999999998</v>
      </c>
      <c r="AK172" s="119">
        <v>6266937</v>
      </c>
      <c r="AL172" s="119">
        <v>1.6150000095367001</v>
      </c>
      <c r="AN172" s="123">
        <f t="shared" si="12"/>
        <v>46251</v>
      </c>
      <c r="AO172" s="124">
        <f t="shared" si="13"/>
        <v>0.19892361111111112</v>
      </c>
      <c r="AQ172" s="125">
        <v>0</v>
      </c>
      <c r="AR172" s="125">
        <v>0</v>
      </c>
      <c r="AS172" s="125">
        <v>0</v>
      </c>
      <c r="AT172" s="125">
        <v>0</v>
      </c>
    </row>
    <row r="173" spans="1:46">
      <c r="A173" s="118" t="s">
        <v>576</v>
      </c>
      <c r="B173" s="119">
        <v>4</v>
      </c>
      <c r="C173" s="119">
        <v>210</v>
      </c>
      <c r="D173" s="119">
        <v>210</v>
      </c>
      <c r="E173" s="119">
        <v>25.222799999999999</v>
      </c>
      <c r="F173" s="119">
        <v>25.014500000000002</v>
      </c>
      <c r="G173" s="119">
        <v>1406.33</v>
      </c>
      <c r="H173" s="119">
        <v>1407.15</v>
      </c>
      <c r="I173" s="119">
        <v>1406.83</v>
      </c>
      <c r="J173" s="119">
        <v>1405.87</v>
      </c>
      <c r="K173" s="119">
        <v>1406.37</v>
      </c>
      <c r="L173" s="119">
        <v>1406.52</v>
      </c>
      <c r="M173" s="119">
        <v>1406.34</v>
      </c>
      <c r="N173" s="119">
        <v>1406.18</v>
      </c>
      <c r="O173" s="119">
        <v>0.90571699999999999</v>
      </c>
      <c r="P173" s="119">
        <v>2499.88</v>
      </c>
      <c r="Q173" s="119">
        <v>2499.9299999999998</v>
      </c>
      <c r="R173" s="119">
        <v>2499.89</v>
      </c>
      <c r="S173" s="119">
        <v>2499.65</v>
      </c>
      <c r="T173" s="119">
        <v>2500.33</v>
      </c>
      <c r="U173" s="119">
        <v>2499.85</v>
      </c>
      <c r="V173" s="119">
        <v>2499.56</v>
      </c>
      <c r="W173" s="119">
        <v>2498.89</v>
      </c>
      <c r="X173" s="119">
        <v>210</v>
      </c>
      <c r="Y173" s="119">
        <v>6.2752100000000005E-2</v>
      </c>
      <c r="Z173" s="119">
        <v>-6.0025000000000002E-2</v>
      </c>
      <c r="AA173" s="119">
        <v>-5.7122800000000001E-2</v>
      </c>
      <c r="AB173" s="119">
        <v>1.77662E-3</v>
      </c>
      <c r="AC173" s="119">
        <v>-7.4362200000000003E-2</v>
      </c>
      <c r="AD173" s="119">
        <v>-3.7911300000000002E-2</v>
      </c>
      <c r="AE173" s="119">
        <v>-5.56619E-2</v>
      </c>
      <c r="AF173" s="119">
        <v>-6.3319399999999998E-2</v>
      </c>
      <c r="AG173" s="119" t="s">
        <v>577</v>
      </c>
      <c r="AH173" s="119" t="s">
        <v>173</v>
      </c>
      <c r="AI173" s="119">
        <v>100</v>
      </c>
      <c r="AJ173" s="119">
        <v>36.461502000000003</v>
      </c>
      <c r="AK173" s="119">
        <v>6475782</v>
      </c>
      <c r="AL173" s="119">
        <v>1.6166666746139999</v>
      </c>
      <c r="AN173" s="123">
        <f t="shared" si="12"/>
        <v>46251</v>
      </c>
      <c r="AO173" s="124">
        <f t="shared" si="13"/>
        <v>0.20819444444444443</v>
      </c>
      <c r="AQ173" s="125">
        <v>0</v>
      </c>
      <c r="AR173" s="125">
        <v>0</v>
      </c>
      <c r="AS173" s="125">
        <v>0</v>
      </c>
      <c r="AT173" s="125">
        <v>0</v>
      </c>
    </row>
    <row r="174" spans="1:46">
      <c r="A174" s="118" t="s">
        <v>578</v>
      </c>
      <c r="B174" s="119">
        <v>5</v>
      </c>
      <c r="C174" s="119">
        <v>210</v>
      </c>
      <c r="D174" s="119">
        <v>210.1</v>
      </c>
      <c r="E174" s="119">
        <v>25.046299999999999</v>
      </c>
      <c r="F174" s="119">
        <v>25.011600000000001</v>
      </c>
      <c r="G174" s="119">
        <v>1417.82</v>
      </c>
      <c r="H174" s="119">
        <v>1416.74</v>
      </c>
      <c r="I174" s="119">
        <v>1417.5</v>
      </c>
      <c r="J174" s="119">
        <v>1415.8</v>
      </c>
      <c r="K174" s="119">
        <v>1416.9</v>
      </c>
      <c r="L174" s="119">
        <v>1416.96</v>
      </c>
      <c r="M174" s="119">
        <v>1417.32</v>
      </c>
      <c r="N174" s="119">
        <v>1417.43</v>
      </c>
      <c r="O174" s="119">
        <v>0.91025500000000004</v>
      </c>
      <c r="P174" s="119">
        <v>2500.16</v>
      </c>
      <c r="Q174" s="119">
        <v>2500.2199999999998</v>
      </c>
      <c r="R174" s="119">
        <v>2500.3200000000002</v>
      </c>
      <c r="S174" s="119">
        <v>2500.4499999999998</v>
      </c>
      <c r="T174" s="119">
        <v>2500.31</v>
      </c>
      <c r="U174" s="119">
        <v>2499.3200000000002</v>
      </c>
      <c r="V174" s="119">
        <v>2499.8200000000002</v>
      </c>
      <c r="W174" s="119">
        <v>2500.1799999999998</v>
      </c>
      <c r="X174" s="119">
        <v>209.9</v>
      </c>
      <c r="Y174" s="119">
        <v>6.4969899999999997E-2</v>
      </c>
      <c r="Z174" s="119">
        <v>-6.3136700000000004E-2</v>
      </c>
      <c r="AA174" s="119">
        <v>-5.4113500000000002E-2</v>
      </c>
      <c r="AB174" s="119">
        <v>-2.0084600000000001E-3</v>
      </c>
      <c r="AC174" s="119">
        <v>-7.8236700000000006E-2</v>
      </c>
      <c r="AD174" s="119">
        <v>-3.78229E-2</v>
      </c>
      <c r="AE174" s="119">
        <v>-6.3930399999999998E-2</v>
      </c>
      <c r="AF174" s="119">
        <v>-6.7586499999999994E-2</v>
      </c>
      <c r="AG174" s="119" t="s">
        <v>579</v>
      </c>
      <c r="AH174" s="119" t="s">
        <v>173</v>
      </c>
      <c r="AI174" s="119">
        <v>100</v>
      </c>
      <c r="AJ174" s="119">
        <v>36.374392999999998</v>
      </c>
      <c r="AK174" s="119">
        <v>6460311</v>
      </c>
      <c r="AL174" s="119">
        <v>1.6166666746139999</v>
      </c>
      <c r="AN174" s="123">
        <f t="shared" si="12"/>
        <v>46251</v>
      </c>
      <c r="AO174" s="124">
        <f t="shared" si="13"/>
        <v>0.21747685185185187</v>
      </c>
      <c r="AQ174" s="125">
        <v>0</v>
      </c>
      <c r="AR174" s="125">
        <v>0</v>
      </c>
      <c r="AS174" s="125">
        <v>0</v>
      </c>
      <c r="AT174" s="125">
        <v>0</v>
      </c>
    </row>
    <row r="175" spans="1:46">
      <c r="A175" s="118" t="s">
        <v>580</v>
      </c>
      <c r="B175" s="119">
        <v>6</v>
      </c>
      <c r="C175" s="119">
        <v>209.9</v>
      </c>
      <c r="D175" s="119">
        <v>210</v>
      </c>
      <c r="E175" s="119">
        <v>25.036200000000001</v>
      </c>
      <c r="F175" s="119">
        <v>25.011600000000001</v>
      </c>
      <c r="G175" s="119">
        <v>1440.81</v>
      </c>
      <c r="H175" s="119">
        <v>1441.25</v>
      </c>
      <c r="I175" s="119">
        <v>1441.15</v>
      </c>
      <c r="J175" s="119">
        <v>1440.57</v>
      </c>
      <c r="K175" s="119">
        <v>1441.36</v>
      </c>
      <c r="L175" s="119">
        <v>1441.88</v>
      </c>
      <c r="M175" s="119">
        <v>1440.87</v>
      </c>
      <c r="N175" s="119">
        <v>1440.9</v>
      </c>
      <c r="O175" s="119">
        <v>0.86239500000000002</v>
      </c>
      <c r="P175" s="119">
        <v>2500.0700000000002</v>
      </c>
      <c r="Q175" s="119">
        <v>2499.3200000000002</v>
      </c>
      <c r="R175" s="119">
        <v>2500</v>
      </c>
      <c r="S175" s="119">
        <v>2499.81</v>
      </c>
      <c r="T175" s="119">
        <v>2500.39</v>
      </c>
      <c r="U175" s="119">
        <v>2499.92</v>
      </c>
      <c r="V175" s="119">
        <v>2499.4</v>
      </c>
      <c r="W175" s="119">
        <v>2500.2199999999998</v>
      </c>
      <c r="X175" s="119">
        <v>210</v>
      </c>
      <c r="Y175" s="119">
        <v>6.7314600000000002E-2</v>
      </c>
      <c r="Z175" s="119">
        <v>-6.3055399999999998E-2</v>
      </c>
      <c r="AA175" s="119">
        <v>-5.6572699999999997E-2</v>
      </c>
      <c r="AB175" s="119">
        <v>3.4407699999999998E-4</v>
      </c>
      <c r="AC175" s="119">
        <v>-7.9831799999999994E-2</v>
      </c>
      <c r="AD175" s="119">
        <v>-3.9455700000000003E-2</v>
      </c>
      <c r="AE175" s="119">
        <v>-6.4022899999999994E-2</v>
      </c>
      <c r="AF175" s="119">
        <v>-6.8526599999999993E-2</v>
      </c>
      <c r="AG175" s="119" t="s">
        <v>581</v>
      </c>
      <c r="AH175" s="119" t="s">
        <v>173</v>
      </c>
      <c r="AI175" s="119">
        <v>100</v>
      </c>
      <c r="AJ175" s="119">
        <v>35.549534000000001</v>
      </c>
      <c r="AK175" s="119">
        <v>6313811</v>
      </c>
      <c r="AL175" s="119">
        <v>1.6150000095367001</v>
      </c>
      <c r="AN175" s="123">
        <f t="shared" si="12"/>
        <v>46251</v>
      </c>
      <c r="AO175" s="124">
        <f t="shared" si="13"/>
        <v>0.22674768518518518</v>
      </c>
      <c r="AQ175" s="125">
        <v>0</v>
      </c>
      <c r="AR175" s="125">
        <v>0</v>
      </c>
      <c r="AS175" s="125">
        <v>0</v>
      </c>
      <c r="AT175" s="125">
        <v>0</v>
      </c>
    </row>
    <row r="176" spans="1:46">
      <c r="A176" s="118" t="s">
        <v>582</v>
      </c>
      <c r="B176" s="119">
        <v>7</v>
      </c>
      <c r="C176" s="119">
        <v>210</v>
      </c>
      <c r="D176" s="119">
        <v>210</v>
      </c>
      <c r="E176" s="119">
        <v>25.0289</v>
      </c>
      <c r="F176" s="119">
        <v>25.017399999999999</v>
      </c>
      <c r="G176" s="119">
        <v>1420.12</v>
      </c>
      <c r="H176" s="119">
        <v>1420.81</v>
      </c>
      <c r="I176" s="119">
        <v>1420.68</v>
      </c>
      <c r="J176" s="119">
        <v>1422.88</v>
      </c>
      <c r="K176" s="119">
        <v>1420.15</v>
      </c>
      <c r="L176" s="119">
        <v>1421.03</v>
      </c>
      <c r="M176" s="119">
        <v>1420.64</v>
      </c>
      <c r="N176" s="119">
        <v>1420.56</v>
      </c>
      <c r="O176" s="119">
        <v>1.0295700000000001</v>
      </c>
      <c r="P176" s="119">
        <v>2500.09</v>
      </c>
      <c r="Q176" s="119">
        <v>2500.11</v>
      </c>
      <c r="R176" s="119">
        <v>2499.62</v>
      </c>
      <c r="S176" s="119">
        <v>2499.61</v>
      </c>
      <c r="T176" s="119">
        <v>2500.0500000000002</v>
      </c>
      <c r="U176" s="119">
        <v>2500.02</v>
      </c>
      <c r="V176" s="119">
        <v>2500.87</v>
      </c>
      <c r="W176" s="119">
        <v>2500.04</v>
      </c>
      <c r="X176" s="119">
        <v>210.1</v>
      </c>
      <c r="Y176" s="119">
        <v>6.6563800000000006E-2</v>
      </c>
      <c r="Z176" s="119">
        <v>-6.1210500000000001E-2</v>
      </c>
      <c r="AA176" s="119">
        <v>-5.6056700000000001E-2</v>
      </c>
      <c r="AB176" s="119">
        <v>-3.3017599999999999E-3</v>
      </c>
      <c r="AC176" s="119">
        <v>-7.8895199999999999E-2</v>
      </c>
      <c r="AD176" s="119">
        <v>-3.85046E-2</v>
      </c>
      <c r="AE176" s="119">
        <v>-7.6480199999999998E-2</v>
      </c>
      <c r="AF176" s="119">
        <v>-6.8987400000000004E-2</v>
      </c>
      <c r="AG176" s="119" t="s">
        <v>583</v>
      </c>
      <c r="AH176" s="119" t="s">
        <v>173</v>
      </c>
      <c r="AI176" s="119">
        <v>100</v>
      </c>
      <c r="AJ176" s="119">
        <v>36.227061999999997</v>
      </c>
      <c r="AK176" s="119">
        <v>6434144</v>
      </c>
      <c r="AL176" s="119">
        <v>1.6150000095367001</v>
      </c>
      <c r="AN176" s="123">
        <f t="shared" si="12"/>
        <v>46251</v>
      </c>
      <c r="AO176" s="124">
        <f t="shared" si="13"/>
        <v>0.23600694444444445</v>
      </c>
      <c r="AQ176" s="125">
        <v>0</v>
      </c>
      <c r="AR176" s="125">
        <v>0</v>
      </c>
      <c r="AS176" s="125">
        <v>0</v>
      </c>
      <c r="AT176" s="125">
        <v>0</v>
      </c>
    </row>
    <row r="177" spans="1:46">
      <c r="A177" s="118" t="s">
        <v>584</v>
      </c>
      <c r="B177" s="119">
        <v>8</v>
      </c>
      <c r="C177" s="119">
        <v>210</v>
      </c>
      <c r="D177" s="119">
        <v>210</v>
      </c>
      <c r="E177" s="119">
        <v>25.007200000000001</v>
      </c>
      <c r="F177" s="119">
        <v>25.004300000000001</v>
      </c>
      <c r="G177" s="119">
        <v>1436.75</v>
      </c>
      <c r="H177" s="119">
        <v>1437.5</v>
      </c>
      <c r="I177" s="119">
        <v>1436.77</v>
      </c>
      <c r="J177" s="119">
        <v>1438.82</v>
      </c>
      <c r="K177" s="119">
        <v>1437.61</v>
      </c>
      <c r="L177" s="119">
        <v>1436.88</v>
      </c>
      <c r="M177" s="119">
        <v>1436.69</v>
      </c>
      <c r="N177" s="119">
        <v>1436.62</v>
      </c>
      <c r="O177" s="119">
        <v>0.926512</v>
      </c>
      <c r="P177" s="119">
        <v>2499.5500000000002</v>
      </c>
      <c r="Q177" s="119">
        <v>2499.71</v>
      </c>
      <c r="R177" s="119">
        <v>2499.88</v>
      </c>
      <c r="S177" s="119">
        <v>2500.15</v>
      </c>
      <c r="T177" s="119">
        <v>2499.98</v>
      </c>
      <c r="U177" s="119">
        <v>2500.35</v>
      </c>
      <c r="V177" s="119">
        <v>2499.2600000000002</v>
      </c>
      <c r="W177" s="119">
        <v>2499.7199999999998</v>
      </c>
      <c r="X177" s="119">
        <v>210.1</v>
      </c>
      <c r="Y177" s="119">
        <v>6.3290200000000005E-2</v>
      </c>
      <c r="Z177" s="119">
        <v>-6.2372200000000003E-2</v>
      </c>
      <c r="AA177" s="119">
        <v>-6.0094399999999999E-2</v>
      </c>
      <c r="AB177" s="119">
        <v>2.1780100000000002E-3</v>
      </c>
      <c r="AC177" s="119">
        <v>-7.7096799999999993E-2</v>
      </c>
      <c r="AD177" s="119">
        <v>-3.9889800000000003E-2</v>
      </c>
      <c r="AE177" s="119">
        <v>-6.3699000000000006E-2</v>
      </c>
      <c r="AF177" s="119">
        <v>-6.9853499999999999E-2</v>
      </c>
      <c r="AG177" s="119" t="s">
        <v>585</v>
      </c>
      <c r="AH177" s="119" t="s">
        <v>173</v>
      </c>
      <c r="AI177" s="119">
        <v>100</v>
      </c>
      <c r="AJ177" s="119">
        <v>35.631529999999998</v>
      </c>
      <c r="AK177" s="119">
        <v>6328374</v>
      </c>
      <c r="AL177" s="119">
        <v>1.6150000095367001</v>
      </c>
      <c r="AN177" s="123">
        <f t="shared" si="12"/>
        <v>46251</v>
      </c>
      <c r="AO177" s="124">
        <f t="shared" si="13"/>
        <v>0.24528935185185186</v>
      </c>
      <c r="AQ177" s="125">
        <v>0</v>
      </c>
      <c r="AR177" s="125">
        <v>0</v>
      </c>
      <c r="AS177" s="125">
        <v>0</v>
      </c>
      <c r="AT177" s="125">
        <v>0</v>
      </c>
    </row>
    <row r="178" spans="1:46">
      <c r="A178" s="118" t="s">
        <v>586</v>
      </c>
      <c r="B178" s="119">
        <v>1</v>
      </c>
      <c r="C178" s="119">
        <v>210</v>
      </c>
      <c r="D178" s="119">
        <v>210</v>
      </c>
      <c r="E178" s="119">
        <v>25.040500000000002</v>
      </c>
      <c r="F178" s="119">
        <v>25.037600000000001</v>
      </c>
      <c r="G178" s="119">
        <v>1418.38</v>
      </c>
      <c r="H178" s="119">
        <v>1418.04</v>
      </c>
      <c r="I178" s="119">
        <v>1418.8</v>
      </c>
      <c r="J178" s="119">
        <v>1419.59</v>
      </c>
      <c r="K178" s="119">
        <v>1418.68</v>
      </c>
      <c r="L178" s="119">
        <v>1417.85</v>
      </c>
      <c r="M178" s="119">
        <v>1418.31</v>
      </c>
      <c r="N178" s="119">
        <v>1418.37</v>
      </c>
      <c r="O178" s="119">
        <v>0.96516000000000002</v>
      </c>
      <c r="P178" s="119">
        <v>2499.7399999999998</v>
      </c>
      <c r="Q178" s="119">
        <v>2498.96</v>
      </c>
      <c r="R178" s="119">
        <v>2499.61</v>
      </c>
      <c r="S178" s="119">
        <v>2499.3000000000002</v>
      </c>
      <c r="T178" s="119">
        <v>2499.94</v>
      </c>
      <c r="U178" s="119">
        <v>2501.1799999999998</v>
      </c>
      <c r="V178" s="119">
        <v>2500.48</v>
      </c>
      <c r="W178" s="119">
        <v>2500.2800000000002</v>
      </c>
      <c r="X178" s="119">
        <v>210</v>
      </c>
      <c r="Y178" s="119">
        <v>6.5785899999999994E-2</v>
      </c>
      <c r="Z178" s="119">
        <v>-6.7312700000000003E-2</v>
      </c>
      <c r="AA178" s="119">
        <v>-5.76027E-2</v>
      </c>
      <c r="AB178" s="119">
        <v>2.2955900000000001E-3</v>
      </c>
      <c r="AC178" s="119">
        <v>-8.0331299999999994E-2</v>
      </c>
      <c r="AD178" s="119">
        <v>-3.8625399999999997E-2</v>
      </c>
      <c r="AE178" s="119">
        <v>-8.2918599999999995E-2</v>
      </c>
      <c r="AF178" s="119">
        <v>-6.80534E-2</v>
      </c>
      <c r="AG178" s="119" t="s">
        <v>587</v>
      </c>
      <c r="AH178" s="119" t="s">
        <v>173</v>
      </c>
      <c r="AI178" s="119">
        <v>100</v>
      </c>
      <c r="AJ178" s="119">
        <v>37.035907999999999</v>
      </c>
      <c r="AK178" s="119">
        <v>6577800</v>
      </c>
      <c r="AL178" s="119">
        <v>1.6166666746139999</v>
      </c>
      <c r="AN178" s="123">
        <f t="shared" si="12"/>
        <v>46251</v>
      </c>
      <c r="AO178" s="124">
        <f t="shared" si="13"/>
        <v>0.25456018518518519</v>
      </c>
      <c r="AQ178" s="125">
        <v>0</v>
      </c>
      <c r="AR178" s="125">
        <v>0</v>
      </c>
      <c r="AS178" s="125">
        <v>0</v>
      </c>
      <c r="AT178" s="125">
        <v>0</v>
      </c>
    </row>
    <row r="179" spans="1:46">
      <c r="A179" s="118" t="s">
        <v>588</v>
      </c>
      <c r="B179" s="119">
        <v>2</v>
      </c>
      <c r="C179" s="119">
        <v>210</v>
      </c>
      <c r="D179" s="119">
        <v>210</v>
      </c>
      <c r="E179" s="119">
        <v>25.018799999999999</v>
      </c>
      <c r="F179" s="119">
        <v>25.021699999999999</v>
      </c>
      <c r="G179" s="119">
        <v>1412.76</v>
      </c>
      <c r="H179" s="119">
        <v>1412.73</v>
      </c>
      <c r="I179" s="119">
        <v>1412.93</v>
      </c>
      <c r="J179" s="119">
        <v>1413.47</v>
      </c>
      <c r="K179" s="119">
        <v>1412.49</v>
      </c>
      <c r="L179" s="119">
        <v>1413.31</v>
      </c>
      <c r="M179" s="119">
        <v>1413.12</v>
      </c>
      <c r="N179" s="119">
        <v>1413</v>
      </c>
      <c r="O179" s="119">
        <v>0.96800600000000003</v>
      </c>
      <c r="P179" s="119">
        <v>2499.89</v>
      </c>
      <c r="Q179" s="119">
        <v>2499.56</v>
      </c>
      <c r="R179" s="119">
        <v>2499.4699999999998</v>
      </c>
      <c r="S179" s="119">
        <v>2500.09</v>
      </c>
      <c r="T179" s="119">
        <v>2499.77</v>
      </c>
      <c r="U179" s="119">
        <v>2499.71</v>
      </c>
      <c r="V179" s="119">
        <v>2500.2600000000002</v>
      </c>
      <c r="W179" s="119">
        <v>2500.59</v>
      </c>
      <c r="X179" s="119">
        <v>210.2</v>
      </c>
      <c r="Y179" s="119">
        <v>6.0098199999999997E-2</v>
      </c>
      <c r="Z179" s="119">
        <v>-6.9030800000000003E-2</v>
      </c>
      <c r="AA179" s="119">
        <v>-6.0113699999999999E-2</v>
      </c>
      <c r="AB179" s="119">
        <v>-3.8828400000000002E-4</v>
      </c>
      <c r="AC179" s="119">
        <v>-7.8498899999999996E-2</v>
      </c>
      <c r="AD179" s="119">
        <v>-3.88919E-2</v>
      </c>
      <c r="AE179" s="119">
        <v>-6.9604899999999997E-2</v>
      </c>
      <c r="AF179" s="119">
        <v>-6.9185300000000005E-2</v>
      </c>
      <c r="AG179" s="119" t="s">
        <v>589</v>
      </c>
      <c r="AH179" s="119" t="s">
        <v>173</v>
      </c>
      <c r="AI179" s="119">
        <v>100</v>
      </c>
      <c r="AJ179" s="119">
        <v>35.211284999999997</v>
      </c>
      <c r="AK179" s="119">
        <v>6253736</v>
      </c>
      <c r="AL179" s="119">
        <v>1.6150000095367001</v>
      </c>
      <c r="AN179" s="123">
        <f t="shared" si="12"/>
        <v>46251</v>
      </c>
      <c r="AO179" s="124">
        <f t="shared" si="13"/>
        <v>0.26384259259259257</v>
      </c>
      <c r="AQ179" s="125">
        <v>0</v>
      </c>
      <c r="AR179" s="125">
        <v>0</v>
      </c>
      <c r="AS179" s="125">
        <v>0</v>
      </c>
      <c r="AT179" s="125">
        <v>0</v>
      </c>
    </row>
    <row r="180" spans="1:46">
      <c r="A180" s="118" t="s">
        <v>590</v>
      </c>
      <c r="B180" s="119">
        <v>3</v>
      </c>
      <c r="C180" s="119">
        <v>209.9</v>
      </c>
      <c r="D180" s="119">
        <v>210</v>
      </c>
      <c r="E180" s="119">
        <v>25.118600000000001</v>
      </c>
      <c r="F180" s="119">
        <v>25.020299999999999</v>
      </c>
      <c r="G180" s="119">
        <v>1401.81</v>
      </c>
      <c r="H180" s="119">
        <v>1401.77</v>
      </c>
      <c r="I180" s="119">
        <v>1402.66</v>
      </c>
      <c r="J180" s="119">
        <v>1403</v>
      </c>
      <c r="K180" s="119">
        <v>1401.46</v>
      </c>
      <c r="L180" s="119">
        <v>1402.22</v>
      </c>
      <c r="M180" s="119">
        <v>1401.2</v>
      </c>
      <c r="N180" s="119">
        <v>1400.46</v>
      </c>
      <c r="O180" s="119">
        <v>0.97628700000000002</v>
      </c>
      <c r="P180" s="119">
        <v>2500.3200000000002</v>
      </c>
      <c r="Q180" s="119">
        <v>2499.73</v>
      </c>
      <c r="R180" s="119">
        <v>2499.39</v>
      </c>
      <c r="S180" s="119">
        <v>2501.17</v>
      </c>
      <c r="T180" s="119">
        <v>2500.04</v>
      </c>
      <c r="U180" s="119">
        <v>2500.2199999999998</v>
      </c>
      <c r="V180" s="119">
        <v>2499.9699999999998</v>
      </c>
      <c r="W180" s="119">
        <v>2499.54</v>
      </c>
      <c r="X180" s="119">
        <v>209.9</v>
      </c>
      <c r="Y180" s="119">
        <v>6.3751699999999994E-2</v>
      </c>
      <c r="Z180" s="119">
        <v>-6.0671999999999997E-2</v>
      </c>
      <c r="AA180" s="119">
        <v>-5.5913400000000002E-2</v>
      </c>
      <c r="AB180" s="119">
        <v>-1.0315700000000001E-3</v>
      </c>
      <c r="AC180" s="119">
        <v>-7.8189599999999998E-2</v>
      </c>
      <c r="AD180" s="119">
        <v>-3.47132E-2</v>
      </c>
      <c r="AE180" s="119">
        <v>-6.7243200000000003E-2</v>
      </c>
      <c r="AF180" s="119">
        <v>-6.5614900000000004E-2</v>
      </c>
      <c r="AG180" s="119" t="s">
        <v>591</v>
      </c>
      <c r="AH180" s="119" t="s">
        <v>173</v>
      </c>
      <c r="AI180" s="119">
        <v>100</v>
      </c>
      <c r="AJ180" s="119">
        <v>35.075226000000001</v>
      </c>
      <c r="AK180" s="119">
        <v>6229571</v>
      </c>
      <c r="AL180" s="119">
        <v>1.6166666746139999</v>
      </c>
      <c r="AN180" s="123">
        <f t="shared" si="12"/>
        <v>46251</v>
      </c>
      <c r="AO180" s="124">
        <f t="shared" si="13"/>
        <v>0.27312500000000001</v>
      </c>
      <c r="AQ180" s="125">
        <v>0</v>
      </c>
      <c r="AR180" s="125">
        <v>0</v>
      </c>
      <c r="AS180" s="125">
        <v>0</v>
      </c>
      <c r="AT180" s="125">
        <v>0</v>
      </c>
    </row>
    <row r="181" spans="1:46">
      <c r="A181" s="118" t="s">
        <v>592</v>
      </c>
      <c r="B181" s="119">
        <v>4</v>
      </c>
      <c r="C181" s="119">
        <v>210</v>
      </c>
      <c r="D181" s="119">
        <v>210.1</v>
      </c>
      <c r="E181" s="119">
        <v>25.1143</v>
      </c>
      <c r="F181" s="119">
        <v>25.023099999999999</v>
      </c>
      <c r="G181" s="119">
        <v>1430.05</v>
      </c>
      <c r="H181" s="119">
        <v>1430.2</v>
      </c>
      <c r="I181" s="119">
        <v>1429.84</v>
      </c>
      <c r="J181" s="119">
        <v>1431</v>
      </c>
      <c r="K181" s="119">
        <v>1430.04</v>
      </c>
      <c r="L181" s="119">
        <v>1430.12</v>
      </c>
      <c r="M181" s="119">
        <v>1429.72</v>
      </c>
      <c r="N181" s="119">
        <v>1429.24</v>
      </c>
      <c r="O181" s="119">
        <v>0.92879400000000001</v>
      </c>
      <c r="P181" s="119">
        <v>2498.98</v>
      </c>
      <c r="Q181" s="119">
        <v>2499.69</v>
      </c>
      <c r="R181" s="119">
        <v>2500.14</v>
      </c>
      <c r="S181" s="119">
        <v>2500.4</v>
      </c>
      <c r="T181" s="119">
        <v>2500.23</v>
      </c>
      <c r="U181" s="119">
        <v>2500.13</v>
      </c>
      <c r="V181" s="119">
        <v>2499.87</v>
      </c>
      <c r="W181" s="119">
        <v>2499.77</v>
      </c>
      <c r="X181" s="119">
        <v>210</v>
      </c>
      <c r="Y181" s="119">
        <v>6.5252900000000003E-2</v>
      </c>
      <c r="Z181" s="119">
        <v>-6.6310900000000006E-2</v>
      </c>
      <c r="AA181" s="119">
        <v>-5.6000099999999997E-2</v>
      </c>
      <c r="AB181" s="119">
        <v>3.1029600000000001E-3</v>
      </c>
      <c r="AC181" s="119">
        <v>-7.5576299999999999E-2</v>
      </c>
      <c r="AD181" s="119">
        <v>-3.6460699999999999E-2</v>
      </c>
      <c r="AE181" s="119">
        <v>-6.2764200000000006E-2</v>
      </c>
      <c r="AF181" s="119">
        <v>-6.5621899999999997E-2</v>
      </c>
      <c r="AG181" s="119" t="s">
        <v>593</v>
      </c>
      <c r="AH181" s="119" t="s">
        <v>173</v>
      </c>
      <c r="AI181" s="119">
        <v>100</v>
      </c>
      <c r="AJ181" s="119">
        <v>36.309868999999999</v>
      </c>
      <c r="AK181" s="119">
        <v>6448851</v>
      </c>
      <c r="AL181" s="119">
        <v>1.6166666746139999</v>
      </c>
      <c r="AN181" s="123">
        <f t="shared" si="12"/>
        <v>46251</v>
      </c>
      <c r="AO181" s="124">
        <f t="shared" si="13"/>
        <v>0.28239583333333335</v>
      </c>
      <c r="AQ181" s="125">
        <v>0</v>
      </c>
      <c r="AR181" s="125">
        <v>0</v>
      </c>
      <c r="AS181" s="125">
        <v>0</v>
      </c>
      <c r="AT181" s="125">
        <v>0</v>
      </c>
    </row>
    <row r="182" spans="1:46">
      <c r="A182" s="118" t="s">
        <v>594</v>
      </c>
      <c r="B182" s="119">
        <v>5</v>
      </c>
      <c r="C182" s="119">
        <v>210.1</v>
      </c>
      <c r="D182" s="119">
        <v>210</v>
      </c>
      <c r="E182" s="119">
        <v>25.163499999999999</v>
      </c>
      <c r="F182" s="119">
        <v>25.0535</v>
      </c>
      <c r="G182" s="119">
        <v>1415.76</v>
      </c>
      <c r="H182" s="119">
        <v>1416.36</v>
      </c>
      <c r="I182" s="119">
        <v>1416.06</v>
      </c>
      <c r="J182" s="119">
        <v>1416.6</v>
      </c>
      <c r="K182" s="119">
        <v>1416.29</v>
      </c>
      <c r="L182" s="119">
        <v>1415.35</v>
      </c>
      <c r="M182" s="119">
        <v>1416.53</v>
      </c>
      <c r="N182" s="119">
        <v>1416.18</v>
      </c>
      <c r="O182" s="119">
        <v>0.93217799999999995</v>
      </c>
      <c r="P182" s="119">
        <v>2500.9899999999998</v>
      </c>
      <c r="Q182" s="119">
        <v>2500</v>
      </c>
      <c r="R182" s="119">
        <v>2500.73</v>
      </c>
      <c r="S182" s="119">
        <v>2499.4299999999998</v>
      </c>
      <c r="T182" s="119">
        <v>2500.0500000000002</v>
      </c>
      <c r="U182" s="119">
        <v>2500.17</v>
      </c>
      <c r="V182" s="119">
        <v>2500.6999999999998</v>
      </c>
      <c r="W182" s="119">
        <v>2499.5700000000002</v>
      </c>
      <c r="X182" s="119">
        <v>209.8</v>
      </c>
      <c r="Y182" s="119">
        <v>6.4798700000000001E-2</v>
      </c>
      <c r="Z182" s="119">
        <v>-6.1966599999999997E-2</v>
      </c>
      <c r="AA182" s="119">
        <v>-5.7043499999999997E-2</v>
      </c>
      <c r="AB182" s="119">
        <v>3.9046199999999999E-5</v>
      </c>
      <c r="AC182" s="119">
        <v>-8.2892400000000005E-2</v>
      </c>
      <c r="AD182" s="119">
        <v>-3.8504099999999999E-2</v>
      </c>
      <c r="AE182" s="119">
        <v>-6.0513499999999998E-2</v>
      </c>
      <c r="AF182" s="119">
        <v>-6.3527E-2</v>
      </c>
      <c r="AG182" s="119" t="s">
        <v>595</v>
      </c>
      <c r="AH182" s="119" t="s">
        <v>173</v>
      </c>
      <c r="AI182" s="119">
        <v>100</v>
      </c>
      <c r="AJ182" s="119">
        <v>36.389837999999997</v>
      </c>
      <c r="AK182" s="119">
        <v>6463054</v>
      </c>
      <c r="AL182" s="119">
        <v>1.6166666746139999</v>
      </c>
      <c r="AN182" s="123">
        <f t="shared" si="12"/>
        <v>46251</v>
      </c>
      <c r="AO182" s="124">
        <f t="shared" si="13"/>
        <v>0.29166666666666669</v>
      </c>
      <c r="AQ182" s="125">
        <v>0</v>
      </c>
      <c r="AR182" s="125">
        <v>0</v>
      </c>
      <c r="AS182" s="125">
        <v>0</v>
      </c>
      <c r="AT182" s="125">
        <v>0</v>
      </c>
    </row>
    <row r="183" spans="1:46">
      <c r="A183" s="118" t="s">
        <v>596</v>
      </c>
      <c r="B183" s="119">
        <v>6</v>
      </c>
      <c r="C183" s="119">
        <v>210</v>
      </c>
      <c r="D183" s="119">
        <v>210</v>
      </c>
      <c r="E183" s="119">
        <v>25.11</v>
      </c>
      <c r="F183" s="119">
        <v>25.0275</v>
      </c>
      <c r="G183" s="119">
        <v>1444.79</v>
      </c>
      <c r="H183" s="119">
        <v>1443.66</v>
      </c>
      <c r="I183" s="119">
        <v>1444.84</v>
      </c>
      <c r="J183" s="119">
        <v>1443.96</v>
      </c>
      <c r="K183" s="119">
        <v>1444.53</v>
      </c>
      <c r="L183" s="119">
        <v>1444.14</v>
      </c>
      <c r="M183" s="119">
        <v>1444.64</v>
      </c>
      <c r="N183" s="119">
        <v>1444.49</v>
      </c>
      <c r="O183" s="119">
        <v>0.935164</v>
      </c>
      <c r="P183" s="119">
        <v>2499.62</v>
      </c>
      <c r="Q183" s="119">
        <v>2499.71</v>
      </c>
      <c r="R183" s="119">
        <v>2500.0700000000002</v>
      </c>
      <c r="S183" s="119">
        <v>2500.15</v>
      </c>
      <c r="T183" s="119">
        <v>2500.1</v>
      </c>
      <c r="U183" s="119">
        <v>2499.41</v>
      </c>
      <c r="V183" s="119">
        <v>2501.08</v>
      </c>
      <c r="W183" s="119">
        <v>2499.94</v>
      </c>
      <c r="X183" s="119">
        <v>210.2</v>
      </c>
      <c r="Y183" s="119">
        <v>5.94709E-2</v>
      </c>
      <c r="Z183" s="119">
        <v>-6.4946799999999999E-2</v>
      </c>
      <c r="AA183" s="119">
        <v>-5.9867299999999998E-2</v>
      </c>
      <c r="AB183" s="119">
        <v>2.00162E-3</v>
      </c>
      <c r="AC183" s="119">
        <v>-7.8603400000000004E-2</v>
      </c>
      <c r="AD183" s="119">
        <v>-4.1750799999999998E-2</v>
      </c>
      <c r="AE183" s="119">
        <v>-6.6637299999999997E-2</v>
      </c>
      <c r="AF183" s="119">
        <v>-7.1455000000000005E-2</v>
      </c>
      <c r="AG183" s="119" t="s">
        <v>597</v>
      </c>
      <c r="AH183" s="119" t="s">
        <v>173</v>
      </c>
      <c r="AI183" s="119">
        <v>100</v>
      </c>
      <c r="AJ183" s="119">
        <v>35.604334999999999</v>
      </c>
      <c r="AK183" s="119">
        <v>6323544</v>
      </c>
      <c r="AL183" s="119">
        <v>1.6150000095367001</v>
      </c>
      <c r="AN183" s="123">
        <f t="shared" si="12"/>
        <v>46251</v>
      </c>
      <c r="AO183" s="124">
        <f t="shared" si="13"/>
        <v>0.30093750000000002</v>
      </c>
      <c r="AQ183" s="125">
        <v>0</v>
      </c>
      <c r="AR183" s="125">
        <v>0</v>
      </c>
      <c r="AS183" s="125">
        <v>0</v>
      </c>
      <c r="AT183" s="125">
        <v>0</v>
      </c>
    </row>
    <row r="184" spans="1:46">
      <c r="A184" s="118" t="s">
        <v>598</v>
      </c>
      <c r="B184" s="119">
        <v>7</v>
      </c>
      <c r="C184" s="119">
        <v>210.1</v>
      </c>
      <c r="D184" s="119">
        <v>210</v>
      </c>
      <c r="E184" s="119">
        <v>25.1751</v>
      </c>
      <c r="F184" s="119">
        <v>25.023099999999999</v>
      </c>
      <c r="G184" s="119">
        <v>1406.93</v>
      </c>
      <c r="H184" s="119">
        <v>1407.29</v>
      </c>
      <c r="I184" s="119">
        <v>1407.41</v>
      </c>
      <c r="J184" s="119">
        <v>1407.96</v>
      </c>
      <c r="K184" s="119">
        <v>1406.51</v>
      </c>
      <c r="L184" s="119">
        <v>1406.37</v>
      </c>
      <c r="M184" s="119">
        <v>1407.14</v>
      </c>
      <c r="N184" s="119">
        <v>1406.92</v>
      </c>
      <c r="O184" s="119">
        <v>0.92638399999999999</v>
      </c>
      <c r="P184" s="119">
        <v>2499.25</v>
      </c>
      <c r="Q184" s="119">
        <v>2500.09</v>
      </c>
      <c r="R184" s="119">
        <v>2500.9899999999998</v>
      </c>
      <c r="S184" s="119">
        <v>2498.7800000000002</v>
      </c>
      <c r="T184" s="119">
        <v>2499.27</v>
      </c>
      <c r="U184" s="119">
        <v>2499.9</v>
      </c>
      <c r="V184" s="119">
        <v>2500.87</v>
      </c>
      <c r="W184" s="119">
        <v>2499.02</v>
      </c>
      <c r="X184" s="119">
        <v>209.9</v>
      </c>
      <c r="Y184" s="119">
        <v>6.3839900000000005E-2</v>
      </c>
      <c r="Z184" s="119">
        <v>-6.8040000000000003E-2</v>
      </c>
      <c r="AA184" s="119">
        <v>-5.6954299999999999E-2</v>
      </c>
      <c r="AB184" s="119">
        <v>-3.1211899999999998E-3</v>
      </c>
      <c r="AC184" s="119">
        <v>-8.0608700000000005E-2</v>
      </c>
      <c r="AD184" s="119">
        <v>-3.7002899999999998E-2</v>
      </c>
      <c r="AE184" s="119">
        <v>-6.5334500000000004E-2</v>
      </c>
      <c r="AF184" s="119">
        <v>-6.8136699999999994E-2</v>
      </c>
      <c r="AG184" s="119" t="s">
        <v>599</v>
      </c>
      <c r="AH184" s="119" t="s">
        <v>173</v>
      </c>
      <c r="AI184" s="119">
        <v>100</v>
      </c>
      <c r="AJ184" s="119">
        <v>36.144435000000001</v>
      </c>
      <c r="AK184" s="119">
        <v>6419469</v>
      </c>
      <c r="AL184" s="119">
        <v>1.6166666746139999</v>
      </c>
      <c r="AN184" s="123">
        <f t="shared" si="12"/>
        <v>46251</v>
      </c>
      <c r="AO184" s="124">
        <f t="shared" si="13"/>
        <v>0.31020833333333331</v>
      </c>
      <c r="AQ184" s="125">
        <v>0</v>
      </c>
      <c r="AR184" s="125">
        <v>0</v>
      </c>
      <c r="AS184" s="125">
        <v>0</v>
      </c>
      <c r="AT184" s="125">
        <v>0</v>
      </c>
    </row>
    <row r="185" spans="1:46">
      <c r="A185" s="118" t="s">
        <v>600</v>
      </c>
      <c r="B185" s="119">
        <v>8</v>
      </c>
      <c r="C185" s="119">
        <v>210</v>
      </c>
      <c r="D185" s="119">
        <v>210</v>
      </c>
      <c r="E185" s="119">
        <v>25.0579</v>
      </c>
      <c r="F185" s="119">
        <v>25.040500000000002</v>
      </c>
      <c r="G185" s="119">
        <v>1425.05</v>
      </c>
      <c r="H185" s="119">
        <v>1424.86</v>
      </c>
      <c r="I185" s="119">
        <v>1424.79</v>
      </c>
      <c r="J185" s="119">
        <v>1424.29</v>
      </c>
      <c r="K185" s="119">
        <v>1424.41</v>
      </c>
      <c r="L185" s="119">
        <v>1424.53</v>
      </c>
      <c r="M185" s="119">
        <v>1424.99</v>
      </c>
      <c r="N185" s="119">
        <v>1424.31</v>
      </c>
      <c r="O185" s="119">
        <v>0.92837199999999998</v>
      </c>
      <c r="P185" s="119">
        <v>2500.39</v>
      </c>
      <c r="Q185" s="119">
        <v>2500.59</v>
      </c>
      <c r="R185" s="119">
        <v>2499.83</v>
      </c>
      <c r="S185" s="119">
        <v>2499.44</v>
      </c>
      <c r="T185" s="119">
        <v>2500.25</v>
      </c>
      <c r="U185" s="119">
        <v>2499.44</v>
      </c>
      <c r="V185" s="119">
        <v>2498.94</v>
      </c>
      <c r="W185" s="119">
        <v>2499.4699999999998</v>
      </c>
      <c r="X185" s="119">
        <v>209.8</v>
      </c>
      <c r="Y185" s="119">
        <v>6.5755599999999997E-2</v>
      </c>
      <c r="Z185" s="119">
        <v>-6.0913399999999999E-2</v>
      </c>
      <c r="AA185" s="119">
        <v>-6.0732899999999999E-2</v>
      </c>
      <c r="AB185" s="119">
        <v>1.1932799999999999E-3</v>
      </c>
      <c r="AC185" s="119">
        <v>-8.0614400000000003E-2</v>
      </c>
      <c r="AD185" s="119">
        <v>-3.9885900000000002E-2</v>
      </c>
      <c r="AE185" s="119">
        <v>-6.0493199999999997E-2</v>
      </c>
      <c r="AF185" s="119">
        <v>-6.8654900000000005E-2</v>
      </c>
      <c r="AG185" s="119" t="s">
        <v>601</v>
      </c>
      <c r="AH185" s="119" t="s">
        <v>173</v>
      </c>
      <c r="AI185" s="119">
        <v>100</v>
      </c>
      <c r="AJ185" s="119">
        <v>35.621986999999997</v>
      </c>
      <c r="AK185" s="119">
        <v>6326679</v>
      </c>
      <c r="AL185" s="119">
        <v>1.6166666746139999</v>
      </c>
      <c r="AN185" s="123">
        <f t="shared" si="12"/>
        <v>46251</v>
      </c>
      <c r="AO185" s="124">
        <f t="shared" si="13"/>
        <v>0.31947916666666665</v>
      </c>
      <c r="AQ185" s="125">
        <v>0</v>
      </c>
      <c r="AR185" s="125">
        <v>0</v>
      </c>
      <c r="AS185" s="125">
        <v>0</v>
      </c>
      <c r="AT185" s="125">
        <v>0</v>
      </c>
    </row>
    <row r="186" spans="1:46">
      <c r="A186" s="118" t="s">
        <v>602</v>
      </c>
      <c r="B186" s="119">
        <v>1</v>
      </c>
      <c r="C186" s="119">
        <v>210.1</v>
      </c>
      <c r="D186" s="119">
        <v>210</v>
      </c>
      <c r="E186" s="119">
        <v>25.0535</v>
      </c>
      <c r="F186" s="119">
        <v>25.034700000000001</v>
      </c>
      <c r="G186" s="119">
        <v>1465.91</v>
      </c>
      <c r="H186" s="119">
        <v>1464.65</v>
      </c>
      <c r="I186" s="119">
        <v>1464.76</v>
      </c>
      <c r="J186" s="119">
        <v>1463.73</v>
      </c>
      <c r="K186" s="119">
        <v>1464.8</v>
      </c>
      <c r="L186" s="119">
        <v>1464.57</v>
      </c>
      <c r="M186" s="119">
        <v>1464.22</v>
      </c>
      <c r="N186" s="119">
        <v>1464.97</v>
      </c>
      <c r="O186" s="119">
        <v>0.90855600000000003</v>
      </c>
      <c r="P186" s="119">
        <v>2500.09</v>
      </c>
      <c r="Q186" s="119">
        <v>2500.4</v>
      </c>
      <c r="R186" s="119">
        <v>2499.69</v>
      </c>
      <c r="S186" s="119">
        <v>2499.3200000000002</v>
      </c>
      <c r="T186" s="119">
        <v>2500.23</v>
      </c>
      <c r="U186" s="119">
        <v>2500.14</v>
      </c>
      <c r="V186" s="119">
        <v>2500.11</v>
      </c>
      <c r="W186" s="119">
        <v>2499.48</v>
      </c>
      <c r="X186" s="119">
        <v>209.9</v>
      </c>
      <c r="Y186" s="119">
        <v>6.5090899999999993E-2</v>
      </c>
      <c r="Z186" s="119">
        <v>-6.6235699999999995E-2</v>
      </c>
      <c r="AA186" s="119">
        <v>-5.6157400000000003E-2</v>
      </c>
      <c r="AB186" s="119">
        <v>-1.63171E-3</v>
      </c>
      <c r="AC186" s="119">
        <v>-8.1681599999999993E-2</v>
      </c>
      <c r="AD186" s="119">
        <v>-3.8893499999999998E-2</v>
      </c>
      <c r="AE186" s="119">
        <v>-6.2667500000000001E-2</v>
      </c>
      <c r="AF186" s="119">
        <v>-6.7344100000000004E-2</v>
      </c>
      <c r="AG186" s="119" t="s">
        <v>603</v>
      </c>
      <c r="AH186" s="119" t="s">
        <v>173</v>
      </c>
      <c r="AI186" s="119">
        <v>100</v>
      </c>
      <c r="AJ186" s="119">
        <v>37.193424999999998</v>
      </c>
      <c r="AK186" s="119">
        <v>6605776</v>
      </c>
      <c r="AL186" s="119">
        <v>1.6150000095367001</v>
      </c>
      <c r="AN186" s="123">
        <f t="shared" si="12"/>
        <v>46251</v>
      </c>
      <c r="AO186" s="124">
        <f t="shared" si="13"/>
        <v>0.32874999999999999</v>
      </c>
      <c r="AQ186" s="125">
        <v>0</v>
      </c>
      <c r="AR186" s="125">
        <v>0</v>
      </c>
      <c r="AS186" s="125">
        <v>0</v>
      </c>
      <c r="AT186" s="125">
        <v>0</v>
      </c>
    </row>
    <row r="187" spans="1:46">
      <c r="A187" s="118" t="s">
        <v>604</v>
      </c>
      <c r="B187" s="119">
        <v>2</v>
      </c>
      <c r="C187" s="119">
        <v>210</v>
      </c>
      <c r="D187" s="119">
        <v>210.1</v>
      </c>
      <c r="E187" s="119">
        <v>24.9682</v>
      </c>
      <c r="F187" s="119">
        <v>25.021699999999999</v>
      </c>
      <c r="G187" s="119">
        <v>1439.15</v>
      </c>
      <c r="H187" s="119">
        <v>1439.09</v>
      </c>
      <c r="I187" s="119">
        <v>1439.27</v>
      </c>
      <c r="J187" s="119">
        <v>1439.85</v>
      </c>
      <c r="K187" s="119">
        <v>1439.25</v>
      </c>
      <c r="L187" s="119">
        <v>1440</v>
      </c>
      <c r="M187" s="119">
        <v>1439.45</v>
      </c>
      <c r="N187" s="119">
        <v>1438.98</v>
      </c>
      <c r="O187" s="119">
        <v>0.887181</v>
      </c>
      <c r="P187" s="119">
        <v>2500.1999999999998</v>
      </c>
      <c r="Q187" s="119">
        <v>2499.84</v>
      </c>
      <c r="R187" s="119">
        <v>2499.56</v>
      </c>
      <c r="S187" s="119">
        <v>2499.4499999999998</v>
      </c>
      <c r="T187" s="119">
        <v>2499.58</v>
      </c>
      <c r="U187" s="119">
        <v>2500.17</v>
      </c>
      <c r="V187" s="119">
        <v>2500.52</v>
      </c>
      <c r="W187" s="119">
        <v>2499.7600000000002</v>
      </c>
      <c r="X187" s="119">
        <v>209.7</v>
      </c>
      <c r="Y187" s="119">
        <v>6.4531099999999994E-2</v>
      </c>
      <c r="Z187" s="119">
        <v>-6.2960600000000005E-2</v>
      </c>
      <c r="AA187" s="119">
        <v>-5.8090200000000002E-2</v>
      </c>
      <c r="AB187" s="119">
        <v>-3.9749099999999998E-4</v>
      </c>
      <c r="AC187" s="119">
        <v>-8.13078E-2</v>
      </c>
      <c r="AD187" s="119">
        <v>-3.9716899999999999E-2</v>
      </c>
      <c r="AE187" s="119">
        <v>-7.9120999999999997E-2</v>
      </c>
      <c r="AF187" s="119">
        <v>-6.8919599999999998E-2</v>
      </c>
      <c r="AG187" s="119" t="s">
        <v>605</v>
      </c>
      <c r="AH187" s="119" t="s">
        <v>173</v>
      </c>
      <c r="AI187" s="119">
        <v>100</v>
      </c>
      <c r="AJ187" s="119">
        <v>35.297324000000003</v>
      </c>
      <c r="AK187" s="119">
        <v>6269017</v>
      </c>
      <c r="AL187" s="119">
        <v>1.6166666746139999</v>
      </c>
      <c r="AN187" s="123">
        <f t="shared" si="12"/>
        <v>46251</v>
      </c>
      <c r="AO187" s="124">
        <f t="shared" si="13"/>
        <v>0.33800925925925923</v>
      </c>
      <c r="AQ187" s="125">
        <v>0</v>
      </c>
      <c r="AR187" s="125">
        <v>0</v>
      </c>
      <c r="AS187" s="125">
        <v>0</v>
      </c>
      <c r="AT187" s="125">
        <v>0</v>
      </c>
    </row>
    <row r="188" spans="1:46">
      <c r="A188" s="118" t="s">
        <v>606</v>
      </c>
      <c r="B188" s="119">
        <v>3</v>
      </c>
      <c r="C188" s="119">
        <v>210</v>
      </c>
      <c r="D188" s="119">
        <v>210</v>
      </c>
      <c r="E188" s="119">
        <v>24.947900000000001</v>
      </c>
      <c r="F188" s="119">
        <v>25.039100000000001</v>
      </c>
      <c r="G188" s="119">
        <v>1442.42</v>
      </c>
      <c r="H188" s="119">
        <v>1443.48</v>
      </c>
      <c r="I188" s="119">
        <v>1443.14</v>
      </c>
      <c r="J188" s="119">
        <v>1442.52</v>
      </c>
      <c r="K188" s="119">
        <v>1443.43</v>
      </c>
      <c r="L188" s="119">
        <v>1443.88</v>
      </c>
      <c r="M188" s="119">
        <v>1442.51</v>
      </c>
      <c r="N188" s="119">
        <v>1443.02</v>
      </c>
      <c r="O188" s="119">
        <v>0.89499700000000004</v>
      </c>
      <c r="P188" s="119">
        <v>2499.37</v>
      </c>
      <c r="Q188" s="119">
        <v>2499.89</v>
      </c>
      <c r="R188" s="119">
        <v>2499.48</v>
      </c>
      <c r="S188" s="119">
        <v>2498.9899999999998</v>
      </c>
      <c r="T188" s="119">
        <v>2500.1</v>
      </c>
      <c r="U188" s="119">
        <v>2500.34</v>
      </c>
      <c r="V188" s="119">
        <v>2501.17</v>
      </c>
      <c r="W188" s="119">
        <v>2499.4699999999998</v>
      </c>
      <c r="X188" s="119">
        <v>209.9</v>
      </c>
      <c r="Y188" s="119">
        <v>6.2595200000000004E-2</v>
      </c>
      <c r="Z188" s="119">
        <v>-6.42794E-2</v>
      </c>
      <c r="AA188" s="119">
        <v>-5.8687700000000002E-2</v>
      </c>
      <c r="AB188" s="119">
        <v>1.60227E-3</v>
      </c>
      <c r="AC188" s="119">
        <v>-7.6574299999999998E-2</v>
      </c>
      <c r="AD188" s="119">
        <v>-3.8021399999999997E-2</v>
      </c>
      <c r="AE188" s="119">
        <v>-6.7834500000000006E-2</v>
      </c>
      <c r="AF188" s="119">
        <v>-7.0340799999999995E-2</v>
      </c>
      <c r="AG188" s="119" t="s">
        <v>607</v>
      </c>
      <c r="AH188" s="119" t="s">
        <v>173</v>
      </c>
      <c r="AI188" s="119">
        <v>100</v>
      </c>
      <c r="AJ188" s="119">
        <v>35.465966999999999</v>
      </c>
      <c r="AK188" s="119">
        <v>6298969</v>
      </c>
      <c r="AL188" s="119">
        <v>1.6150000095367001</v>
      </c>
      <c r="AN188" s="123">
        <f t="shared" si="12"/>
        <v>46251</v>
      </c>
      <c r="AO188" s="124">
        <f t="shared" si="13"/>
        <v>0.34729166666666667</v>
      </c>
      <c r="AQ188" s="125">
        <v>0</v>
      </c>
      <c r="AR188" s="125">
        <v>0</v>
      </c>
      <c r="AS188" s="125">
        <v>0</v>
      </c>
      <c r="AT188" s="125">
        <v>0</v>
      </c>
    </row>
    <row r="189" spans="1:46">
      <c r="A189" s="118" t="s">
        <v>608</v>
      </c>
      <c r="B189" s="119">
        <v>4</v>
      </c>
      <c r="C189" s="119">
        <v>210</v>
      </c>
      <c r="D189" s="119">
        <v>210</v>
      </c>
      <c r="E189" s="119">
        <v>25.186599999999999</v>
      </c>
      <c r="F189" s="119">
        <v>25.020299999999999</v>
      </c>
      <c r="G189" s="119">
        <v>1387.15</v>
      </c>
      <c r="H189" s="119">
        <v>1387.85</v>
      </c>
      <c r="I189" s="119">
        <v>1387.22</v>
      </c>
      <c r="J189" s="119">
        <v>1387.65</v>
      </c>
      <c r="K189" s="119">
        <v>1387.07</v>
      </c>
      <c r="L189" s="119">
        <v>1387.31</v>
      </c>
      <c r="M189" s="119">
        <v>1387.68</v>
      </c>
      <c r="N189" s="119">
        <v>1387.72</v>
      </c>
      <c r="O189" s="119">
        <v>0.88975599999999999</v>
      </c>
      <c r="P189" s="119">
        <v>2500.65</v>
      </c>
      <c r="Q189" s="119">
        <v>2500.0100000000002</v>
      </c>
      <c r="R189" s="119">
        <v>2499.29</v>
      </c>
      <c r="S189" s="119">
        <v>2500.11</v>
      </c>
      <c r="T189" s="119">
        <v>2499.9299999999998</v>
      </c>
      <c r="U189" s="119">
        <v>2500.13</v>
      </c>
      <c r="V189" s="119">
        <v>2500.35</v>
      </c>
      <c r="W189" s="119">
        <v>2499.2800000000002</v>
      </c>
      <c r="X189" s="119">
        <v>210.2</v>
      </c>
      <c r="Y189" s="119">
        <v>6.6336199999999998E-2</v>
      </c>
      <c r="Z189" s="119">
        <v>-6.1896199999999998E-2</v>
      </c>
      <c r="AA189" s="119">
        <v>-5.9119400000000003E-2</v>
      </c>
      <c r="AB189" s="119">
        <v>2.74289E-3</v>
      </c>
      <c r="AC189" s="119">
        <v>-0.16137000000000001</v>
      </c>
      <c r="AD189" s="119">
        <v>-3.7170500000000002E-2</v>
      </c>
      <c r="AE189" s="119">
        <v>-8.2064899999999996E-2</v>
      </c>
      <c r="AF189" s="119">
        <v>-6.5001799999999998E-2</v>
      </c>
      <c r="AG189" s="119" t="s">
        <v>609</v>
      </c>
      <c r="AH189" s="119" t="s">
        <v>173</v>
      </c>
      <c r="AI189" s="119">
        <v>100</v>
      </c>
      <c r="AJ189" s="119">
        <v>35.955601000000001</v>
      </c>
      <c r="AK189" s="119">
        <v>6385931</v>
      </c>
      <c r="AL189" s="119">
        <v>1.6166666746139999</v>
      </c>
      <c r="AN189" s="123">
        <f t="shared" si="12"/>
        <v>46251</v>
      </c>
      <c r="AO189" s="124">
        <f t="shared" si="13"/>
        <v>0.3565625</v>
      </c>
      <c r="AQ189" s="125">
        <v>0</v>
      </c>
      <c r="AR189" s="125">
        <v>0</v>
      </c>
      <c r="AS189" s="125">
        <v>0</v>
      </c>
      <c r="AT189" s="125">
        <v>0</v>
      </c>
    </row>
    <row r="190" spans="1:46">
      <c r="A190" s="118" t="s">
        <v>610</v>
      </c>
      <c r="B190" s="119">
        <v>5</v>
      </c>
      <c r="C190" s="119">
        <v>210</v>
      </c>
      <c r="D190" s="119">
        <v>210</v>
      </c>
      <c r="E190" s="119">
        <v>25.269100000000002</v>
      </c>
      <c r="F190" s="119">
        <v>25.011600000000001</v>
      </c>
      <c r="G190" s="119">
        <v>1432.59</v>
      </c>
      <c r="H190" s="119">
        <v>1433.53</v>
      </c>
      <c r="I190" s="119">
        <v>1432.93</v>
      </c>
      <c r="J190" s="119">
        <v>1431.65</v>
      </c>
      <c r="K190" s="119">
        <v>1432.39</v>
      </c>
      <c r="L190" s="119">
        <v>1432.63</v>
      </c>
      <c r="M190" s="119">
        <v>1432.62</v>
      </c>
      <c r="N190" s="119">
        <v>1433.16</v>
      </c>
      <c r="O190" s="119">
        <v>0.86316199999999998</v>
      </c>
      <c r="P190" s="119">
        <v>2498.9899999999998</v>
      </c>
      <c r="Q190" s="119">
        <v>2500.25</v>
      </c>
      <c r="R190" s="119">
        <v>2500.13</v>
      </c>
      <c r="S190" s="119">
        <v>2500.29</v>
      </c>
      <c r="T190" s="119">
        <v>2499.92</v>
      </c>
      <c r="U190" s="119">
        <v>2499.73</v>
      </c>
      <c r="V190" s="119">
        <v>2500.31</v>
      </c>
      <c r="W190" s="119">
        <v>2500.17</v>
      </c>
      <c r="X190" s="119">
        <v>209.9</v>
      </c>
      <c r="Y190" s="119">
        <v>6.8484199999999995E-2</v>
      </c>
      <c r="Z190" s="119">
        <v>-6.5675800000000006E-2</v>
      </c>
      <c r="AA190" s="119">
        <v>-6.1272899999999998E-2</v>
      </c>
      <c r="AB190" s="119">
        <v>-2.5371899999999999E-3</v>
      </c>
      <c r="AC190" s="119">
        <v>-7.4286599999999994E-2</v>
      </c>
      <c r="AD190" s="119">
        <v>-4.02181E-2</v>
      </c>
      <c r="AE190" s="119">
        <v>-0.114259</v>
      </c>
      <c r="AF190" s="119">
        <v>-6.7082500000000003E-2</v>
      </c>
      <c r="AG190" s="119" t="s">
        <v>611</v>
      </c>
      <c r="AH190" s="119" t="s">
        <v>173</v>
      </c>
      <c r="AI190" s="119">
        <v>100</v>
      </c>
      <c r="AJ190" s="119">
        <v>36.408226999999997</v>
      </c>
      <c r="AK190" s="119">
        <v>6466320</v>
      </c>
      <c r="AL190" s="119">
        <v>1.6150000095367001</v>
      </c>
      <c r="AN190" s="123">
        <f t="shared" si="12"/>
        <v>46251</v>
      </c>
      <c r="AO190" s="124">
        <f t="shared" si="13"/>
        <v>0.36585648148148148</v>
      </c>
      <c r="AQ190" s="125">
        <v>0</v>
      </c>
      <c r="AR190" s="125">
        <v>0</v>
      </c>
      <c r="AS190" s="125">
        <v>0</v>
      </c>
      <c r="AT190" s="125">
        <v>0</v>
      </c>
    </row>
    <row r="191" spans="1:46">
      <c r="A191" s="118" t="s">
        <v>612</v>
      </c>
      <c r="B191" s="119">
        <v>6</v>
      </c>
      <c r="C191" s="119">
        <v>210</v>
      </c>
      <c r="D191" s="119">
        <v>210</v>
      </c>
      <c r="E191" s="119">
        <v>25.209800000000001</v>
      </c>
      <c r="F191" s="119">
        <v>25.0029</v>
      </c>
      <c r="G191" s="119">
        <v>1415.42</v>
      </c>
      <c r="H191" s="119">
        <v>1415.63</v>
      </c>
      <c r="I191" s="119">
        <v>1415.58</v>
      </c>
      <c r="J191" s="119">
        <v>1416.39</v>
      </c>
      <c r="K191" s="119">
        <v>1415.22</v>
      </c>
      <c r="L191" s="119">
        <v>1415.9</v>
      </c>
      <c r="M191" s="119">
        <v>1415.32</v>
      </c>
      <c r="N191" s="119">
        <v>1414.13</v>
      </c>
      <c r="O191" s="119">
        <v>0.96208099999999996</v>
      </c>
      <c r="P191" s="119">
        <v>2499.84</v>
      </c>
      <c r="Q191" s="119">
        <v>2499.63</v>
      </c>
      <c r="R191" s="119">
        <v>2499.6999999999998</v>
      </c>
      <c r="S191" s="119">
        <v>2499.86</v>
      </c>
      <c r="T191" s="119">
        <v>2499.94</v>
      </c>
      <c r="U191" s="119">
        <v>2500.62</v>
      </c>
      <c r="V191" s="119">
        <v>2499.4699999999998</v>
      </c>
      <c r="W191" s="119">
        <v>2500.5100000000002</v>
      </c>
      <c r="X191" s="119">
        <v>210.2</v>
      </c>
      <c r="Y191" s="119">
        <v>6.6395399999999993E-2</v>
      </c>
      <c r="Z191" s="119">
        <v>-6.0816099999999998E-2</v>
      </c>
      <c r="AA191" s="119">
        <v>-5.8736200000000002E-2</v>
      </c>
      <c r="AB191" s="119">
        <v>1.0359799999999999E-3</v>
      </c>
      <c r="AC191" s="119">
        <v>-8.06727E-2</v>
      </c>
      <c r="AD191" s="119">
        <v>-4.1874399999999999E-2</v>
      </c>
      <c r="AE191" s="119">
        <v>-6.3490099999999994E-2</v>
      </c>
      <c r="AF191" s="119">
        <v>-6.2305699999999999E-2</v>
      </c>
      <c r="AG191" s="119" t="s">
        <v>613</v>
      </c>
      <c r="AH191" s="119" t="s">
        <v>173</v>
      </c>
      <c r="AI191" s="119">
        <v>100</v>
      </c>
      <c r="AJ191" s="119">
        <v>35.552714999999999</v>
      </c>
      <c r="AK191" s="119">
        <v>6314376</v>
      </c>
      <c r="AL191" s="119">
        <v>1.6150000095367001</v>
      </c>
      <c r="AN191" s="123">
        <f t="shared" si="12"/>
        <v>46251</v>
      </c>
      <c r="AO191" s="124">
        <f t="shared" si="13"/>
        <v>0.37512731481481482</v>
      </c>
      <c r="AQ191" s="125">
        <v>0</v>
      </c>
      <c r="AR191" s="125">
        <v>0</v>
      </c>
      <c r="AS191" s="125">
        <v>0</v>
      </c>
      <c r="AT191" s="125">
        <v>0</v>
      </c>
    </row>
    <row r="192" spans="1:46">
      <c r="A192" s="118" t="s">
        <v>614</v>
      </c>
      <c r="B192" s="119">
        <v>7</v>
      </c>
      <c r="C192" s="119">
        <v>210</v>
      </c>
      <c r="D192" s="119">
        <v>210</v>
      </c>
      <c r="E192" s="119">
        <v>25.180800000000001</v>
      </c>
      <c r="F192" s="119">
        <v>25</v>
      </c>
      <c r="G192" s="119">
        <v>1444.87</v>
      </c>
      <c r="H192" s="119">
        <v>1444.77</v>
      </c>
      <c r="I192" s="119">
        <v>1444.74</v>
      </c>
      <c r="J192" s="119">
        <v>1444.97</v>
      </c>
      <c r="K192" s="119">
        <v>1444.47</v>
      </c>
      <c r="L192" s="119">
        <v>1444.88</v>
      </c>
      <c r="M192" s="119">
        <v>1445.04</v>
      </c>
      <c r="N192" s="119">
        <v>1445.28</v>
      </c>
      <c r="O192" s="119">
        <v>0.91883800000000004</v>
      </c>
      <c r="P192" s="119">
        <v>2499.67</v>
      </c>
      <c r="Q192" s="119">
        <v>2500.25</v>
      </c>
      <c r="R192" s="119">
        <v>2499.4899999999998</v>
      </c>
      <c r="S192" s="119">
        <v>2500.27</v>
      </c>
      <c r="T192" s="119">
        <v>2499.7600000000002</v>
      </c>
      <c r="U192" s="119">
        <v>2500.4</v>
      </c>
      <c r="V192" s="119">
        <v>2499.5300000000002</v>
      </c>
      <c r="W192" s="119">
        <v>2499</v>
      </c>
      <c r="X192" s="119">
        <v>209.9</v>
      </c>
      <c r="Y192" s="119">
        <v>6.3714099999999996E-2</v>
      </c>
      <c r="Z192" s="119">
        <v>-6.3647099999999998E-2</v>
      </c>
      <c r="AA192" s="119">
        <v>-6.4461500000000005E-2</v>
      </c>
      <c r="AB192" s="119">
        <v>1.12167E-3</v>
      </c>
      <c r="AC192" s="119">
        <v>-7.7132999999999993E-2</v>
      </c>
      <c r="AD192" s="119">
        <v>-3.9510099999999999E-2</v>
      </c>
      <c r="AE192" s="119">
        <v>-0.14199500000000001</v>
      </c>
      <c r="AF192" s="119">
        <v>-7.1902199999999999E-2</v>
      </c>
      <c r="AG192" s="119" t="s">
        <v>615</v>
      </c>
      <c r="AH192" s="119" t="s">
        <v>173</v>
      </c>
      <c r="AI192" s="119">
        <v>100</v>
      </c>
      <c r="AJ192" s="119">
        <v>36.280054999999997</v>
      </c>
      <c r="AK192" s="119">
        <v>6443556</v>
      </c>
      <c r="AL192" s="119">
        <v>1.6150000095367001</v>
      </c>
      <c r="AN192" s="123">
        <f t="shared" si="12"/>
        <v>46251</v>
      </c>
      <c r="AO192" s="124">
        <f t="shared" si="13"/>
        <v>0.38440972222222225</v>
      </c>
      <c r="AQ192" s="125">
        <v>0</v>
      </c>
      <c r="AR192" s="125">
        <v>0</v>
      </c>
      <c r="AS192" s="125">
        <v>0</v>
      </c>
      <c r="AT192" s="125">
        <v>0</v>
      </c>
    </row>
    <row r="193" spans="1:46">
      <c r="A193" s="118" t="s">
        <v>616</v>
      </c>
      <c r="B193" s="119">
        <v>8</v>
      </c>
      <c r="C193" s="119">
        <v>210</v>
      </c>
      <c r="D193" s="119">
        <v>210</v>
      </c>
      <c r="E193" s="119">
        <v>25.186599999999999</v>
      </c>
      <c r="F193" s="119">
        <v>25.017399999999999</v>
      </c>
      <c r="G193" s="119">
        <v>1415.19</v>
      </c>
      <c r="H193" s="119">
        <v>1413.2</v>
      </c>
      <c r="I193" s="119">
        <v>1412.22</v>
      </c>
      <c r="J193" s="119">
        <v>1413.82</v>
      </c>
      <c r="K193" s="119">
        <v>1413.33</v>
      </c>
      <c r="L193" s="119">
        <v>1412.97</v>
      </c>
      <c r="M193" s="119">
        <v>1412.28</v>
      </c>
      <c r="N193" s="119">
        <v>1412.76</v>
      </c>
      <c r="O193" s="119">
        <v>0.96657000000000004</v>
      </c>
      <c r="P193" s="119">
        <v>2499.16</v>
      </c>
      <c r="Q193" s="119">
        <v>2499.79</v>
      </c>
      <c r="R193" s="119">
        <v>2499.0500000000002</v>
      </c>
      <c r="S193" s="119">
        <v>2500.75</v>
      </c>
      <c r="T193" s="119">
        <v>2499.6999999999998</v>
      </c>
      <c r="U193" s="119">
        <v>2500.23</v>
      </c>
      <c r="V193" s="119">
        <v>2498.7199999999998</v>
      </c>
      <c r="W193" s="119">
        <v>2500.38</v>
      </c>
      <c r="X193" s="119">
        <v>210</v>
      </c>
      <c r="Y193" s="119">
        <v>6.5626599999999993E-2</v>
      </c>
      <c r="Z193" s="119">
        <v>-6.3053600000000001E-2</v>
      </c>
      <c r="AA193" s="119">
        <v>-6.5680699999999995E-2</v>
      </c>
      <c r="AB193" s="119">
        <v>2.7845700000000001E-3</v>
      </c>
      <c r="AC193" s="119">
        <v>-7.5509499999999993E-2</v>
      </c>
      <c r="AD193" s="119">
        <v>-5.7056099999999998E-2</v>
      </c>
      <c r="AE193" s="119">
        <v>-0.26385599999999998</v>
      </c>
      <c r="AF193" s="119">
        <v>-7.6104099999999994E-2</v>
      </c>
      <c r="AG193" s="119" t="s">
        <v>617</v>
      </c>
      <c r="AH193" s="119" t="s">
        <v>173</v>
      </c>
      <c r="AI193" s="119">
        <v>100</v>
      </c>
      <c r="AJ193" s="119">
        <v>35.592686</v>
      </c>
      <c r="AK193" s="119">
        <v>6321475</v>
      </c>
      <c r="AL193" s="119">
        <v>1.6166666746139999</v>
      </c>
      <c r="AN193" s="123">
        <f t="shared" si="12"/>
        <v>46251</v>
      </c>
      <c r="AO193" s="124">
        <f t="shared" si="13"/>
        <v>0.39369212962962963</v>
      </c>
      <c r="AQ193" s="125">
        <v>0</v>
      </c>
      <c r="AR193" s="125">
        <v>0</v>
      </c>
      <c r="AS193" s="125">
        <v>0</v>
      </c>
      <c r="AT193" s="125">
        <v>0</v>
      </c>
    </row>
    <row r="194" spans="1:46">
      <c r="A194" s="118" t="s">
        <v>618</v>
      </c>
      <c r="B194" s="119">
        <v>1</v>
      </c>
      <c r="C194" s="119">
        <v>210</v>
      </c>
      <c r="D194" s="119">
        <v>210</v>
      </c>
      <c r="E194" s="119">
        <v>25.299499999999998</v>
      </c>
      <c r="F194" s="119">
        <v>24.992799999999999</v>
      </c>
      <c r="G194" s="119">
        <v>1450.06</v>
      </c>
      <c r="H194" s="119">
        <v>1450.23</v>
      </c>
      <c r="I194" s="119">
        <v>1450.48</v>
      </c>
      <c r="J194" s="119">
        <v>1449.93</v>
      </c>
      <c r="K194" s="119">
        <v>1450.52</v>
      </c>
      <c r="L194" s="119">
        <v>1450.6</v>
      </c>
      <c r="M194" s="119">
        <v>1451.51</v>
      </c>
      <c r="N194" s="119">
        <v>1450.72</v>
      </c>
      <c r="O194" s="119">
        <v>0.90363599999999999</v>
      </c>
      <c r="P194" s="119">
        <v>2500.9499999999998</v>
      </c>
      <c r="Q194" s="119">
        <v>2500.56</v>
      </c>
      <c r="R194" s="119">
        <v>2500.1999999999998</v>
      </c>
      <c r="S194" s="119">
        <v>2500.16</v>
      </c>
      <c r="T194" s="119">
        <v>2499.46</v>
      </c>
      <c r="U194" s="119">
        <v>2499.87</v>
      </c>
      <c r="V194" s="119">
        <v>2499.7199999999998</v>
      </c>
      <c r="W194" s="119">
        <v>2500.39</v>
      </c>
      <c r="X194" s="119">
        <v>209.9</v>
      </c>
      <c r="Y194" s="119">
        <v>1.9983900000000001</v>
      </c>
      <c r="Z194" s="119">
        <v>1.9979800000000001</v>
      </c>
      <c r="AA194" s="119">
        <v>1.99699</v>
      </c>
      <c r="AB194" s="119">
        <v>1.9865699999999999</v>
      </c>
      <c r="AC194" s="119">
        <v>1.9971699999999999</v>
      </c>
      <c r="AD194" s="119">
        <v>1.9946900000000001</v>
      </c>
      <c r="AE194" s="119">
        <v>1.99885</v>
      </c>
      <c r="AF194" s="119">
        <v>1.9992700000000001</v>
      </c>
      <c r="AG194" s="119" t="s">
        <v>619</v>
      </c>
      <c r="AH194" s="119" t="s">
        <v>173</v>
      </c>
      <c r="AI194" s="119">
        <v>100</v>
      </c>
      <c r="AJ194" s="119">
        <v>37.866042999999998</v>
      </c>
      <c r="AK194" s="119">
        <v>6725237</v>
      </c>
      <c r="AL194" s="119">
        <v>1.6166666746139999</v>
      </c>
      <c r="AN194" s="123">
        <f t="shared" si="12"/>
        <v>46251</v>
      </c>
      <c r="AO194" s="124">
        <f t="shared" si="13"/>
        <v>0.40295138888888887</v>
      </c>
      <c r="AQ194" s="125">
        <v>0</v>
      </c>
      <c r="AR194" s="125">
        <v>0</v>
      </c>
      <c r="AS194" s="125">
        <v>0</v>
      </c>
      <c r="AT194" s="125">
        <v>0</v>
      </c>
    </row>
    <row r="195" spans="1:46">
      <c r="A195" s="118" t="s">
        <v>620</v>
      </c>
      <c r="B195" s="119">
        <v>2</v>
      </c>
      <c r="C195" s="119">
        <v>210</v>
      </c>
      <c r="D195" s="119">
        <v>209.9</v>
      </c>
      <c r="E195" s="119">
        <v>25.2821</v>
      </c>
      <c r="F195" s="119">
        <v>25.0029</v>
      </c>
      <c r="G195" s="119">
        <v>1440.26</v>
      </c>
      <c r="H195" s="119">
        <v>1439.77</v>
      </c>
      <c r="I195" s="119">
        <v>1439.96</v>
      </c>
      <c r="J195" s="119">
        <v>1439.86</v>
      </c>
      <c r="K195" s="119">
        <v>1439.43</v>
      </c>
      <c r="L195" s="119">
        <v>1439.62</v>
      </c>
      <c r="M195" s="119">
        <v>1439.95</v>
      </c>
      <c r="N195" s="119">
        <v>1439.33</v>
      </c>
      <c r="O195" s="119">
        <v>0.92956300000000003</v>
      </c>
      <c r="P195" s="119">
        <v>2501.7399999999998</v>
      </c>
      <c r="Q195" s="119">
        <v>2499.15</v>
      </c>
      <c r="R195" s="119">
        <v>2499.29</v>
      </c>
      <c r="S195" s="119">
        <v>2499.9699999999998</v>
      </c>
      <c r="T195" s="119">
        <v>2499.5300000000002</v>
      </c>
      <c r="U195" s="119">
        <v>2498.9899999999998</v>
      </c>
      <c r="V195" s="119">
        <v>2500</v>
      </c>
      <c r="W195" s="119">
        <v>2500.37</v>
      </c>
      <c r="X195" s="119">
        <v>209.9</v>
      </c>
      <c r="Y195" s="119">
        <v>2.0005099999999998</v>
      </c>
      <c r="Z195" s="119">
        <v>1.9998100000000001</v>
      </c>
      <c r="AA195" s="119">
        <v>1.99919</v>
      </c>
      <c r="AB195" s="119">
        <v>1.98725</v>
      </c>
      <c r="AC195" s="119">
        <v>2.0011100000000002</v>
      </c>
      <c r="AD195" s="119">
        <v>1.9977100000000001</v>
      </c>
      <c r="AE195" s="119">
        <v>2.00054</v>
      </c>
      <c r="AF195" s="119">
        <v>1.99566</v>
      </c>
      <c r="AG195" s="119" t="s">
        <v>621</v>
      </c>
      <c r="AH195" s="119" t="s">
        <v>173</v>
      </c>
      <c r="AI195" s="119">
        <v>100</v>
      </c>
      <c r="AJ195" s="119">
        <v>32.463721</v>
      </c>
      <c r="AK195" s="119">
        <v>5765752</v>
      </c>
      <c r="AL195" s="119">
        <v>1.6133333444594999</v>
      </c>
      <c r="AN195" s="123">
        <f t="shared" si="12"/>
        <v>46251</v>
      </c>
      <c r="AO195" s="124">
        <f t="shared" si="13"/>
        <v>0.41223379629629631</v>
      </c>
      <c r="AQ195" s="125">
        <v>0</v>
      </c>
      <c r="AR195" s="125">
        <v>0</v>
      </c>
      <c r="AS195" s="125">
        <v>0</v>
      </c>
      <c r="AT195" s="125">
        <v>0</v>
      </c>
    </row>
    <row r="196" spans="1:46">
      <c r="A196" s="118" t="s">
        <v>622</v>
      </c>
      <c r="B196" s="119">
        <v>3</v>
      </c>
      <c r="C196" s="119">
        <v>210.3</v>
      </c>
      <c r="D196" s="119">
        <v>210.2</v>
      </c>
      <c r="E196" s="119">
        <v>25.185199999999998</v>
      </c>
      <c r="F196" s="119">
        <v>24.992799999999999</v>
      </c>
      <c r="G196" s="119">
        <v>1428.21</v>
      </c>
      <c r="H196" s="119">
        <v>1428.31</v>
      </c>
      <c r="I196" s="119">
        <v>1428.97</v>
      </c>
      <c r="J196" s="119">
        <v>1429.4</v>
      </c>
      <c r="K196" s="119">
        <v>1428.82</v>
      </c>
      <c r="L196" s="119">
        <v>1429.29</v>
      </c>
      <c r="M196" s="119">
        <v>1428.44</v>
      </c>
      <c r="N196" s="119">
        <v>1428.34</v>
      </c>
      <c r="O196" s="119">
        <v>0.90522400000000003</v>
      </c>
      <c r="P196" s="119">
        <v>2499.54</v>
      </c>
      <c r="Q196" s="119">
        <v>2499.44</v>
      </c>
      <c r="R196" s="119">
        <v>2500.04</v>
      </c>
      <c r="S196" s="119">
        <v>2500.4</v>
      </c>
      <c r="T196" s="119">
        <v>2500.2199999999998</v>
      </c>
      <c r="U196" s="119">
        <v>2498.39</v>
      </c>
      <c r="V196" s="119">
        <v>2499.69</v>
      </c>
      <c r="W196" s="119">
        <v>2499.5700000000002</v>
      </c>
      <c r="X196" s="119">
        <v>209.9</v>
      </c>
      <c r="Y196" s="119">
        <v>1.9984599999999999</v>
      </c>
      <c r="Z196" s="119">
        <v>1.9981599999999999</v>
      </c>
      <c r="AA196" s="119">
        <v>1.99814</v>
      </c>
      <c r="AB196" s="119">
        <v>2.01959</v>
      </c>
      <c r="AC196" s="119">
        <v>1.9950000000000001</v>
      </c>
      <c r="AD196" s="119">
        <v>1.9976</v>
      </c>
      <c r="AE196" s="119">
        <v>2.0010500000000002</v>
      </c>
      <c r="AF196" s="119">
        <v>2.00102</v>
      </c>
      <c r="AG196" s="119" t="s">
        <v>623</v>
      </c>
      <c r="AH196" s="119" t="s">
        <v>173</v>
      </c>
      <c r="AI196" s="119">
        <v>100</v>
      </c>
      <c r="AJ196" s="119">
        <v>30.758890999999998</v>
      </c>
      <c r="AK196" s="119">
        <v>5462964</v>
      </c>
      <c r="AL196" s="119">
        <v>1.6150000095367001</v>
      </c>
      <c r="AN196" s="123">
        <f t="shared" si="12"/>
        <v>46251</v>
      </c>
      <c r="AO196" s="124">
        <f t="shared" si="13"/>
        <v>0.42150462962962965</v>
      </c>
      <c r="AQ196" s="125">
        <v>0</v>
      </c>
      <c r="AR196" s="125">
        <v>0</v>
      </c>
      <c r="AS196" s="125">
        <v>0</v>
      </c>
      <c r="AT196" s="125">
        <v>0</v>
      </c>
    </row>
    <row r="197" spans="1:46">
      <c r="A197" s="118" t="s">
        <v>624</v>
      </c>
      <c r="B197" s="119">
        <v>4</v>
      </c>
      <c r="C197" s="119">
        <v>221.2</v>
      </c>
      <c r="D197" s="119">
        <v>220.8</v>
      </c>
      <c r="E197" s="119">
        <v>25.1389</v>
      </c>
      <c r="F197" s="119">
        <v>25.021699999999999</v>
      </c>
      <c r="G197" s="119">
        <v>1449.04</v>
      </c>
      <c r="H197" s="119">
        <v>1449.15</v>
      </c>
      <c r="I197" s="119">
        <v>1450.59</v>
      </c>
      <c r="J197" s="119">
        <v>1450.87</v>
      </c>
      <c r="K197" s="119">
        <v>1449.46</v>
      </c>
      <c r="L197" s="119">
        <v>1450.46</v>
      </c>
      <c r="M197" s="119">
        <v>1450.88</v>
      </c>
      <c r="N197" s="119">
        <v>1449.71</v>
      </c>
      <c r="O197" s="119">
        <v>0.90881400000000001</v>
      </c>
      <c r="P197" s="119">
        <v>2500.11</v>
      </c>
      <c r="Q197" s="119">
        <v>2499.17</v>
      </c>
      <c r="R197" s="119">
        <v>2499.9899999999998</v>
      </c>
      <c r="S197" s="119">
        <v>2500.0700000000002</v>
      </c>
      <c r="T197" s="119">
        <v>2499.42</v>
      </c>
      <c r="U197" s="119">
        <v>2499.63</v>
      </c>
      <c r="V197" s="119">
        <v>2500.12</v>
      </c>
      <c r="W197" s="119">
        <v>2498.9899999999998</v>
      </c>
      <c r="X197" s="119">
        <v>210.1</v>
      </c>
      <c r="Y197" s="119">
        <v>2.0032399999999999</v>
      </c>
      <c r="Z197" s="119">
        <v>1.9984299999999999</v>
      </c>
      <c r="AA197" s="119">
        <v>2.0019100000000001</v>
      </c>
      <c r="AB197" s="119">
        <v>1.9845999999999999</v>
      </c>
      <c r="AC197" s="119">
        <v>2.0010599999999998</v>
      </c>
      <c r="AD197" s="119">
        <v>2.0024999999999999</v>
      </c>
      <c r="AE197" s="119">
        <v>1.9990600000000001</v>
      </c>
      <c r="AF197" s="119">
        <v>2.0005899999999999</v>
      </c>
      <c r="AG197" s="119" t="s">
        <v>625</v>
      </c>
      <c r="AH197" s="119" t="s">
        <v>173</v>
      </c>
      <c r="AI197" s="119">
        <v>100</v>
      </c>
      <c r="AJ197" s="119">
        <v>33.498072000000001</v>
      </c>
      <c r="AK197" s="119">
        <v>5949459</v>
      </c>
      <c r="AL197" s="119">
        <v>1.6166666746139999</v>
      </c>
      <c r="AN197" s="123">
        <f t="shared" si="12"/>
        <v>46251</v>
      </c>
      <c r="AO197" s="124">
        <f t="shared" si="13"/>
        <v>0.43076388888888889</v>
      </c>
      <c r="AQ197" s="125">
        <v>0</v>
      </c>
      <c r="AR197" s="125">
        <v>0</v>
      </c>
      <c r="AS197" s="125">
        <v>0</v>
      </c>
      <c r="AT197" s="125">
        <v>0</v>
      </c>
    </row>
    <row r="198" spans="1:46">
      <c r="A198" s="118" t="s">
        <v>626</v>
      </c>
      <c r="B198" s="119">
        <v>5</v>
      </c>
      <c r="C198" s="119">
        <v>222.5</v>
      </c>
      <c r="D198" s="119">
        <v>222.5</v>
      </c>
      <c r="E198" s="119">
        <v>25.2271</v>
      </c>
      <c r="F198" s="119">
        <v>25</v>
      </c>
      <c r="G198" s="119">
        <v>1415.8</v>
      </c>
      <c r="H198" s="119">
        <v>1415.26</v>
      </c>
      <c r="I198" s="119">
        <v>1415.95</v>
      </c>
      <c r="J198" s="119">
        <v>1415.19</v>
      </c>
      <c r="K198" s="119">
        <v>1415.59</v>
      </c>
      <c r="L198" s="119">
        <v>1414.45</v>
      </c>
      <c r="M198" s="119">
        <v>1415.96</v>
      </c>
      <c r="N198" s="119">
        <v>1415.69</v>
      </c>
      <c r="O198" s="119">
        <v>0.97708099999999998</v>
      </c>
      <c r="P198" s="119">
        <v>2500.5</v>
      </c>
      <c r="Q198" s="119">
        <v>2500.36</v>
      </c>
      <c r="R198" s="119">
        <v>2499.7600000000002</v>
      </c>
      <c r="S198" s="119">
        <v>2500.23</v>
      </c>
      <c r="T198" s="119">
        <v>2499.96</v>
      </c>
      <c r="U198" s="119">
        <v>2500.61</v>
      </c>
      <c r="V198" s="119">
        <v>2500.52</v>
      </c>
      <c r="W198" s="119">
        <v>2498.13</v>
      </c>
      <c r="X198" s="119">
        <v>209.9</v>
      </c>
      <c r="Y198" s="119">
        <v>2.0016400000000001</v>
      </c>
      <c r="Z198" s="119">
        <v>1.9989399999999999</v>
      </c>
      <c r="AA198" s="119">
        <v>2.0005600000000001</v>
      </c>
      <c r="AB198" s="119">
        <v>1.9956100000000001</v>
      </c>
      <c r="AC198" s="119">
        <v>2.00075</v>
      </c>
      <c r="AD198" s="119">
        <v>2.0017499999999999</v>
      </c>
      <c r="AE198" s="119">
        <v>2.0008300000000001</v>
      </c>
      <c r="AF198" s="119">
        <v>2.00143</v>
      </c>
      <c r="AG198" s="119" t="s">
        <v>627</v>
      </c>
      <c r="AH198" s="119" t="s">
        <v>173</v>
      </c>
      <c r="AI198" s="119">
        <v>100</v>
      </c>
      <c r="AJ198" s="119">
        <v>32.513404000000001</v>
      </c>
      <c r="AK198" s="119">
        <v>5774576</v>
      </c>
      <c r="AL198" s="119">
        <v>1.6150000095367001</v>
      </c>
      <c r="AN198" s="123">
        <f t="shared" si="12"/>
        <v>46251</v>
      </c>
      <c r="AO198" s="124">
        <f t="shared" si="13"/>
        <v>0.44002314814814814</v>
      </c>
      <c r="AQ198" s="125">
        <v>0</v>
      </c>
      <c r="AR198" s="125">
        <v>0</v>
      </c>
      <c r="AS198" s="125">
        <v>0</v>
      </c>
      <c r="AT198" s="125">
        <v>0</v>
      </c>
    </row>
    <row r="199" spans="1:46">
      <c r="A199" s="118" t="s">
        <v>628</v>
      </c>
      <c r="B199" s="119">
        <v>6</v>
      </c>
      <c r="C199" s="119">
        <v>219.3</v>
      </c>
      <c r="D199" s="119">
        <v>219.3</v>
      </c>
      <c r="E199" s="119">
        <v>25.240200000000002</v>
      </c>
      <c r="F199" s="119">
        <v>25.033300000000001</v>
      </c>
      <c r="G199" s="119">
        <v>1438.44</v>
      </c>
      <c r="H199" s="119">
        <v>1437.77</v>
      </c>
      <c r="I199" s="119">
        <v>1438.94</v>
      </c>
      <c r="J199" s="119">
        <v>1437.68</v>
      </c>
      <c r="K199" s="119">
        <v>1438.24</v>
      </c>
      <c r="L199" s="119">
        <v>1437.89</v>
      </c>
      <c r="M199" s="119">
        <v>1437.69</v>
      </c>
      <c r="N199" s="119">
        <v>1437.99</v>
      </c>
      <c r="O199" s="119">
        <v>0.88595999999999997</v>
      </c>
      <c r="P199" s="119">
        <v>2499.7199999999998</v>
      </c>
      <c r="Q199" s="119">
        <v>2499.94</v>
      </c>
      <c r="R199" s="119">
        <v>2500.9899999999998</v>
      </c>
      <c r="S199" s="119">
        <v>2500.31</v>
      </c>
      <c r="T199" s="119">
        <v>2500.15</v>
      </c>
      <c r="U199" s="119">
        <v>2499.91</v>
      </c>
      <c r="V199" s="119">
        <v>2499.13</v>
      </c>
      <c r="W199" s="119">
        <v>2501.35</v>
      </c>
      <c r="X199" s="119">
        <v>210</v>
      </c>
      <c r="Y199" s="119">
        <v>2.0003500000000001</v>
      </c>
      <c r="Z199" s="119">
        <v>1.99655</v>
      </c>
      <c r="AA199" s="119">
        <v>1.9980899999999999</v>
      </c>
      <c r="AB199" s="119">
        <v>2.0205299999999999</v>
      </c>
      <c r="AC199" s="119">
        <v>1.9991300000000001</v>
      </c>
      <c r="AD199" s="119">
        <v>2.0005000000000002</v>
      </c>
      <c r="AE199" s="119">
        <v>2.0020099999999998</v>
      </c>
      <c r="AF199" s="119">
        <v>1.99864</v>
      </c>
      <c r="AG199" s="119" t="s">
        <v>629</v>
      </c>
      <c r="AH199" s="119" t="s">
        <v>173</v>
      </c>
      <c r="AI199" s="119">
        <v>100</v>
      </c>
      <c r="AJ199" s="119">
        <v>30.553301000000001</v>
      </c>
      <c r="AK199" s="119">
        <v>5426450</v>
      </c>
      <c r="AL199" s="119">
        <v>1.6150000095367001</v>
      </c>
      <c r="AN199" s="123">
        <f t="shared" si="12"/>
        <v>46251</v>
      </c>
      <c r="AO199" s="124">
        <f t="shared" si="13"/>
        <v>0.44930555555555557</v>
      </c>
      <c r="AQ199" s="125">
        <v>0</v>
      </c>
      <c r="AR199" s="125">
        <v>0</v>
      </c>
      <c r="AS199" s="125">
        <v>0</v>
      </c>
      <c r="AT199" s="125">
        <v>0</v>
      </c>
    </row>
    <row r="200" spans="1:46">
      <c r="A200" s="118" t="s">
        <v>630</v>
      </c>
      <c r="B200" s="119">
        <v>7</v>
      </c>
      <c r="C200" s="119">
        <v>219.7</v>
      </c>
      <c r="D200" s="119">
        <v>219.7</v>
      </c>
      <c r="E200" s="119">
        <v>25.271999999999998</v>
      </c>
      <c r="F200" s="119">
        <v>25.010100000000001</v>
      </c>
      <c r="G200" s="119">
        <v>1430.43</v>
      </c>
      <c r="H200" s="119">
        <v>1430.42</v>
      </c>
      <c r="I200" s="119">
        <v>1430.48</v>
      </c>
      <c r="J200" s="119">
        <v>1430.52</v>
      </c>
      <c r="K200" s="119">
        <v>1430.65</v>
      </c>
      <c r="L200" s="119">
        <v>1430.47</v>
      </c>
      <c r="M200" s="119">
        <v>1430.63</v>
      </c>
      <c r="N200" s="119">
        <v>1429.89</v>
      </c>
      <c r="O200" s="119">
        <v>0.92857400000000001</v>
      </c>
      <c r="P200" s="119">
        <v>2498.9899999999998</v>
      </c>
      <c r="Q200" s="119">
        <v>2499.9699999999998</v>
      </c>
      <c r="R200" s="119">
        <v>2499.61</v>
      </c>
      <c r="S200" s="119">
        <v>2499.94</v>
      </c>
      <c r="T200" s="119">
        <v>2500.52</v>
      </c>
      <c r="U200" s="119">
        <v>2500.04</v>
      </c>
      <c r="V200" s="119">
        <v>2500.94</v>
      </c>
      <c r="W200" s="119">
        <v>2500.5700000000002</v>
      </c>
      <c r="X200" s="119">
        <v>209.9</v>
      </c>
      <c r="Y200" s="119">
        <v>1.99817</v>
      </c>
      <c r="Z200" s="119">
        <v>1.99766</v>
      </c>
      <c r="AA200" s="119">
        <v>1.9970699999999999</v>
      </c>
      <c r="AB200" s="119">
        <v>2.0222600000000002</v>
      </c>
      <c r="AC200" s="119">
        <v>1.9975499999999999</v>
      </c>
      <c r="AD200" s="119">
        <v>1.99888</v>
      </c>
      <c r="AE200" s="119">
        <v>1.99586</v>
      </c>
      <c r="AF200" s="119">
        <v>1.9998800000000001</v>
      </c>
      <c r="AG200" s="119" t="s">
        <v>631</v>
      </c>
      <c r="AH200" s="119" t="s">
        <v>173</v>
      </c>
      <c r="AI200" s="119">
        <v>100</v>
      </c>
      <c r="AJ200" s="119">
        <v>30.446655</v>
      </c>
      <c r="AK200" s="119">
        <v>5407509</v>
      </c>
      <c r="AL200" s="119">
        <v>1.6133333444594999</v>
      </c>
      <c r="AN200" s="123">
        <f t="shared" si="12"/>
        <v>46251</v>
      </c>
      <c r="AO200" s="124">
        <f t="shared" si="13"/>
        <v>0.45857638888888891</v>
      </c>
      <c r="AQ200" s="125">
        <v>0</v>
      </c>
      <c r="AR200" s="125">
        <v>0</v>
      </c>
      <c r="AS200" s="125">
        <v>0</v>
      </c>
      <c r="AT200" s="125">
        <v>0</v>
      </c>
    </row>
    <row r="201" spans="1:46">
      <c r="A201" s="118" t="s">
        <v>632</v>
      </c>
      <c r="B201" s="119">
        <v>8</v>
      </c>
      <c r="C201" s="119">
        <v>220</v>
      </c>
      <c r="D201" s="119">
        <v>220</v>
      </c>
      <c r="E201" s="119">
        <v>25.300899999999999</v>
      </c>
      <c r="F201" s="119">
        <v>25.005800000000001</v>
      </c>
      <c r="G201" s="119">
        <v>1459.4</v>
      </c>
      <c r="H201" s="119">
        <v>1458.39</v>
      </c>
      <c r="I201" s="119">
        <v>1459.55</v>
      </c>
      <c r="J201" s="119">
        <v>1458.76</v>
      </c>
      <c r="K201" s="119">
        <v>1459.13</v>
      </c>
      <c r="L201" s="119">
        <v>1459.11</v>
      </c>
      <c r="M201" s="119">
        <v>1458.56</v>
      </c>
      <c r="N201" s="119">
        <v>1458.96</v>
      </c>
      <c r="O201" s="119">
        <v>0.87066100000000002</v>
      </c>
      <c r="P201" s="119">
        <v>2501.4699999999998</v>
      </c>
      <c r="Q201" s="119">
        <v>2499.67</v>
      </c>
      <c r="R201" s="119">
        <v>2499.9</v>
      </c>
      <c r="S201" s="119">
        <v>2499.84</v>
      </c>
      <c r="T201" s="119">
        <v>2500.0500000000002</v>
      </c>
      <c r="U201" s="119">
        <v>2499.96</v>
      </c>
      <c r="V201" s="119">
        <v>2500.2600000000002</v>
      </c>
      <c r="W201" s="119">
        <v>2500.89</v>
      </c>
      <c r="X201" s="119">
        <v>210.1</v>
      </c>
      <c r="Y201" s="119">
        <v>1.9987600000000001</v>
      </c>
      <c r="Z201" s="119">
        <v>2.0009600000000001</v>
      </c>
      <c r="AA201" s="119">
        <v>1.99838</v>
      </c>
      <c r="AB201" s="119">
        <v>2.02582</v>
      </c>
      <c r="AC201" s="119">
        <v>1.9998100000000001</v>
      </c>
      <c r="AD201" s="119">
        <v>1.99566</v>
      </c>
      <c r="AE201" s="119">
        <v>1.99495</v>
      </c>
      <c r="AF201" s="119">
        <v>1.9976700000000001</v>
      </c>
      <c r="AG201" s="119" t="s">
        <v>633</v>
      </c>
      <c r="AH201" s="119" t="s">
        <v>173</v>
      </c>
      <c r="AI201" s="119">
        <v>100</v>
      </c>
      <c r="AJ201" s="119">
        <v>32.327593999999998</v>
      </c>
      <c r="AK201" s="119">
        <v>5741575</v>
      </c>
      <c r="AL201" s="119">
        <v>1.6150000095367001</v>
      </c>
      <c r="AN201" s="123">
        <f t="shared" si="12"/>
        <v>46251</v>
      </c>
      <c r="AO201" s="124">
        <f t="shared" si="13"/>
        <v>0.46785879629629629</v>
      </c>
      <c r="AQ201" s="125">
        <v>0</v>
      </c>
      <c r="AR201" s="125">
        <v>0</v>
      </c>
      <c r="AS201" s="125">
        <v>0</v>
      </c>
      <c r="AT201" s="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41661-A1C9-464B-B1C6-510962466B19}">
  <sheetPr codeName="Sheet3"/>
  <dimension ref="A1:EK96"/>
  <sheetViews>
    <sheetView zoomScale="90" zoomScaleNormal="90" workbookViewId="0">
      <pane xSplit="1" ySplit="1" topLeftCell="O2" activePane="bottomRight" state="frozen"/>
      <selection pane="bottomRight" activeCell="BD2" sqref="BD2"/>
      <selection pane="bottomLeft" activeCell="A2" sqref="A2"/>
      <selection pane="topRight" activeCell="B1" sqref="B1"/>
    </sheetView>
  </sheetViews>
  <sheetFormatPr defaultColWidth="15.7109375" defaultRowHeight="15"/>
  <cols>
    <col min="1" max="1" width="36" style="76" customWidth="1"/>
    <col min="2" max="2" width="19.5703125" style="41" bestFit="1" customWidth="1"/>
    <col min="3" max="32" width="15.7109375" style="41"/>
    <col min="33" max="33" width="34" style="76" customWidth="1"/>
    <col min="34" max="49" width="15.7109375" style="41"/>
    <col min="50" max="50" width="18" style="41" bestFit="1" customWidth="1"/>
    <col min="51" max="51" width="15.7109375" style="142"/>
    <col min="52" max="52" width="17.7109375" style="41" customWidth="1"/>
    <col min="53" max="53" width="32.7109375" style="41" bestFit="1" customWidth="1"/>
    <col min="54" max="54" width="10.7109375" style="41" bestFit="1" customWidth="1"/>
    <col min="55" max="55" width="8.7109375" style="41" bestFit="1" customWidth="1"/>
    <col min="56" max="56" width="11.28515625" style="41" bestFit="1" customWidth="1"/>
    <col min="57" max="57" width="11" style="41" bestFit="1" customWidth="1"/>
    <col min="58" max="58" width="12.7109375" style="41" bestFit="1" customWidth="1"/>
    <col min="59" max="59" width="12.28515625" style="41" bestFit="1" customWidth="1"/>
    <col min="60" max="60" width="13.85546875" style="41" bestFit="1" customWidth="1"/>
    <col min="61" max="61" width="16.28515625" style="41" bestFit="1" customWidth="1"/>
    <col min="62" max="62" width="11.28515625" style="41" bestFit="1" customWidth="1"/>
    <col min="63" max="64" width="20.28515625" style="41" bestFit="1" customWidth="1"/>
    <col min="65" max="66" width="23.5703125" style="41" bestFit="1" customWidth="1"/>
    <col min="67" max="67" width="15" style="41" bestFit="1" customWidth="1"/>
    <col min="68" max="68" width="24.42578125" style="41" bestFit="1" customWidth="1"/>
    <col min="69" max="69" width="10.28515625" style="41" bestFit="1" customWidth="1"/>
    <col min="70" max="70" width="12.42578125" style="41" bestFit="1" customWidth="1"/>
    <col min="71" max="71" width="23.140625" style="41" bestFit="1" customWidth="1"/>
    <col min="72" max="72" width="22" style="41" bestFit="1" customWidth="1"/>
    <col min="73" max="73" width="10.140625" style="41" bestFit="1" customWidth="1"/>
    <col min="74" max="74" width="9.85546875" style="41" bestFit="1" customWidth="1"/>
    <col min="75" max="75" width="11.28515625" style="41" bestFit="1" customWidth="1"/>
    <col min="76" max="76" width="10.140625" style="41" bestFit="1" customWidth="1"/>
    <col min="77" max="77" width="5.5703125" style="41" bestFit="1" customWidth="1"/>
    <col min="78" max="79" width="10.140625" style="41" bestFit="1" customWidth="1"/>
    <col min="80" max="80" width="10" style="41" bestFit="1" customWidth="1"/>
    <col min="81" max="81" width="6.85546875" style="41" bestFit="1" customWidth="1"/>
    <col min="82" max="82" width="10.140625" style="41" bestFit="1" customWidth="1"/>
    <col min="83" max="83" width="6.85546875" style="41" bestFit="1" customWidth="1"/>
    <col min="84" max="84" width="13.140625" style="41" bestFit="1" customWidth="1"/>
    <col min="85" max="88" width="20" style="41" bestFit="1" customWidth="1"/>
    <col min="89" max="89" width="10.140625" style="41" bestFit="1" customWidth="1"/>
    <col min="90" max="90" width="19.85546875" style="41" bestFit="1" customWidth="1"/>
    <col min="91" max="91" width="14.140625" style="41" customWidth="1"/>
    <col min="92" max="92" width="16.140625" style="41" customWidth="1"/>
    <col min="93" max="93" width="18.42578125" style="41" bestFit="1" customWidth="1"/>
    <col min="94" max="95" width="19.85546875" style="41" bestFit="1" customWidth="1"/>
    <col min="96" max="96" width="38.85546875" style="41" bestFit="1" customWidth="1"/>
    <col min="97" max="139" width="15.7109375" style="40"/>
    <col min="140" max="140" width="17" style="40" bestFit="1" customWidth="1"/>
    <col min="141" max="141" width="15.7109375" style="41"/>
    <col min="142" max="16384" width="15.7109375" style="40"/>
  </cols>
  <sheetData>
    <row r="1" spans="1:141" s="110" customFormat="1" ht="15.75">
      <c r="A1" s="109" t="s">
        <v>189</v>
      </c>
      <c r="B1" s="109" t="s">
        <v>190</v>
      </c>
      <c r="C1" s="109" t="s">
        <v>191</v>
      </c>
      <c r="D1" s="109" t="s">
        <v>192</v>
      </c>
      <c r="E1" s="109" t="s">
        <v>193</v>
      </c>
      <c r="F1" s="109" t="s">
        <v>194</v>
      </c>
      <c r="G1" s="109" t="s">
        <v>195</v>
      </c>
      <c r="H1" s="109" t="s">
        <v>196</v>
      </c>
      <c r="I1" s="109" t="s">
        <v>197</v>
      </c>
      <c r="J1" s="109" t="s">
        <v>198</v>
      </c>
      <c r="K1" s="109" t="s">
        <v>199</v>
      </c>
      <c r="L1" s="109" t="s">
        <v>200</v>
      </c>
      <c r="M1" s="109" t="s">
        <v>201</v>
      </c>
      <c r="N1" s="109" t="s">
        <v>202</v>
      </c>
      <c r="O1" s="109" t="s">
        <v>203</v>
      </c>
      <c r="P1" s="109" t="s">
        <v>204</v>
      </c>
      <c r="Q1" s="109" t="s">
        <v>205</v>
      </c>
      <c r="R1" s="109" t="s">
        <v>206</v>
      </c>
      <c r="S1" s="109" t="s">
        <v>207</v>
      </c>
      <c r="T1" s="109" t="s">
        <v>208</v>
      </c>
      <c r="U1" s="109" t="s">
        <v>209</v>
      </c>
      <c r="V1" s="109" t="s">
        <v>210</v>
      </c>
      <c r="W1" s="109" t="s">
        <v>211</v>
      </c>
      <c r="X1" s="109" t="s">
        <v>212</v>
      </c>
      <c r="Y1" s="109" t="s">
        <v>213</v>
      </c>
      <c r="Z1" s="109" t="s">
        <v>214</v>
      </c>
      <c r="AA1" s="109" t="s">
        <v>215</v>
      </c>
      <c r="AB1" s="109" t="s">
        <v>216</v>
      </c>
      <c r="AC1" s="109" t="s">
        <v>217</v>
      </c>
      <c r="AD1" s="109" t="s">
        <v>218</v>
      </c>
      <c r="AE1" s="109" t="s">
        <v>219</v>
      </c>
      <c r="AF1" s="109" t="s">
        <v>220</v>
      </c>
      <c r="AG1" s="109" t="s">
        <v>221</v>
      </c>
      <c r="AH1" s="109" t="s">
        <v>222</v>
      </c>
      <c r="AI1" s="109" t="s">
        <v>223</v>
      </c>
      <c r="AJ1" s="109" t="s">
        <v>224</v>
      </c>
      <c r="AK1" s="109" t="s">
        <v>225</v>
      </c>
      <c r="AL1" s="109" t="s">
        <v>226</v>
      </c>
      <c r="AM1" s="109" t="s">
        <v>229</v>
      </c>
      <c r="AN1" s="109" t="s">
        <v>230</v>
      </c>
      <c r="AO1" s="109" t="s">
        <v>231</v>
      </c>
      <c r="AP1" s="109" t="s">
        <v>232</v>
      </c>
      <c r="AQ1" s="109"/>
      <c r="AR1" s="109"/>
      <c r="AS1" s="109"/>
      <c r="AT1" s="109"/>
      <c r="AU1" s="109" t="s">
        <v>227</v>
      </c>
      <c r="AV1" s="109" t="s">
        <v>228</v>
      </c>
      <c r="AW1" s="109" t="s">
        <v>634</v>
      </c>
      <c r="AX1" s="109" t="s">
        <v>635</v>
      </c>
      <c r="AY1" s="142"/>
      <c r="AZ1" s="109"/>
      <c r="BA1" s="109"/>
      <c r="BB1" s="109" t="s">
        <v>9</v>
      </c>
      <c r="BC1" s="109" t="s">
        <v>10</v>
      </c>
      <c r="BD1" s="109" t="s">
        <v>11</v>
      </c>
      <c r="BE1" s="109" t="s">
        <v>12</v>
      </c>
      <c r="BF1" s="109" t="s">
        <v>13</v>
      </c>
      <c r="BG1" s="109" t="s">
        <v>14</v>
      </c>
      <c r="BH1" s="109" t="s">
        <v>15</v>
      </c>
      <c r="BI1" s="109" t="s">
        <v>16</v>
      </c>
      <c r="BJ1" s="109" t="s">
        <v>17</v>
      </c>
      <c r="BK1" s="109" t="s">
        <v>18</v>
      </c>
      <c r="BL1" s="109" t="s">
        <v>19</v>
      </c>
      <c r="BM1" s="109" t="s">
        <v>20</v>
      </c>
      <c r="BN1" s="109" t="s">
        <v>75</v>
      </c>
      <c r="BO1" s="109" t="s">
        <v>22</v>
      </c>
      <c r="BP1" s="109" t="s">
        <v>23</v>
      </c>
      <c r="BQ1" s="109" t="s">
        <v>24</v>
      </c>
      <c r="BR1" s="109" t="s">
        <v>25</v>
      </c>
      <c r="BS1" s="109" t="s">
        <v>26</v>
      </c>
      <c r="BT1" s="109" t="s">
        <v>27</v>
      </c>
      <c r="BU1" s="109" t="s">
        <v>28</v>
      </c>
      <c r="BV1" s="109" t="s">
        <v>29</v>
      </c>
      <c r="BW1" s="109" t="s">
        <v>30</v>
      </c>
      <c r="BX1" s="109" t="s">
        <v>636</v>
      </c>
      <c r="BY1" s="109" t="s">
        <v>637</v>
      </c>
      <c r="BZ1" s="109" t="s">
        <v>638</v>
      </c>
      <c r="CA1" s="109" t="s">
        <v>639</v>
      </c>
      <c r="CB1" s="109" t="s">
        <v>640</v>
      </c>
      <c r="CC1" s="109" t="s">
        <v>641</v>
      </c>
      <c r="CD1" s="109" t="s">
        <v>642</v>
      </c>
      <c r="CE1" s="109" t="s">
        <v>643</v>
      </c>
      <c r="CF1" s="109" t="s">
        <v>76</v>
      </c>
      <c r="CG1" s="109" t="s">
        <v>77</v>
      </c>
      <c r="CH1" s="109" t="s">
        <v>78</v>
      </c>
      <c r="CI1" s="109" t="s">
        <v>79</v>
      </c>
      <c r="CJ1" s="109" t="s">
        <v>80</v>
      </c>
      <c r="CK1" s="109" t="s">
        <v>644</v>
      </c>
      <c r="CL1" s="109" t="s">
        <v>645</v>
      </c>
      <c r="CM1" s="109" t="s">
        <v>7</v>
      </c>
      <c r="CN1" s="109" t="s">
        <v>646</v>
      </c>
      <c r="CO1" s="109" t="s">
        <v>647</v>
      </c>
      <c r="CP1" s="109" t="s">
        <v>648</v>
      </c>
      <c r="CQ1" s="109" t="s">
        <v>649</v>
      </c>
      <c r="CR1" s="109" t="s">
        <v>158</v>
      </c>
      <c r="EH1" s="110" t="s">
        <v>650</v>
      </c>
      <c r="EI1" s="110" t="s">
        <v>651</v>
      </c>
      <c r="EJ1" s="110" t="s">
        <v>652</v>
      </c>
      <c r="EK1" s="109" t="s">
        <v>653</v>
      </c>
    </row>
    <row r="2" spans="1:141">
      <c r="A2" s="76" t="s">
        <v>654</v>
      </c>
      <c r="B2" s="144">
        <v>1</v>
      </c>
      <c r="C2" s="41">
        <v>210.1</v>
      </c>
      <c r="D2" s="41">
        <v>210</v>
      </c>
      <c r="E2" s="41">
        <v>25.0825</v>
      </c>
      <c r="F2" s="41">
        <v>25.050599999999999</v>
      </c>
      <c r="G2" s="41">
        <v>1685.88</v>
      </c>
      <c r="H2" s="41">
        <v>1686.14</v>
      </c>
      <c r="I2" s="41">
        <v>1686.11</v>
      </c>
      <c r="J2" s="41">
        <v>1686.89</v>
      </c>
      <c r="K2" s="41">
        <v>1685.24</v>
      </c>
      <c r="L2" s="41">
        <v>1685.76</v>
      </c>
      <c r="M2" s="41">
        <v>1685.08</v>
      </c>
      <c r="N2" s="41">
        <v>1685.35</v>
      </c>
      <c r="O2" s="41">
        <v>1.1612</v>
      </c>
      <c r="P2" s="41">
        <v>2500</v>
      </c>
      <c r="Q2" s="41">
        <v>2500.31</v>
      </c>
      <c r="R2" s="41">
        <v>2499.5300000000002</v>
      </c>
      <c r="S2" s="41">
        <v>2500.12</v>
      </c>
      <c r="T2" s="41">
        <v>2500.37</v>
      </c>
      <c r="U2" s="41">
        <v>2500.52</v>
      </c>
      <c r="V2" s="41">
        <v>2499.64</v>
      </c>
      <c r="W2" s="41">
        <v>2500.4899999999998</v>
      </c>
      <c r="X2" s="41">
        <v>209.8</v>
      </c>
      <c r="Y2" s="41">
        <v>2.0103800000000001</v>
      </c>
      <c r="Z2" s="41">
        <v>2.0081799999999999</v>
      </c>
      <c r="AA2" s="41">
        <v>2.0094099999999999</v>
      </c>
      <c r="AB2" s="41">
        <v>1.9791700000000001</v>
      </c>
      <c r="AC2" s="41">
        <v>2.0104099999999998</v>
      </c>
      <c r="AD2" s="41">
        <v>2.00644</v>
      </c>
      <c r="AE2" s="41">
        <v>2.0110000000000001</v>
      </c>
      <c r="AF2" s="41">
        <v>2.0005999999999999</v>
      </c>
      <c r="AG2" s="76" t="s">
        <v>655</v>
      </c>
      <c r="AH2" s="41" t="s">
        <v>173</v>
      </c>
      <c r="AI2" s="41">
        <v>41.172452</v>
      </c>
      <c r="AJ2" s="41">
        <v>37.760489999999997</v>
      </c>
      <c r="AK2" s="41">
        <v>6706490</v>
      </c>
      <c r="AL2" s="41">
        <v>1.6183333396912001</v>
      </c>
      <c r="AM2" s="41">
        <v>58.827548</v>
      </c>
      <c r="AN2" s="41">
        <v>53.952506999999997</v>
      </c>
      <c r="AO2" s="41">
        <v>257479475</v>
      </c>
      <c r="AP2" s="41">
        <v>4</v>
      </c>
      <c r="AQ2" s="113"/>
      <c r="AR2" s="113">
        <f>(AO2-5710532)/(4716081)</f>
        <v>53.385203307576781</v>
      </c>
      <c r="AS2" s="113">
        <f>(AK2-180057)/(179209)</f>
        <v>36.417997980012167</v>
      </c>
      <c r="AT2" s="225"/>
      <c r="AU2" s="106">
        <f>DATEVALUE(SUBSTITUTE(LEFT(A2,10),".","/"))</f>
        <v>46248</v>
      </c>
      <c r="AV2" s="107">
        <f>TIMEVALUE(RIGHT(A2,8))</f>
        <v>0.90052083333333333</v>
      </c>
      <c r="AW2" s="106">
        <f>DATEVALUE(SUBSTITUTE(LEFT(AG2,10),".","/"))</f>
        <v>46248</v>
      </c>
      <c r="AX2" s="107">
        <f>TIMEVALUE(RIGHT(AG2,8))</f>
        <v>0.97175925925925921</v>
      </c>
      <c r="AY2" s="142">
        <v>46248</v>
      </c>
      <c r="AZ2" s="116">
        <v>0.90053240740740736</v>
      </c>
      <c r="BA2" s="41" t="s">
        <v>656</v>
      </c>
      <c r="BB2" s="41">
        <v>0</v>
      </c>
      <c r="BC2" s="41">
        <v>0</v>
      </c>
      <c r="BD2" s="41">
        <v>0.117733</v>
      </c>
      <c r="BE2" s="41">
        <v>1.648836</v>
      </c>
      <c r="BF2" s="41">
        <v>0.54999600000000004</v>
      </c>
      <c r="BG2" s="41">
        <v>12.49423</v>
      </c>
      <c r="BH2" s="41">
        <v>7.5639050000000001</v>
      </c>
      <c r="BI2" s="41">
        <v>0</v>
      </c>
      <c r="BJ2" s="41">
        <v>17.332419999999999</v>
      </c>
      <c r="BK2" s="41">
        <v>7.7424860000000004</v>
      </c>
      <c r="BL2" s="41">
        <v>3.727007</v>
      </c>
      <c r="BM2" s="41">
        <v>0.81059400000000004</v>
      </c>
      <c r="BN2" s="41">
        <v>3.882E-2</v>
      </c>
      <c r="BO2" s="41">
        <v>0.353294</v>
      </c>
      <c r="BP2" s="41">
        <v>0.66711100000000001</v>
      </c>
      <c r="BQ2" s="41">
        <v>0</v>
      </c>
      <c r="BR2" s="41">
        <v>15.871069</v>
      </c>
      <c r="BS2" s="41">
        <v>13.507695</v>
      </c>
      <c r="BT2" s="41">
        <v>1.3295669999999999</v>
      </c>
      <c r="BU2" s="41">
        <v>1.140245</v>
      </c>
      <c r="BV2" s="41">
        <v>0</v>
      </c>
      <c r="BW2" s="41">
        <v>13.552277</v>
      </c>
      <c r="BX2" s="41">
        <v>0.52962900000000002</v>
      </c>
      <c r="BY2" s="41">
        <v>0</v>
      </c>
      <c r="BZ2" s="41">
        <v>0.213448</v>
      </c>
      <c r="CA2" s="41">
        <v>3.1008999999999998E-2</v>
      </c>
      <c r="CB2" s="41">
        <v>0</v>
      </c>
      <c r="CC2" s="41">
        <v>0</v>
      </c>
      <c r="CD2" s="41">
        <v>4.0806000000000002E-2</v>
      </c>
      <c r="CE2" s="41">
        <v>0</v>
      </c>
      <c r="CF2" s="41">
        <v>3.9426000000000003E-2</v>
      </c>
      <c r="CG2" s="41">
        <v>0</v>
      </c>
      <c r="CH2" s="41">
        <v>0</v>
      </c>
      <c r="CI2" s="41">
        <v>0.16939100000000001</v>
      </c>
      <c r="CJ2" s="41">
        <v>0.108001</v>
      </c>
      <c r="CK2" s="41">
        <v>0.42105199999999998</v>
      </c>
      <c r="CL2" s="41">
        <v>83.912093999999996</v>
      </c>
      <c r="CM2" s="41">
        <v>16.147189999999998</v>
      </c>
      <c r="CN2" s="41">
        <v>42.555553000000003</v>
      </c>
      <c r="CO2" s="41">
        <v>41.119297000000003</v>
      </c>
      <c r="CP2" s="41">
        <v>89.028351000000001</v>
      </c>
      <c r="CQ2" s="41">
        <v>0.66420599999999996</v>
      </c>
      <c r="EH2" s="41">
        <v>88</v>
      </c>
      <c r="EK2" s="41">
        <v>50</v>
      </c>
    </row>
    <row r="3" spans="1:141">
      <c r="A3" s="76" t="s">
        <v>657</v>
      </c>
      <c r="B3" s="144">
        <v>2</v>
      </c>
      <c r="C3" s="41">
        <v>210</v>
      </c>
      <c r="D3" s="41">
        <v>210</v>
      </c>
      <c r="E3" s="41">
        <v>25.0246</v>
      </c>
      <c r="F3" s="41">
        <v>25.026</v>
      </c>
      <c r="G3" s="41">
        <v>1694.05</v>
      </c>
      <c r="H3" s="41">
        <v>1693.54</v>
      </c>
      <c r="I3" s="41">
        <v>1693.93</v>
      </c>
      <c r="J3" s="41">
        <v>1693.96</v>
      </c>
      <c r="K3" s="41">
        <v>1694.26</v>
      </c>
      <c r="L3" s="41">
        <v>1693.83</v>
      </c>
      <c r="M3" s="41">
        <v>1693.35</v>
      </c>
      <c r="N3" s="41">
        <v>1692.78</v>
      </c>
      <c r="O3" s="41">
        <v>1.1873499999999999</v>
      </c>
      <c r="P3" s="41">
        <v>2500.4299999999998</v>
      </c>
      <c r="Q3" s="41">
        <v>2500.11</v>
      </c>
      <c r="R3" s="41">
        <v>2499.2199999999998</v>
      </c>
      <c r="S3" s="41">
        <v>2499.81</v>
      </c>
      <c r="T3" s="41">
        <v>2499.6</v>
      </c>
      <c r="U3" s="41">
        <v>2499.46</v>
      </c>
      <c r="V3" s="41">
        <v>2499.5</v>
      </c>
      <c r="W3" s="41">
        <v>2500.3200000000002</v>
      </c>
      <c r="X3" s="41">
        <v>210.1</v>
      </c>
      <c r="Y3" s="41">
        <v>2.00509</v>
      </c>
      <c r="Z3" s="41">
        <v>2.0096599999999998</v>
      </c>
      <c r="AA3" s="41">
        <v>2.0085700000000002</v>
      </c>
      <c r="AB3" s="41">
        <v>2.0201600000000002</v>
      </c>
      <c r="AC3" s="41">
        <v>2.0078800000000001</v>
      </c>
      <c r="AD3" s="41">
        <v>2.01031</v>
      </c>
      <c r="AE3" s="41">
        <v>2.0118</v>
      </c>
      <c r="AF3" s="41">
        <v>2.0000900000000001</v>
      </c>
      <c r="AG3" s="76" t="s">
        <v>658</v>
      </c>
      <c r="AH3" s="41" t="s">
        <v>173</v>
      </c>
      <c r="AI3" s="41">
        <v>39.392843999999997</v>
      </c>
      <c r="AJ3" s="41">
        <v>35.565789000000002</v>
      </c>
      <c r="AK3" s="41">
        <v>6316698</v>
      </c>
      <c r="AL3" s="41">
        <v>1.6183333396912001</v>
      </c>
      <c r="AM3" s="41">
        <v>60.607156000000003</v>
      </c>
      <c r="AN3" s="41">
        <v>54.719107999999999</v>
      </c>
      <c r="AO3" s="41">
        <v>261137956</v>
      </c>
      <c r="AP3" s="41">
        <v>3.9980000000000002</v>
      </c>
      <c r="AR3" s="113">
        <f t="shared" ref="AR3:AR66" si="0">(AO3-5710532)/(4716081)</f>
        <v>54.160949313635619</v>
      </c>
      <c r="AS3" s="113">
        <f t="shared" ref="AS3:AS66" si="1">(AK3-180057)/(179209)</f>
        <v>34.242928647556766</v>
      </c>
      <c r="AT3" s="225"/>
      <c r="AU3" s="106">
        <f>DATEVALUE(SUBSTITUTE(LEFT(A3,10),".","/"))</f>
        <v>46248</v>
      </c>
      <c r="AV3" s="107">
        <f>TIMEVALUE(RIGHT(A3,8))</f>
        <v>0.9866435185185185</v>
      </c>
      <c r="AW3" s="106">
        <f t="shared" ref="AW3:AW5" si="2">DATEVALUE(SUBSTITUTE(LEFT(AG3,10),".","/"))</f>
        <v>46249</v>
      </c>
      <c r="AX3" s="107">
        <f t="shared" ref="AX3:AX5" si="3">TIMEVALUE(RIGHT(AG3,8))</f>
        <v>5.7893518518518518E-2</v>
      </c>
      <c r="AY3" s="142">
        <v>46248</v>
      </c>
      <c r="AZ3" s="116">
        <v>0.98666666666666669</v>
      </c>
      <c r="BA3" s="41" t="s">
        <v>659</v>
      </c>
      <c r="BB3" s="41">
        <v>0</v>
      </c>
      <c r="BC3" s="41">
        <v>0</v>
      </c>
      <c r="BD3" s="41">
        <v>0.96496899999999997</v>
      </c>
      <c r="BE3" s="41">
        <v>2.1318109999999999</v>
      </c>
      <c r="BF3" s="41">
        <v>2.8010999999999999</v>
      </c>
      <c r="BG3" s="41">
        <v>12.247928999999999</v>
      </c>
      <c r="BH3" s="41">
        <v>8.2972959999999993</v>
      </c>
      <c r="BI3" s="41">
        <v>0</v>
      </c>
      <c r="BJ3" s="41">
        <v>15.944094</v>
      </c>
      <c r="BK3" s="41">
        <v>7.9538500000000001</v>
      </c>
      <c r="BL3" s="41">
        <v>4.2854809999999999</v>
      </c>
      <c r="BM3" s="41">
        <v>1.14805</v>
      </c>
      <c r="BN3" s="41">
        <v>0.12595100000000001</v>
      </c>
      <c r="BO3" s="41">
        <v>0.34955599999999998</v>
      </c>
      <c r="BP3" s="41">
        <v>0.66688899999999995</v>
      </c>
      <c r="BQ3" s="41">
        <v>0</v>
      </c>
      <c r="BR3" s="41">
        <v>11.79993</v>
      </c>
      <c r="BS3" s="41">
        <v>14.601998999999999</v>
      </c>
      <c r="BT3" s="41">
        <v>2.7172719999999999</v>
      </c>
      <c r="BU3" s="41">
        <v>1.1207260000000001</v>
      </c>
      <c r="BV3" s="41">
        <v>0</v>
      </c>
      <c r="BW3" s="41">
        <v>9.7499680000000009</v>
      </c>
      <c r="BX3" s="41">
        <v>0.93377699999999997</v>
      </c>
      <c r="BY3" s="41">
        <v>0</v>
      </c>
      <c r="BZ3" s="41">
        <v>0.11980399999999999</v>
      </c>
      <c r="CA3" s="41">
        <v>1.2434000000000001E-2</v>
      </c>
      <c r="CB3" s="41">
        <v>0</v>
      </c>
      <c r="CC3" s="41">
        <v>0</v>
      </c>
      <c r="CD3" s="41">
        <v>8.7180000000000001E-3</v>
      </c>
      <c r="CE3" s="41">
        <v>0</v>
      </c>
      <c r="CF3" s="41">
        <v>2.7466000000000001E-2</v>
      </c>
      <c r="CG3" s="41">
        <v>0</v>
      </c>
      <c r="CH3" s="41">
        <v>0</v>
      </c>
      <c r="CI3" s="41">
        <v>0.65412599999999999</v>
      </c>
      <c r="CJ3" s="41">
        <v>0.13954</v>
      </c>
      <c r="CK3" s="41">
        <v>1.196871</v>
      </c>
      <c r="CL3" s="41">
        <v>84.334548999999996</v>
      </c>
      <c r="CM3" s="41">
        <v>15.998863</v>
      </c>
      <c r="CN3" s="41">
        <v>49.881214</v>
      </c>
      <c r="CO3" s="41">
        <v>47.755909000000003</v>
      </c>
      <c r="CP3" s="41">
        <v>86.532341000000002</v>
      </c>
      <c r="CQ3" s="41">
        <v>0.66672900000000002</v>
      </c>
      <c r="EH3" s="41">
        <v>88</v>
      </c>
      <c r="EK3" s="41">
        <v>50</v>
      </c>
    </row>
    <row r="4" spans="1:141">
      <c r="A4" s="76" t="s">
        <v>660</v>
      </c>
      <c r="B4" s="144">
        <v>4</v>
      </c>
      <c r="C4" s="41">
        <v>210</v>
      </c>
      <c r="D4" s="41">
        <v>209.9</v>
      </c>
      <c r="E4" s="41">
        <v>25.202500000000001</v>
      </c>
      <c r="F4" s="41">
        <v>25.040500000000002</v>
      </c>
      <c r="G4" s="41">
        <v>1684.62</v>
      </c>
      <c r="H4" s="41">
        <v>1684.13</v>
      </c>
      <c r="I4" s="41">
        <v>1683.81</v>
      </c>
      <c r="J4" s="41">
        <v>1684.53</v>
      </c>
      <c r="K4" s="41">
        <v>1684.41</v>
      </c>
      <c r="L4" s="41">
        <v>1684.7</v>
      </c>
      <c r="M4" s="41">
        <v>1684.02</v>
      </c>
      <c r="N4" s="41">
        <v>1684.22</v>
      </c>
      <c r="O4" s="41">
        <v>1.1666000000000001</v>
      </c>
      <c r="P4" s="41">
        <v>2501.06</v>
      </c>
      <c r="Q4" s="41">
        <v>2499.48</v>
      </c>
      <c r="R4" s="41">
        <v>2499.65</v>
      </c>
      <c r="S4" s="41">
        <v>2499.81</v>
      </c>
      <c r="T4" s="41">
        <v>2500.1</v>
      </c>
      <c r="U4" s="41">
        <v>2498.9899999999998</v>
      </c>
      <c r="V4" s="41">
        <v>2500.3000000000002</v>
      </c>
      <c r="W4" s="41">
        <v>2499.85</v>
      </c>
      <c r="X4" s="41">
        <v>209.9</v>
      </c>
      <c r="Y4" s="41">
        <v>2.01057</v>
      </c>
      <c r="Z4" s="41">
        <v>2.0128599999999999</v>
      </c>
      <c r="AA4" s="41">
        <v>2.0100699999999998</v>
      </c>
      <c r="AB4" s="41">
        <v>2.0213000000000001</v>
      </c>
      <c r="AC4" s="41">
        <v>2.00942</v>
      </c>
      <c r="AD4" s="41">
        <v>2.0054099999999999</v>
      </c>
      <c r="AE4" s="41">
        <v>2.01187</v>
      </c>
      <c r="AF4" s="41">
        <v>1.9998899999999999</v>
      </c>
      <c r="AG4" s="76" t="s">
        <v>661</v>
      </c>
      <c r="AH4" s="41" t="s">
        <v>173</v>
      </c>
      <c r="AI4" s="41">
        <v>41.662090999999997</v>
      </c>
      <c r="AJ4" s="41">
        <v>39.229747000000003</v>
      </c>
      <c r="AK4" s="41">
        <v>6967439</v>
      </c>
      <c r="AL4" s="41">
        <v>1.6033333539962999</v>
      </c>
      <c r="AM4" s="41">
        <v>58.337909000000003</v>
      </c>
      <c r="AN4" s="41">
        <v>54.931986000000002</v>
      </c>
      <c r="AO4" s="41">
        <v>262153880</v>
      </c>
      <c r="AP4" s="41">
        <v>3.9830000000000001</v>
      </c>
      <c r="AR4" s="113">
        <f t="shared" si="0"/>
        <v>54.376366309230058</v>
      </c>
      <c r="AS4" s="113">
        <f t="shared" si="1"/>
        <v>37.87411346528355</v>
      </c>
      <c r="AT4" s="225"/>
      <c r="AU4" s="106">
        <f>DATEVALUE(SUBSTITUTE(LEFT(A4,10),".","/"))</f>
        <v>46249</v>
      </c>
      <c r="AV4" s="107">
        <f>TIMEVALUE(RIGHT(A4,8))</f>
        <v>0.14554398148148148</v>
      </c>
      <c r="AW4" s="106">
        <f t="shared" si="2"/>
        <v>46249</v>
      </c>
      <c r="AX4" s="107">
        <f t="shared" si="3"/>
        <v>0.21681712962962962</v>
      </c>
      <c r="AY4" s="142">
        <v>46249</v>
      </c>
      <c r="AZ4" s="116">
        <v>0.13466435185185185</v>
      </c>
      <c r="BA4" s="41" t="s">
        <v>662</v>
      </c>
      <c r="BB4" s="113">
        <v>0</v>
      </c>
      <c r="BC4" s="113">
        <v>0</v>
      </c>
      <c r="BD4" s="113">
        <v>3.6563150000000002</v>
      </c>
      <c r="BE4" s="113">
        <v>3.0091649999999999</v>
      </c>
      <c r="BF4" s="113">
        <v>9.2094529999999999</v>
      </c>
      <c r="BG4" s="113">
        <v>12.324524</v>
      </c>
      <c r="BH4" s="113">
        <v>9.9392019999999999</v>
      </c>
      <c r="BI4" s="113">
        <v>0</v>
      </c>
      <c r="BJ4" s="113">
        <v>14.654422</v>
      </c>
      <c r="BK4" s="113">
        <v>8.0395509999999994</v>
      </c>
      <c r="BL4" s="113">
        <v>4.882085</v>
      </c>
      <c r="BM4" s="113">
        <v>2.072654</v>
      </c>
      <c r="BN4" s="113">
        <v>0.31417800000000001</v>
      </c>
      <c r="BO4" s="113">
        <v>0.333287</v>
      </c>
      <c r="BP4" s="113">
        <v>0.62290900000000005</v>
      </c>
      <c r="BQ4" s="113">
        <v>0</v>
      </c>
      <c r="BR4" s="113">
        <v>8.2447949999999999</v>
      </c>
      <c r="BS4" s="113">
        <v>12.515216000000001</v>
      </c>
      <c r="BT4" s="113">
        <v>3.3846910000000001</v>
      </c>
      <c r="BU4" s="113">
        <v>1.0394859999999999</v>
      </c>
      <c r="BV4" s="113">
        <v>0</v>
      </c>
      <c r="BW4" s="113">
        <v>3.48935</v>
      </c>
      <c r="BX4" s="113">
        <v>0.69187600000000005</v>
      </c>
      <c r="BY4" s="113">
        <v>0</v>
      </c>
      <c r="BZ4" s="113">
        <v>0.116462</v>
      </c>
      <c r="CA4" s="113">
        <v>3.4810000000000002E-3</v>
      </c>
      <c r="CB4" s="113">
        <v>0</v>
      </c>
      <c r="CC4" s="113">
        <v>0</v>
      </c>
      <c r="CD4" s="113">
        <v>0</v>
      </c>
      <c r="CE4" s="113">
        <v>0</v>
      </c>
      <c r="CF4" s="113">
        <v>2.3191E-2</v>
      </c>
      <c r="CG4" s="113">
        <v>0</v>
      </c>
      <c r="CH4" s="113">
        <v>0</v>
      </c>
      <c r="CI4" s="113">
        <v>1.1784410000000001</v>
      </c>
      <c r="CJ4" s="113">
        <v>9.5112000000000002E-2</v>
      </c>
      <c r="CK4" s="113">
        <v>0.134432</v>
      </c>
      <c r="CL4" s="41">
        <v>84.151840000000007</v>
      </c>
      <c r="CM4" s="113">
        <v>16.266411000000002</v>
      </c>
      <c r="CN4" s="113">
        <v>61.039814</v>
      </c>
      <c r="CO4" s="113">
        <v>59.608891</v>
      </c>
      <c r="CP4" s="113">
        <v>79.391730999999993</v>
      </c>
      <c r="CQ4" s="113">
        <v>0.631436</v>
      </c>
      <c r="CR4" s="113"/>
      <c r="EH4" s="41">
        <v>88</v>
      </c>
      <c r="EK4" s="41">
        <v>50</v>
      </c>
    </row>
    <row r="5" spans="1:141">
      <c r="A5" s="76" t="s">
        <v>663</v>
      </c>
      <c r="B5" s="41">
        <v>5</v>
      </c>
      <c r="C5" s="41">
        <v>210</v>
      </c>
      <c r="D5" s="41">
        <v>210</v>
      </c>
      <c r="E5" s="41">
        <v>25.036200000000001</v>
      </c>
      <c r="F5" s="41">
        <v>25.014500000000002</v>
      </c>
      <c r="G5" s="41">
        <v>1717.1</v>
      </c>
      <c r="H5" s="41">
        <v>1717.61</v>
      </c>
      <c r="I5" s="41">
        <v>1717.57</v>
      </c>
      <c r="J5" s="41">
        <v>1717.02</v>
      </c>
      <c r="K5" s="41">
        <v>1717.39</v>
      </c>
      <c r="L5" s="41">
        <v>1717.27</v>
      </c>
      <c r="M5" s="41">
        <v>1718.5</v>
      </c>
      <c r="N5" s="41">
        <v>1716.89</v>
      </c>
      <c r="O5" s="41">
        <v>1.12558</v>
      </c>
      <c r="P5" s="41">
        <v>2499.8000000000002</v>
      </c>
      <c r="Q5" s="41">
        <v>2499.34</v>
      </c>
      <c r="R5" s="41">
        <v>2499.38</v>
      </c>
      <c r="S5" s="41">
        <v>2499.54</v>
      </c>
      <c r="T5" s="41">
        <v>2500.1799999999998</v>
      </c>
      <c r="U5" s="41">
        <v>2500.2199999999998</v>
      </c>
      <c r="V5" s="41">
        <v>2500.46</v>
      </c>
      <c r="W5" s="41">
        <v>2501.09</v>
      </c>
      <c r="X5" s="41">
        <v>210.1</v>
      </c>
      <c r="Y5" s="41">
        <v>2.0087000000000002</v>
      </c>
      <c r="Z5" s="41">
        <v>2.0064700000000002</v>
      </c>
      <c r="AA5" s="41">
        <v>2.00861</v>
      </c>
      <c r="AB5" s="41">
        <v>2.00787</v>
      </c>
      <c r="AC5" s="41">
        <v>2.0065400000000002</v>
      </c>
      <c r="AD5" s="41">
        <v>2.0086200000000001</v>
      </c>
      <c r="AE5" s="41">
        <v>2.0069400000000002</v>
      </c>
      <c r="AF5" s="41">
        <v>1.9976400000000001</v>
      </c>
      <c r="AG5" s="76" t="s">
        <v>664</v>
      </c>
      <c r="AH5" s="41" t="s">
        <v>173</v>
      </c>
      <c r="AI5" s="41">
        <v>40.788651000000002</v>
      </c>
      <c r="AJ5" s="41">
        <v>36.943990999999997</v>
      </c>
      <c r="AK5" s="41">
        <v>6561475</v>
      </c>
      <c r="AL5" s="41">
        <v>1.6183333396912001</v>
      </c>
      <c r="AM5" s="41">
        <v>59.211348999999998</v>
      </c>
      <c r="AN5" s="41">
        <v>53.630201</v>
      </c>
      <c r="AO5" s="41">
        <v>255941326</v>
      </c>
      <c r="AP5" s="41">
        <v>4.0030000000000001</v>
      </c>
      <c r="AR5" s="113">
        <f t="shared" si="0"/>
        <v>53.059053481057681</v>
      </c>
      <c r="AS5" s="113">
        <f t="shared" si="1"/>
        <v>35.60880312930712</v>
      </c>
      <c r="AT5" s="225"/>
      <c r="AU5" s="106">
        <f>DATEVALUE(SUBSTITUTE(LEFT(A5,10),".","/"))</f>
        <v>46249</v>
      </c>
      <c r="AV5" s="107">
        <f>TIMEVALUE(RIGHT(A5,8))</f>
        <v>0.23167824074074075</v>
      </c>
      <c r="AW5" s="106">
        <f t="shared" si="2"/>
        <v>46249</v>
      </c>
      <c r="AX5" s="107">
        <f t="shared" si="3"/>
        <v>0.30292824074074076</v>
      </c>
      <c r="AY5" s="142">
        <v>46249</v>
      </c>
      <c r="AZ5" s="116">
        <v>0.23168981481481482</v>
      </c>
      <c r="BA5" s="41" t="s">
        <v>665</v>
      </c>
      <c r="BB5" s="41">
        <v>0</v>
      </c>
      <c r="BC5" s="41">
        <v>0</v>
      </c>
      <c r="BD5" s="41">
        <v>0.20530100000000001</v>
      </c>
      <c r="BE5" s="41">
        <v>1.7189350000000001</v>
      </c>
      <c r="BF5" s="41">
        <v>0.87150300000000003</v>
      </c>
      <c r="BG5" s="41">
        <v>12.507391</v>
      </c>
      <c r="BH5" s="41">
        <v>7.7711880000000004</v>
      </c>
      <c r="BI5" s="41">
        <v>0</v>
      </c>
      <c r="BJ5" s="41">
        <v>17.251335000000001</v>
      </c>
      <c r="BK5" s="41">
        <v>7.6537699999999997</v>
      </c>
      <c r="BL5" s="41">
        <v>3.8489819999999999</v>
      </c>
      <c r="BM5" s="41">
        <v>0.91143300000000005</v>
      </c>
      <c r="BN5" s="41">
        <v>7.6337000000000002E-2</v>
      </c>
      <c r="BO5" s="41">
        <v>0.343391</v>
      </c>
      <c r="BP5" s="41">
        <v>0.65946000000000005</v>
      </c>
      <c r="BQ5" s="41">
        <v>0</v>
      </c>
      <c r="BR5" s="41">
        <v>15.488009999999999</v>
      </c>
      <c r="BS5" s="41">
        <v>13.259613</v>
      </c>
      <c r="BT5" s="41">
        <v>1.6532100000000001</v>
      </c>
      <c r="BU5" s="41">
        <v>1.117982</v>
      </c>
      <c r="BV5" s="41">
        <v>0</v>
      </c>
      <c r="BW5" s="41">
        <v>12.805923999999999</v>
      </c>
      <c r="BX5" s="41">
        <v>0.71525799999999995</v>
      </c>
      <c r="BY5" s="41">
        <v>0</v>
      </c>
      <c r="BZ5" s="41">
        <v>0.19068099999999999</v>
      </c>
      <c r="CA5" s="41">
        <v>3.2294999999999997E-2</v>
      </c>
      <c r="CB5" s="41">
        <v>0</v>
      </c>
      <c r="CC5" s="41">
        <v>0</v>
      </c>
      <c r="CD5" s="41">
        <v>3.3640999999999997E-2</v>
      </c>
      <c r="CE5" s="41">
        <v>0</v>
      </c>
      <c r="CF5" s="41">
        <v>2.8982000000000001E-2</v>
      </c>
      <c r="CG5" s="41">
        <v>3.1080000000000001E-3</v>
      </c>
      <c r="CH5" s="41">
        <v>0</v>
      </c>
      <c r="CI5" s="41">
        <v>0.31634200000000001</v>
      </c>
      <c r="CJ5" s="41">
        <v>0.14357900000000001</v>
      </c>
      <c r="CK5" s="41">
        <v>0.39190199999999997</v>
      </c>
      <c r="CL5" s="41">
        <v>83.987762000000004</v>
      </c>
      <c r="CM5" s="41">
        <v>16.131312999999999</v>
      </c>
      <c r="CN5" s="41">
        <v>43.795586</v>
      </c>
      <c r="CO5" s="41">
        <v>42.239913999999999</v>
      </c>
      <c r="CP5" s="41">
        <v>88.617660999999998</v>
      </c>
      <c r="CQ5" s="41">
        <v>0.66390700000000002</v>
      </c>
      <c r="EH5" s="41">
        <v>88</v>
      </c>
      <c r="EK5" s="41">
        <v>50</v>
      </c>
    </row>
    <row r="6" spans="1:141">
      <c r="A6" s="76" t="s">
        <v>666</v>
      </c>
      <c r="B6" s="41">
        <v>6</v>
      </c>
      <c r="C6" s="41">
        <v>210</v>
      </c>
      <c r="D6" s="41">
        <v>210</v>
      </c>
      <c r="E6" s="41">
        <v>25.157699999999998</v>
      </c>
      <c r="F6" s="41">
        <v>25.044799999999999</v>
      </c>
      <c r="G6" s="41">
        <v>1711.8</v>
      </c>
      <c r="H6" s="41">
        <v>1712.19</v>
      </c>
      <c r="I6" s="41">
        <v>1711.2</v>
      </c>
      <c r="J6" s="41">
        <v>1712.75</v>
      </c>
      <c r="K6" s="41">
        <v>1710.76</v>
      </c>
      <c r="L6" s="41">
        <v>1710.82</v>
      </c>
      <c r="M6" s="41">
        <v>1711.81</v>
      </c>
      <c r="N6" s="41">
        <v>1711.2</v>
      </c>
      <c r="O6" s="41">
        <v>1.1493</v>
      </c>
      <c r="P6" s="41">
        <v>2499.7600000000002</v>
      </c>
      <c r="Q6" s="41">
        <v>2500.0500000000002</v>
      </c>
      <c r="R6" s="41">
        <v>2500.19</v>
      </c>
      <c r="S6" s="41">
        <v>2500.1799999999998</v>
      </c>
      <c r="T6" s="41">
        <v>2500.1999999999998</v>
      </c>
      <c r="U6" s="41">
        <v>2500.19</v>
      </c>
      <c r="V6" s="41">
        <v>2500.84</v>
      </c>
      <c r="W6" s="41">
        <v>2501.36</v>
      </c>
      <c r="X6" s="41">
        <v>210.1</v>
      </c>
      <c r="Y6" s="41">
        <v>2.0098799999999999</v>
      </c>
      <c r="Z6" s="41">
        <v>2.0116999999999998</v>
      </c>
      <c r="AA6" s="41">
        <v>2.0099300000000002</v>
      </c>
      <c r="AB6" s="41">
        <v>1.99089</v>
      </c>
      <c r="AC6" s="41">
        <v>2.0083199999999999</v>
      </c>
      <c r="AD6" s="41">
        <v>2.0100600000000002</v>
      </c>
      <c r="AE6" s="41">
        <v>2.00691</v>
      </c>
      <c r="AF6" s="41">
        <v>2.0005199999999999</v>
      </c>
      <c r="AG6" s="76" t="s">
        <v>667</v>
      </c>
      <c r="AH6" s="41" t="s">
        <v>173</v>
      </c>
      <c r="AI6" s="41">
        <v>39.613227999999999</v>
      </c>
      <c r="AJ6" s="41">
        <v>35.785111999999998</v>
      </c>
      <c r="AK6" s="41">
        <v>6355651</v>
      </c>
      <c r="AL6" s="41">
        <v>1.6183333396912001</v>
      </c>
      <c r="AM6" s="41">
        <v>60.386772000000001</v>
      </c>
      <c r="AN6" s="41">
        <v>54.551155000000001</v>
      </c>
      <c r="AO6" s="41">
        <v>260336428</v>
      </c>
      <c r="AP6" s="41">
        <v>4</v>
      </c>
      <c r="AR6" s="113">
        <f t="shared" si="0"/>
        <v>53.990992945201747</v>
      </c>
      <c r="AS6" s="113">
        <f t="shared" si="1"/>
        <v>34.460289382787693</v>
      </c>
      <c r="AT6" s="225"/>
      <c r="AU6" s="106">
        <f t="shared" ref="AU6:AU7" si="4">DATEVALUE(SUBSTITUTE(LEFT(A6,10),".","/"))</f>
        <v>46249</v>
      </c>
      <c r="AV6" s="107">
        <f t="shared" ref="AV6:AV7" si="5">TIMEVALUE(RIGHT(A6,8))</f>
        <v>0.3178009259259259</v>
      </c>
      <c r="AW6" s="106">
        <f t="shared" ref="AW6:AW7" si="6">DATEVALUE(SUBSTITUTE(LEFT(AG6,10),".","/"))</f>
        <v>46249</v>
      </c>
      <c r="AX6" s="107">
        <f t="shared" ref="AX6:AX7" si="7">TIMEVALUE(RIGHT(AG6,8))</f>
        <v>0.38905092592592594</v>
      </c>
      <c r="AY6" s="142">
        <v>46249</v>
      </c>
      <c r="AZ6" s="116">
        <v>0.31782407407407409</v>
      </c>
      <c r="BA6" s="41" t="s">
        <v>668</v>
      </c>
      <c r="BB6" s="41">
        <v>0</v>
      </c>
      <c r="BC6" s="41">
        <v>0</v>
      </c>
      <c r="BD6" s="41">
        <v>1.1567430000000001</v>
      </c>
      <c r="BE6" s="41">
        <v>2.1001150000000002</v>
      </c>
      <c r="BF6" s="41">
        <v>3.2061169999999999</v>
      </c>
      <c r="BG6" s="41">
        <v>11.205260000000001</v>
      </c>
      <c r="BH6" s="41">
        <v>7.8337190000000003</v>
      </c>
      <c r="BI6" s="41">
        <v>0</v>
      </c>
      <c r="BJ6" s="41">
        <v>14.211055999999999</v>
      </c>
      <c r="BK6" s="41">
        <v>7.3242609999999999</v>
      </c>
      <c r="BL6" s="41">
        <v>4.1389699999999996</v>
      </c>
      <c r="BM6" s="41">
        <v>1.130574</v>
      </c>
      <c r="BN6" s="41">
        <v>0.181862</v>
      </c>
      <c r="BO6" s="41">
        <v>0.30902800000000002</v>
      </c>
      <c r="BP6" s="41">
        <v>0.61808099999999999</v>
      </c>
      <c r="BQ6" s="41">
        <v>0</v>
      </c>
      <c r="BR6" s="41">
        <v>9.6298139999999997</v>
      </c>
      <c r="BS6" s="41">
        <v>13.640889</v>
      </c>
      <c r="BT6" s="41">
        <v>2.7094450000000001</v>
      </c>
      <c r="BU6" s="41">
        <v>1.0145770000000001</v>
      </c>
      <c r="BV6" s="41">
        <v>0</v>
      </c>
      <c r="BW6" s="41">
        <v>7.7984499999999999</v>
      </c>
      <c r="BX6" s="41">
        <v>0.92594900000000002</v>
      </c>
      <c r="BY6" s="41">
        <v>0</v>
      </c>
      <c r="BZ6" s="41">
        <v>0.101372</v>
      </c>
      <c r="CA6" s="41">
        <v>6.8970000000000004E-3</v>
      </c>
      <c r="CB6" s="41">
        <v>0</v>
      </c>
      <c r="CC6" s="41">
        <v>0</v>
      </c>
      <c r="CD6" s="41">
        <v>5.6290000000000003E-3</v>
      </c>
      <c r="CE6" s="41">
        <v>0</v>
      </c>
      <c r="CF6" s="41">
        <v>2.0705000000000001E-2</v>
      </c>
      <c r="CG6" s="41">
        <v>0</v>
      </c>
      <c r="CH6" s="41">
        <v>0</v>
      </c>
      <c r="CI6" s="41">
        <v>0.936365</v>
      </c>
      <c r="CJ6" s="41">
        <v>0.13175300000000001</v>
      </c>
      <c r="CK6" s="41">
        <v>9.6623649999999994</v>
      </c>
      <c r="CL6" s="41">
        <v>86.702606000000003</v>
      </c>
      <c r="CM6" s="41">
        <v>14.59291</v>
      </c>
      <c r="CN6" s="41">
        <v>47.544170000000001</v>
      </c>
      <c r="CO6" s="41">
        <v>46.194629999999997</v>
      </c>
      <c r="CP6" s="41">
        <v>88.948279999999997</v>
      </c>
      <c r="CQ6" s="41">
        <v>0.64920199999999995</v>
      </c>
      <c r="EH6" s="41"/>
    </row>
    <row r="7" spans="1:141">
      <c r="A7" s="76" t="s">
        <v>669</v>
      </c>
      <c r="B7" s="41">
        <v>7</v>
      </c>
      <c r="C7" s="41">
        <v>210</v>
      </c>
      <c r="D7" s="41">
        <v>210</v>
      </c>
      <c r="E7" s="41">
        <v>25.052099999999999</v>
      </c>
      <c r="F7" s="41">
        <v>25.026</v>
      </c>
      <c r="G7" s="41">
        <v>1713.89</v>
      </c>
      <c r="H7" s="41">
        <v>1714.55</v>
      </c>
      <c r="I7" s="41">
        <v>1714.31</v>
      </c>
      <c r="J7" s="41">
        <v>1714.57</v>
      </c>
      <c r="K7" s="41">
        <v>1714.58</v>
      </c>
      <c r="L7" s="41">
        <v>1714.66</v>
      </c>
      <c r="M7" s="41">
        <v>1714.7</v>
      </c>
      <c r="N7" s="41">
        <v>1714.62</v>
      </c>
      <c r="O7" s="41">
        <v>1.1512100000000001</v>
      </c>
      <c r="P7" s="41">
        <v>2499.75</v>
      </c>
      <c r="Q7" s="41">
        <v>2500.37</v>
      </c>
      <c r="R7" s="41">
        <v>2499.2199999999998</v>
      </c>
      <c r="S7" s="41">
        <v>2499.73</v>
      </c>
      <c r="T7" s="41">
        <v>2499.69</v>
      </c>
      <c r="U7" s="41">
        <v>2500.4699999999998</v>
      </c>
      <c r="V7" s="41">
        <v>2500.16</v>
      </c>
      <c r="W7" s="41">
        <v>2500.7600000000002</v>
      </c>
      <c r="X7" s="41">
        <v>210.1</v>
      </c>
      <c r="Y7" s="41">
        <v>2.0071099999999999</v>
      </c>
      <c r="Z7" s="41">
        <v>2.0057299999999998</v>
      </c>
      <c r="AA7" s="41">
        <v>2.0108100000000002</v>
      </c>
      <c r="AB7" s="41">
        <v>2.0219100000000001</v>
      </c>
      <c r="AC7" s="41">
        <v>2.01064</v>
      </c>
      <c r="AD7" s="41">
        <v>2.0066600000000001</v>
      </c>
      <c r="AE7" s="41">
        <v>2.0092099999999999</v>
      </c>
      <c r="AF7" s="41">
        <v>1.99898</v>
      </c>
      <c r="AG7" s="76" t="s">
        <v>670</v>
      </c>
      <c r="AH7" s="41" t="s">
        <v>173</v>
      </c>
      <c r="AI7" s="41">
        <v>39.663348999999997</v>
      </c>
      <c r="AJ7" s="41">
        <v>35.54119</v>
      </c>
      <c r="AK7" s="41">
        <v>6312329</v>
      </c>
      <c r="AL7" s="41">
        <v>1.6166666746139999</v>
      </c>
      <c r="AM7" s="41">
        <v>60.336651000000003</v>
      </c>
      <c r="AN7" s="41">
        <v>54.065942</v>
      </c>
      <c r="AO7" s="41">
        <v>258020828</v>
      </c>
      <c r="AP7" s="41">
        <v>4</v>
      </c>
      <c r="AR7" s="113">
        <f t="shared" si="0"/>
        <v>53.499992048482625</v>
      </c>
      <c r="AS7" s="113">
        <f t="shared" si="1"/>
        <v>34.218549291609236</v>
      </c>
      <c r="AT7" s="225"/>
      <c r="AU7" s="106">
        <f t="shared" si="4"/>
        <v>46249</v>
      </c>
      <c r="AV7" s="107">
        <f t="shared" si="5"/>
        <v>0.40393518518518517</v>
      </c>
      <c r="AW7" s="106">
        <f t="shared" si="6"/>
        <v>46249</v>
      </c>
      <c r="AX7" s="107">
        <f t="shared" si="7"/>
        <v>0.47517361111111112</v>
      </c>
      <c r="AY7" s="142">
        <v>46249</v>
      </c>
      <c r="AZ7" s="116">
        <v>0.40395833333333331</v>
      </c>
      <c r="BA7" s="41" t="s">
        <v>671</v>
      </c>
      <c r="BB7" s="41">
        <v>0</v>
      </c>
      <c r="BC7" s="41">
        <v>0</v>
      </c>
      <c r="BD7" s="41">
        <v>3.472496</v>
      </c>
      <c r="BE7" s="41">
        <v>3.0058060000000002</v>
      </c>
      <c r="BF7" s="41">
        <v>8.5716180000000008</v>
      </c>
      <c r="BG7" s="41">
        <v>12.330336000000001</v>
      </c>
      <c r="BH7" s="41">
        <v>9.8895400000000002</v>
      </c>
      <c r="BI7" s="41">
        <v>0</v>
      </c>
      <c r="BJ7" s="41">
        <v>14.522765</v>
      </c>
      <c r="BK7" s="41">
        <v>8.1806319999999992</v>
      </c>
      <c r="BL7" s="41">
        <v>4.9510259999999997</v>
      </c>
      <c r="BM7" s="41">
        <v>2.0083989999999998</v>
      </c>
      <c r="BN7" s="41">
        <v>0.298678</v>
      </c>
      <c r="BO7" s="41">
        <v>0.334372</v>
      </c>
      <c r="BP7" s="41">
        <v>0.65134700000000001</v>
      </c>
      <c r="BQ7" s="41">
        <v>0</v>
      </c>
      <c r="BR7" s="41">
        <v>8.1193570000000008</v>
      </c>
      <c r="BS7" s="41">
        <v>13.008637</v>
      </c>
      <c r="BT7" s="41">
        <v>3.4695659999999999</v>
      </c>
      <c r="BU7" s="41">
        <v>1.0743100000000001</v>
      </c>
      <c r="BV7" s="41">
        <v>0</v>
      </c>
      <c r="BW7" s="41">
        <v>3.8193769999999998</v>
      </c>
      <c r="BX7" s="41">
        <v>0.706148</v>
      </c>
      <c r="BY7" s="41">
        <v>0</v>
      </c>
      <c r="BZ7" s="41">
        <v>0.106878</v>
      </c>
      <c r="CA7" s="41">
        <v>2.5490000000000001E-3</v>
      </c>
      <c r="CB7" s="41">
        <v>0</v>
      </c>
      <c r="CC7" s="41">
        <v>0</v>
      </c>
      <c r="CD7" s="41">
        <v>0</v>
      </c>
      <c r="CE7" s="41">
        <v>0</v>
      </c>
      <c r="CF7" s="41">
        <v>2.1658E-2</v>
      </c>
      <c r="CG7" s="41">
        <v>0</v>
      </c>
      <c r="CH7" s="41">
        <v>0</v>
      </c>
      <c r="CI7" s="41">
        <v>1.165435</v>
      </c>
      <c r="CJ7" s="41">
        <v>0.100525</v>
      </c>
      <c r="CK7" s="41">
        <v>0.18753</v>
      </c>
      <c r="CL7" s="41">
        <v>84.173041999999995</v>
      </c>
      <c r="CM7" s="41">
        <v>16.254766</v>
      </c>
      <c r="CN7" s="41">
        <v>60.666373999999998</v>
      </c>
      <c r="CO7" s="41">
        <v>59.068134000000001</v>
      </c>
      <c r="CP7" s="41">
        <v>79.864814999999993</v>
      </c>
      <c r="CQ7" s="41">
        <v>0.63239000000000001</v>
      </c>
      <c r="EH7" s="41"/>
    </row>
    <row r="8" spans="1:141">
      <c r="A8" s="76" t="s">
        <v>672</v>
      </c>
      <c r="B8" s="41">
        <v>8</v>
      </c>
      <c r="C8" s="41">
        <v>210</v>
      </c>
      <c r="D8" s="41">
        <v>210</v>
      </c>
      <c r="E8" s="41">
        <v>25.037600000000001</v>
      </c>
      <c r="F8" s="41">
        <v>25.033300000000001</v>
      </c>
      <c r="G8" s="41">
        <v>1709.25</v>
      </c>
      <c r="H8" s="41">
        <v>1708.04</v>
      </c>
      <c r="I8" s="41">
        <v>1708.47</v>
      </c>
      <c r="J8" s="41">
        <v>1707.89</v>
      </c>
      <c r="K8" s="41">
        <v>1708.95</v>
      </c>
      <c r="L8" s="41">
        <v>1708.25</v>
      </c>
      <c r="M8" s="41">
        <v>1708.79</v>
      </c>
      <c r="N8" s="41">
        <v>1709.05</v>
      </c>
      <c r="O8" s="41">
        <v>1.1006800000000001</v>
      </c>
      <c r="P8" s="41">
        <v>2500.12</v>
      </c>
      <c r="Q8" s="41">
        <v>2499.62</v>
      </c>
      <c r="R8" s="41">
        <v>2499.77</v>
      </c>
      <c r="S8" s="41">
        <v>2500.64</v>
      </c>
      <c r="T8" s="41">
        <v>2499.6999999999998</v>
      </c>
      <c r="U8" s="41">
        <v>2500.1799999999998</v>
      </c>
      <c r="V8" s="41">
        <v>2499.46</v>
      </c>
      <c r="W8" s="41">
        <v>1999.24</v>
      </c>
      <c r="X8" s="41">
        <v>210</v>
      </c>
      <c r="Y8" s="41">
        <v>2.0101200000000001</v>
      </c>
      <c r="Z8" s="41">
        <v>2.0110100000000002</v>
      </c>
      <c r="AA8" s="41">
        <v>2.0106899999999999</v>
      </c>
      <c r="AB8" s="41">
        <v>1.9886600000000001</v>
      </c>
      <c r="AC8" s="41">
        <v>2.0068299999999999</v>
      </c>
      <c r="AD8" s="41">
        <v>2.0055100000000001</v>
      </c>
      <c r="AE8" s="41">
        <v>2.0086200000000001</v>
      </c>
      <c r="AF8" s="41">
        <v>2.0015800000000001</v>
      </c>
      <c r="AG8" s="76" t="s">
        <v>673</v>
      </c>
      <c r="AH8" s="41" t="s">
        <v>173</v>
      </c>
      <c r="AI8" s="41">
        <v>45.520834999999998</v>
      </c>
      <c r="AJ8" s="41">
        <v>40.944481000000003</v>
      </c>
      <c r="AK8" s="41">
        <v>7271986</v>
      </c>
      <c r="AL8" s="41">
        <v>1.6200001239777</v>
      </c>
      <c r="AM8" s="41">
        <v>54.479165000000002</v>
      </c>
      <c r="AN8" s="41">
        <v>49.002200000000002</v>
      </c>
      <c r="AO8" s="41">
        <v>233854952</v>
      </c>
      <c r="AP8" s="41">
        <v>4.008</v>
      </c>
      <c r="AR8" s="113">
        <f t="shared" si="0"/>
        <v>48.375848506418784</v>
      </c>
      <c r="AS8" s="113">
        <f t="shared" si="1"/>
        <v>39.573509142955992</v>
      </c>
      <c r="AT8" s="225"/>
      <c r="AU8" s="106">
        <f t="shared" ref="AU8" si="8">DATEVALUE(SUBSTITUTE(LEFT(A8,10),".","/"))</f>
        <v>46249</v>
      </c>
      <c r="AV8" s="107">
        <f t="shared" ref="AV8" si="9">TIMEVALUE(RIGHT(A8,8))</f>
        <v>0.49005787037037035</v>
      </c>
      <c r="AW8" s="106">
        <f t="shared" ref="AW8" si="10">DATEVALUE(SUBSTITUTE(LEFT(AG8,10),".","/"))</f>
        <v>46249</v>
      </c>
      <c r="AX8" s="107">
        <f t="shared" ref="AX8" si="11">TIMEVALUE(RIGHT(AG8,8))</f>
        <v>0.56138888888888894</v>
      </c>
      <c r="AY8" s="142">
        <v>46249</v>
      </c>
      <c r="AZ8" s="116">
        <v>0.49009259259259258</v>
      </c>
      <c r="BA8" s="41" t="s">
        <v>674</v>
      </c>
      <c r="BB8" s="41">
        <v>0</v>
      </c>
      <c r="BC8" s="41">
        <v>0</v>
      </c>
      <c r="BD8" s="41">
        <v>4.2157E-2</v>
      </c>
      <c r="BE8" s="41">
        <v>1.6064830000000001</v>
      </c>
      <c r="BF8" s="41">
        <v>0.28731299999999999</v>
      </c>
      <c r="BG8" s="41">
        <v>12.603419000000001</v>
      </c>
      <c r="BH8" s="41">
        <v>7.4215</v>
      </c>
      <c r="BI8" s="115">
        <v>0</v>
      </c>
      <c r="BJ8" s="41">
        <v>17.568247</v>
      </c>
      <c r="BK8" s="41">
        <v>7.8868710000000002</v>
      </c>
      <c r="BL8" s="41">
        <v>3.632107</v>
      </c>
      <c r="BM8" s="115">
        <v>0.70879599999999998</v>
      </c>
      <c r="BN8" s="41">
        <v>1.6095000000000002E-2</v>
      </c>
      <c r="BO8" s="41">
        <v>0.30768699999999999</v>
      </c>
      <c r="BP8" s="41">
        <v>0.66336700000000004</v>
      </c>
      <c r="BQ8" s="41">
        <v>0</v>
      </c>
      <c r="BR8" s="41">
        <v>16.227018000000001</v>
      </c>
      <c r="BS8" s="41">
        <v>13.778930000000001</v>
      </c>
      <c r="BT8" s="41">
        <v>0.94803700000000002</v>
      </c>
      <c r="BU8" s="41">
        <v>0.98449900000000001</v>
      </c>
      <c r="BV8" s="115">
        <v>0</v>
      </c>
      <c r="BW8" s="41">
        <v>13.977783000000001</v>
      </c>
      <c r="BX8" s="41">
        <v>0.48474400000000001</v>
      </c>
      <c r="BY8" s="41">
        <v>0</v>
      </c>
      <c r="BZ8" s="41">
        <v>0.18692800000000001</v>
      </c>
      <c r="CA8" s="41">
        <v>1.8429000000000001E-2</v>
      </c>
      <c r="CB8" s="115">
        <v>0</v>
      </c>
      <c r="CC8" s="41">
        <v>0</v>
      </c>
      <c r="CD8" s="41">
        <v>0</v>
      </c>
      <c r="CE8" s="41">
        <v>0</v>
      </c>
      <c r="CF8" s="41">
        <v>0</v>
      </c>
      <c r="CG8" s="115">
        <v>3.3335999999999998E-2</v>
      </c>
      <c r="CH8" s="41">
        <v>5.0859000000000001E-2</v>
      </c>
      <c r="CI8" s="41">
        <v>0.16158800000000001</v>
      </c>
      <c r="CJ8" s="41">
        <v>0.216423</v>
      </c>
      <c r="CK8" s="41">
        <v>0.219027</v>
      </c>
      <c r="CL8" s="41">
        <v>83.885200999999995</v>
      </c>
      <c r="CM8" s="115">
        <v>16.155719999999999</v>
      </c>
      <c r="CN8" s="41">
        <v>41.324261</v>
      </c>
      <c r="CO8" s="41">
        <v>39.993828000000001</v>
      </c>
      <c r="CP8" s="41">
        <v>89.279633000000004</v>
      </c>
      <c r="CQ8" s="41">
        <v>0.66459299999999999</v>
      </c>
      <c r="EH8" s="41"/>
    </row>
    <row r="9" spans="1:141" s="1" customFormat="1">
      <c r="A9" s="76" t="s">
        <v>675</v>
      </c>
      <c r="B9" s="41">
        <v>1</v>
      </c>
      <c r="C9" s="41">
        <v>220</v>
      </c>
      <c r="D9" s="41">
        <v>220</v>
      </c>
      <c r="E9" s="41">
        <v>25.3371</v>
      </c>
      <c r="F9" s="2">
        <v>25</v>
      </c>
      <c r="G9" s="2">
        <v>1431.59</v>
      </c>
      <c r="H9" s="2">
        <v>1432.05</v>
      </c>
      <c r="I9" s="2">
        <v>1431.74</v>
      </c>
      <c r="J9" s="2">
        <v>1430.83</v>
      </c>
      <c r="K9" s="2">
        <v>1431.77</v>
      </c>
      <c r="L9" s="2">
        <v>1431.58</v>
      </c>
      <c r="M9" s="2">
        <v>1430.91</v>
      </c>
      <c r="N9" s="2">
        <v>1431.15</v>
      </c>
      <c r="O9" s="2">
        <v>0.89216200000000001</v>
      </c>
      <c r="P9" s="2">
        <v>2501.2199999999998</v>
      </c>
      <c r="Q9" s="2">
        <v>2498.66</v>
      </c>
      <c r="R9" s="2">
        <v>2500.21</v>
      </c>
      <c r="S9" s="2">
        <v>2500.29</v>
      </c>
      <c r="T9" s="2">
        <v>2499.9899999999998</v>
      </c>
      <c r="U9" s="2">
        <v>2499.21</v>
      </c>
      <c r="V9" s="2">
        <v>2498.1999999999998</v>
      </c>
      <c r="W9" s="2">
        <v>2500.48</v>
      </c>
      <c r="X9" s="2">
        <v>209.9</v>
      </c>
      <c r="Y9" s="2">
        <v>1.99804</v>
      </c>
      <c r="Z9" s="2">
        <v>1.9981100000000001</v>
      </c>
      <c r="AA9" s="2">
        <v>1.9987999999999999</v>
      </c>
      <c r="AB9" s="2">
        <v>2.0178500000000001</v>
      </c>
      <c r="AC9" s="2">
        <v>1.99874</v>
      </c>
      <c r="AD9" s="2">
        <v>2.0001699999999998</v>
      </c>
      <c r="AE9" s="2">
        <v>1.9970600000000001</v>
      </c>
      <c r="AF9" s="2">
        <v>1.9977400000000001</v>
      </c>
      <c r="AG9" s="76" t="s">
        <v>676</v>
      </c>
      <c r="AH9" s="2" t="s">
        <v>173</v>
      </c>
      <c r="AI9" s="2">
        <v>36.963043999999996</v>
      </c>
      <c r="AJ9" s="2">
        <v>33.704794</v>
      </c>
      <c r="AK9" s="2">
        <v>5986174</v>
      </c>
      <c r="AL9" s="2">
        <v>1.6150000095367001</v>
      </c>
      <c r="AM9" s="2">
        <v>63.036956000000004</v>
      </c>
      <c r="AN9" s="2">
        <v>57.480319000000001</v>
      </c>
      <c r="AO9" s="2">
        <v>274315381</v>
      </c>
      <c r="AP9" s="2">
        <v>3.968</v>
      </c>
      <c r="AQ9" s="2"/>
      <c r="AR9" s="113">
        <f t="shared" si="0"/>
        <v>56.955096615176878</v>
      </c>
      <c r="AS9" s="113">
        <f t="shared" si="1"/>
        <v>32.398579312422925</v>
      </c>
      <c r="AT9" s="225"/>
      <c r="AU9" s="140">
        <f t="shared" ref="AU9:AU17" si="12">DATEVALUE(SUBSTITUTE(LEFT(A9,10),".","/"))</f>
        <v>46251</v>
      </c>
      <c r="AV9" s="141">
        <f t="shared" ref="AV9:AV17" si="13">TIMEVALUE(RIGHT(A9,8))</f>
        <v>0.58864583333333331</v>
      </c>
      <c r="AW9" s="140">
        <f t="shared" ref="AW9:AW17" si="14">DATEVALUE(SUBSTITUTE(LEFT(AG9,10),".","/"))</f>
        <v>46251</v>
      </c>
      <c r="AX9" s="141">
        <f t="shared" ref="AX9:AX17" si="15">TIMEVALUE(RIGHT(AG9,8))</f>
        <v>0.65989583333333335</v>
      </c>
      <c r="AY9" s="142">
        <v>46251</v>
      </c>
      <c r="AZ9" s="138">
        <v>0.58868055555555554</v>
      </c>
      <c r="BA9" s="2" t="s">
        <v>677</v>
      </c>
      <c r="BB9" s="2">
        <v>0</v>
      </c>
      <c r="BC9" s="2">
        <v>0</v>
      </c>
      <c r="BD9" s="2">
        <v>0.28497</v>
      </c>
      <c r="BE9" s="2">
        <v>1.8188960000000001</v>
      </c>
      <c r="BF9" s="2">
        <v>1.0557529999999999</v>
      </c>
      <c r="BG9" s="2">
        <v>12.831334999999999</v>
      </c>
      <c r="BH9" s="2">
        <v>7.9914630000000004</v>
      </c>
      <c r="BI9" s="2">
        <v>0</v>
      </c>
      <c r="BJ9" s="2">
        <v>17.402657999999999</v>
      </c>
      <c r="BK9" s="2">
        <v>7.7180580000000001</v>
      </c>
      <c r="BL9" s="2">
        <v>3.9618440000000001</v>
      </c>
      <c r="BM9" s="2">
        <v>1.020448</v>
      </c>
      <c r="BN9" s="2">
        <v>8.0764000000000002E-2</v>
      </c>
      <c r="BO9" s="2">
        <v>0.33352500000000002</v>
      </c>
      <c r="BP9" s="2">
        <v>0.67296599999999995</v>
      </c>
      <c r="BQ9" s="2">
        <v>0</v>
      </c>
      <c r="BR9" s="2">
        <v>15.10768</v>
      </c>
      <c r="BS9" s="2">
        <v>13.079929</v>
      </c>
      <c r="BT9" s="2">
        <v>2.044778</v>
      </c>
      <c r="BU9" s="2">
        <v>1.0899319999999999</v>
      </c>
      <c r="BV9" s="2">
        <v>0</v>
      </c>
      <c r="BW9" s="2">
        <v>11.798962</v>
      </c>
      <c r="BX9" s="2">
        <v>0.69670600000000005</v>
      </c>
      <c r="BY9" s="2">
        <v>0</v>
      </c>
      <c r="BZ9" s="2">
        <v>0.141872</v>
      </c>
      <c r="CA9" s="2">
        <v>2.2949000000000001E-2</v>
      </c>
      <c r="CB9" s="2">
        <v>0</v>
      </c>
      <c r="CC9" s="2">
        <v>0</v>
      </c>
      <c r="CD9" s="2">
        <v>0</v>
      </c>
      <c r="CE9" s="2">
        <v>0</v>
      </c>
      <c r="CF9" s="2">
        <v>5.6127000000000003E-2</v>
      </c>
      <c r="CG9" s="2">
        <v>2.643E-3</v>
      </c>
      <c r="CH9" s="2">
        <v>0</v>
      </c>
      <c r="CI9" s="2">
        <v>5.2779E-2</v>
      </c>
      <c r="CJ9" s="2">
        <v>7.7681E-2</v>
      </c>
      <c r="CK9" s="2">
        <v>0.17940400000000001</v>
      </c>
      <c r="CL9" s="2">
        <v>83.759521000000007</v>
      </c>
      <c r="CM9" s="2">
        <v>16.227293</v>
      </c>
      <c r="CN9" s="2">
        <v>45.273257999999998</v>
      </c>
      <c r="CO9" s="2">
        <v>43.404808000000003</v>
      </c>
      <c r="CP9" s="2">
        <v>87.936049999999994</v>
      </c>
      <c r="CQ9" s="2">
        <v>0.66015299999999999</v>
      </c>
      <c r="CR9" s="2"/>
      <c r="EH9" s="2"/>
      <c r="EK9" s="2"/>
    </row>
    <row r="10" spans="1:141">
      <c r="A10" s="76" t="s">
        <v>678</v>
      </c>
      <c r="B10" s="41">
        <v>2</v>
      </c>
      <c r="C10" s="41">
        <v>220</v>
      </c>
      <c r="D10" s="41">
        <v>220</v>
      </c>
      <c r="E10" s="41">
        <v>25.079599999999999</v>
      </c>
      <c r="F10" s="41">
        <v>24.989899999999999</v>
      </c>
      <c r="G10" s="41">
        <v>1395.34</v>
      </c>
      <c r="H10" s="41">
        <v>1395.29</v>
      </c>
      <c r="I10" s="41">
        <v>1394.96</v>
      </c>
      <c r="J10" s="41">
        <v>1393.68</v>
      </c>
      <c r="K10" s="41">
        <v>1394.99</v>
      </c>
      <c r="L10" s="41">
        <v>1394.6</v>
      </c>
      <c r="M10" s="41">
        <v>1395.09</v>
      </c>
      <c r="N10" s="41">
        <v>1395.85</v>
      </c>
      <c r="O10" s="41">
        <v>0.94766600000000001</v>
      </c>
      <c r="P10" s="41">
        <v>2500.08</v>
      </c>
      <c r="Q10" s="41">
        <v>2499.92</v>
      </c>
      <c r="R10" s="41">
        <v>2499.83</v>
      </c>
      <c r="S10" s="41">
        <v>2499.5</v>
      </c>
      <c r="T10" s="41">
        <v>2499.75</v>
      </c>
      <c r="U10" s="41">
        <v>2499.46</v>
      </c>
      <c r="V10" s="41">
        <v>2500.42</v>
      </c>
      <c r="W10" s="41">
        <v>2499.56</v>
      </c>
      <c r="X10" s="41">
        <v>210.1</v>
      </c>
      <c r="Y10" s="41">
        <v>2.0018600000000002</v>
      </c>
      <c r="Z10" s="41">
        <v>2.0024099999999998</v>
      </c>
      <c r="AA10" s="41">
        <v>2.00074</v>
      </c>
      <c r="AB10" s="41">
        <v>1.98872</v>
      </c>
      <c r="AC10" s="41">
        <v>2.0005600000000001</v>
      </c>
      <c r="AD10" s="41">
        <v>2.0036800000000001</v>
      </c>
      <c r="AE10" s="41">
        <v>1.99946</v>
      </c>
      <c r="AF10" s="41">
        <v>2.00034</v>
      </c>
      <c r="AG10" s="76" t="s">
        <v>679</v>
      </c>
      <c r="AH10" s="41" t="s">
        <v>173</v>
      </c>
      <c r="AI10" s="41">
        <v>34.459743000000003</v>
      </c>
      <c r="AJ10" s="41">
        <v>30.608519000000001</v>
      </c>
      <c r="AK10" s="41">
        <v>5436257</v>
      </c>
      <c r="AL10" s="41">
        <v>1.6133333444594999</v>
      </c>
      <c r="AM10" s="41">
        <v>65.540256999999997</v>
      </c>
      <c r="AN10" s="41">
        <v>58.215471999999998</v>
      </c>
      <c r="AO10" s="41">
        <v>277823777</v>
      </c>
      <c r="AP10" s="41">
        <v>3.968</v>
      </c>
      <c r="AR10" s="113">
        <f t="shared" si="0"/>
        <v>57.699018528307718</v>
      </c>
      <c r="AS10" s="113">
        <f t="shared" si="1"/>
        <v>29.330000167402307</v>
      </c>
      <c r="AT10" s="225"/>
      <c r="AU10" s="106">
        <f t="shared" si="12"/>
        <v>46251</v>
      </c>
      <c r="AV10" s="107">
        <f t="shared" si="13"/>
        <v>0.67476851851851849</v>
      </c>
      <c r="AW10" s="106">
        <f t="shared" si="14"/>
        <v>46251</v>
      </c>
      <c r="AX10" s="107">
        <f t="shared" si="15"/>
        <v>0.74600694444444449</v>
      </c>
      <c r="AY10" s="142">
        <v>46251</v>
      </c>
      <c r="AZ10" s="116">
        <v>0.67481481481481487</v>
      </c>
      <c r="BA10" s="41" t="s">
        <v>680</v>
      </c>
      <c r="BB10" s="41">
        <v>0</v>
      </c>
      <c r="BC10" s="41">
        <v>0</v>
      </c>
      <c r="BD10" s="41">
        <v>2.6753930000000001</v>
      </c>
      <c r="BE10" s="41">
        <v>2.7982990000000001</v>
      </c>
      <c r="BF10" s="41">
        <v>6.2163409999999999</v>
      </c>
      <c r="BG10" s="41">
        <v>12.047641</v>
      </c>
      <c r="BH10" s="41">
        <v>9.1805029999999999</v>
      </c>
      <c r="BI10" s="41">
        <v>0</v>
      </c>
      <c r="BJ10" s="41">
        <v>14.330909999999999</v>
      </c>
      <c r="BK10" s="41">
        <v>8.0653760000000005</v>
      </c>
      <c r="BL10" s="41">
        <v>4.715255</v>
      </c>
      <c r="BM10" s="41">
        <v>1.620711</v>
      </c>
      <c r="BN10" s="41">
        <v>0.25745600000000002</v>
      </c>
      <c r="BO10" s="41">
        <v>0.32272499999999998</v>
      </c>
      <c r="BP10" s="41">
        <v>0.65449500000000005</v>
      </c>
      <c r="BQ10" s="41">
        <v>0</v>
      </c>
      <c r="BR10" s="41">
        <v>8.5096889999999998</v>
      </c>
      <c r="BS10" s="41">
        <v>13.338917</v>
      </c>
      <c r="BT10" s="41">
        <v>3.1507830000000001</v>
      </c>
      <c r="BU10" s="41">
        <v>1.0504070000000001</v>
      </c>
      <c r="BV10" s="41">
        <v>0</v>
      </c>
      <c r="BW10" s="41">
        <v>5.6656649999999997</v>
      </c>
      <c r="BX10" s="41">
        <v>0.82028299999999998</v>
      </c>
      <c r="BY10" s="41">
        <v>0</v>
      </c>
      <c r="BZ10" s="41">
        <v>8.9526999999999995E-2</v>
      </c>
      <c r="CA10" s="41">
        <v>1.928E-3</v>
      </c>
      <c r="CB10" s="41">
        <v>0</v>
      </c>
      <c r="CC10" s="41">
        <v>0</v>
      </c>
      <c r="CD10" s="41">
        <v>0</v>
      </c>
      <c r="CE10" s="41">
        <v>0</v>
      </c>
      <c r="CF10" s="41">
        <v>2.9753000000000002E-2</v>
      </c>
      <c r="CG10" s="41">
        <v>0</v>
      </c>
      <c r="CH10" s="41">
        <v>0</v>
      </c>
      <c r="CI10" s="41">
        <v>4.731E-3</v>
      </c>
      <c r="CJ10" s="41">
        <v>7.0028999999999994E-2</v>
      </c>
      <c r="CK10" s="41">
        <v>4.1685509999999999</v>
      </c>
      <c r="CL10" s="41">
        <v>84.621391000000003</v>
      </c>
      <c r="CM10" s="41">
        <v>15.741448</v>
      </c>
      <c r="CN10" s="41">
        <v>56.526744999999998</v>
      </c>
      <c r="CO10" s="41">
        <v>54.669144000000003</v>
      </c>
      <c r="CP10" s="41">
        <v>82.848113999999995</v>
      </c>
      <c r="CQ10" s="41">
        <v>0.64852799999999999</v>
      </c>
      <c r="EH10" s="41"/>
    </row>
    <row r="11" spans="1:141">
      <c r="A11" s="76" t="s">
        <v>681</v>
      </c>
      <c r="B11" s="41">
        <v>3</v>
      </c>
      <c r="C11" s="41">
        <v>220</v>
      </c>
      <c r="D11" s="41">
        <v>220</v>
      </c>
      <c r="E11" s="41">
        <v>25.292200000000001</v>
      </c>
      <c r="F11" s="74">
        <v>24.9725</v>
      </c>
      <c r="G11" s="75">
        <v>1403.78</v>
      </c>
      <c r="H11" s="75">
        <v>1403.69</v>
      </c>
      <c r="I11" s="41">
        <v>1403.45</v>
      </c>
      <c r="J11" s="41">
        <v>1403.56</v>
      </c>
      <c r="K11" s="41">
        <v>1403.57</v>
      </c>
      <c r="L11" s="41">
        <v>1403.34</v>
      </c>
      <c r="M11" s="41">
        <v>1404.19</v>
      </c>
      <c r="N11" s="41">
        <v>1403.23</v>
      </c>
      <c r="O11" s="41">
        <v>0.94788499999999998</v>
      </c>
      <c r="P11" s="41">
        <v>2499.9699999999998</v>
      </c>
      <c r="Q11" s="41">
        <v>2500.6</v>
      </c>
      <c r="R11" s="41">
        <v>2499.94</v>
      </c>
      <c r="S11" s="41">
        <v>2499.3000000000002</v>
      </c>
      <c r="T11" s="41">
        <v>2499.66</v>
      </c>
      <c r="U11" s="41">
        <v>2499.9499999999998</v>
      </c>
      <c r="V11" s="41">
        <v>2500.16</v>
      </c>
      <c r="W11" s="41">
        <v>2499.2600000000002</v>
      </c>
      <c r="X11" s="41">
        <v>210</v>
      </c>
      <c r="Y11" s="41">
        <v>1.99847</v>
      </c>
      <c r="Z11" s="41">
        <v>1.9993300000000001</v>
      </c>
      <c r="AA11" s="41">
        <v>1.9986699999999999</v>
      </c>
      <c r="AB11" s="41">
        <v>1.99454</v>
      </c>
      <c r="AC11" s="41">
        <v>1.9979100000000001</v>
      </c>
      <c r="AD11" s="41">
        <v>1.9999899999999999</v>
      </c>
      <c r="AE11" s="41">
        <v>2.0017800000000001</v>
      </c>
      <c r="AF11" s="41">
        <v>1.9971300000000001</v>
      </c>
      <c r="AG11" s="76" t="s">
        <v>682</v>
      </c>
      <c r="AH11" s="41" t="s">
        <v>173</v>
      </c>
      <c r="AI11" s="41">
        <v>33.154152000000003</v>
      </c>
      <c r="AJ11" s="41">
        <v>28.932162000000002</v>
      </c>
      <c r="AK11" s="41">
        <v>5138526</v>
      </c>
      <c r="AL11" s="41">
        <v>1.6133333444594999</v>
      </c>
      <c r="AM11" s="41">
        <v>66.845848000000004</v>
      </c>
      <c r="AN11" s="41">
        <v>58.333416</v>
      </c>
      <c r="AO11" s="41">
        <v>278386647</v>
      </c>
      <c r="AP11" s="41">
        <v>3.97</v>
      </c>
      <c r="AR11" s="113">
        <f t="shared" si="0"/>
        <v>57.818369743861481</v>
      </c>
      <c r="AS11" s="113">
        <f t="shared" si="1"/>
        <v>27.668638293835688</v>
      </c>
      <c r="AT11" s="225"/>
      <c r="AU11" s="106">
        <f t="shared" si="12"/>
        <v>46251</v>
      </c>
      <c r="AV11" s="107">
        <f t="shared" si="13"/>
        <v>0.76090277777777782</v>
      </c>
      <c r="AW11" s="106">
        <f t="shared" si="14"/>
        <v>46251</v>
      </c>
      <c r="AX11" s="107">
        <f t="shared" si="15"/>
        <v>0.8321412037037037</v>
      </c>
      <c r="AY11" s="142">
        <v>46251</v>
      </c>
      <c r="AZ11" s="116">
        <v>0.76092592592592589</v>
      </c>
      <c r="BA11" s="41" t="s">
        <v>683</v>
      </c>
      <c r="BB11" s="41">
        <v>0</v>
      </c>
      <c r="BC11" s="41">
        <v>0</v>
      </c>
      <c r="BD11" s="41">
        <v>9.0285689999999992</v>
      </c>
      <c r="BE11" s="41">
        <v>3.7051240000000001</v>
      </c>
      <c r="BF11" s="41">
        <v>17.745235000000001</v>
      </c>
      <c r="BG11" s="41">
        <v>11.996096</v>
      </c>
      <c r="BH11" s="41">
        <v>11.612995</v>
      </c>
      <c r="BI11" s="41">
        <v>0</v>
      </c>
      <c r="BJ11" s="41">
        <v>10.937249</v>
      </c>
      <c r="BK11" s="41">
        <v>9.5745550000000001</v>
      </c>
      <c r="BL11" s="41">
        <v>5.9318090000000003</v>
      </c>
      <c r="BM11" s="41">
        <v>2.7601339999999999</v>
      </c>
      <c r="BN11" s="41">
        <v>0.86875999999999998</v>
      </c>
      <c r="BO11" s="41">
        <v>0.247892</v>
      </c>
      <c r="BP11" s="41">
        <v>0.57523199999999997</v>
      </c>
      <c r="BQ11" s="41">
        <v>0</v>
      </c>
      <c r="BR11" s="41">
        <v>2.8388339999999999</v>
      </c>
      <c r="BS11" s="41">
        <v>7.0036019999999999</v>
      </c>
      <c r="BT11" s="41">
        <v>3.048162</v>
      </c>
      <c r="BU11" s="41">
        <v>0.90431799999999996</v>
      </c>
      <c r="BV11" s="41">
        <v>0</v>
      </c>
      <c r="BW11" s="41">
        <v>0.40426000000000001</v>
      </c>
      <c r="BX11" s="41">
        <v>0.52621099999999998</v>
      </c>
      <c r="BY11" s="41">
        <v>0</v>
      </c>
      <c r="BZ11" s="41">
        <v>0.120694</v>
      </c>
      <c r="CA11" s="41">
        <v>2.4369999999999999E-3</v>
      </c>
      <c r="CB11" s="41">
        <v>0</v>
      </c>
      <c r="CC11" s="41">
        <v>0</v>
      </c>
      <c r="CD11" s="41">
        <v>0</v>
      </c>
      <c r="CE11" s="41">
        <v>0</v>
      </c>
      <c r="CF11" s="41">
        <v>2.1371999999999999E-2</v>
      </c>
      <c r="CG11" s="41">
        <v>0</v>
      </c>
      <c r="CH11" s="41">
        <v>0</v>
      </c>
      <c r="CI11" s="41">
        <v>0</v>
      </c>
      <c r="CJ11" s="41">
        <v>7.2570000000000004E-3</v>
      </c>
      <c r="CK11" s="41">
        <v>0.139207</v>
      </c>
      <c r="CL11" s="41">
        <v>83.207534999999993</v>
      </c>
      <c r="CM11" s="41">
        <v>16.735720000000001</v>
      </c>
      <c r="CN11" s="41">
        <v>76.048927000000006</v>
      </c>
      <c r="CO11" s="41">
        <v>76.392837999999998</v>
      </c>
      <c r="CP11" s="41">
        <v>71.02758</v>
      </c>
      <c r="CQ11" s="41">
        <v>0.56308499999999995</v>
      </c>
    </row>
    <row r="12" spans="1:141">
      <c r="A12" s="76" t="s">
        <v>684</v>
      </c>
      <c r="B12" s="41">
        <v>4</v>
      </c>
      <c r="C12" s="41">
        <v>220</v>
      </c>
      <c r="D12" s="41">
        <v>219.9</v>
      </c>
      <c r="E12" s="41">
        <v>25.102699999999999</v>
      </c>
      <c r="F12" s="41">
        <v>24.986999999999998</v>
      </c>
      <c r="G12" s="41">
        <v>1400.51</v>
      </c>
      <c r="H12" s="41">
        <v>1401.21</v>
      </c>
      <c r="I12" s="41">
        <v>1400.59</v>
      </c>
      <c r="J12" s="41">
        <v>1400.98</v>
      </c>
      <c r="K12" s="41">
        <v>1401.26</v>
      </c>
      <c r="L12" s="41">
        <v>1401.6</v>
      </c>
      <c r="M12" s="41">
        <v>1400.83</v>
      </c>
      <c r="N12" s="41">
        <v>1400.34</v>
      </c>
      <c r="O12" s="41">
        <v>0.88301799999999997</v>
      </c>
      <c r="P12" s="41">
        <v>2500.65</v>
      </c>
      <c r="Q12" s="41">
        <v>2499.58</v>
      </c>
      <c r="R12" s="41">
        <v>2499.83</v>
      </c>
      <c r="S12" s="41">
        <v>2499.85</v>
      </c>
      <c r="T12" s="41">
        <v>2499.86</v>
      </c>
      <c r="U12" s="41">
        <v>2499.13</v>
      </c>
      <c r="V12" s="41">
        <v>2498.7199999999998</v>
      </c>
      <c r="W12" s="41">
        <v>2501.2199999999998</v>
      </c>
      <c r="X12" s="41">
        <v>210</v>
      </c>
      <c r="Y12" s="41">
        <v>2.0001699999999998</v>
      </c>
      <c r="Z12" s="41">
        <v>2.0030199999999998</v>
      </c>
      <c r="AA12" s="41">
        <v>1.99898</v>
      </c>
      <c r="AB12" s="41">
        <v>1.9862599999999999</v>
      </c>
      <c r="AC12" s="41">
        <v>1.9983500000000001</v>
      </c>
      <c r="AD12" s="41">
        <v>2.0013800000000002</v>
      </c>
      <c r="AE12" s="41">
        <v>1.9994000000000001</v>
      </c>
      <c r="AF12" s="41">
        <v>2.0015000000000001</v>
      </c>
      <c r="AG12" s="76" t="s">
        <v>685</v>
      </c>
      <c r="AH12" s="41" t="s">
        <v>173</v>
      </c>
      <c r="AI12" s="41">
        <v>36.551000999999999</v>
      </c>
      <c r="AJ12" s="41">
        <v>33.192940999999998</v>
      </c>
      <c r="AK12" s="41">
        <v>5895266</v>
      </c>
      <c r="AL12" s="41">
        <v>1.6166666746139999</v>
      </c>
      <c r="AM12" s="41">
        <v>63.448999000000001</v>
      </c>
      <c r="AN12" s="41">
        <v>57.619734000000001</v>
      </c>
      <c r="AO12" s="41">
        <v>274980713</v>
      </c>
      <c r="AP12" s="41">
        <v>3.972</v>
      </c>
      <c r="AR12" s="113">
        <f t="shared" si="0"/>
        <v>57.096173920676932</v>
      </c>
      <c r="AS12" s="113">
        <f t="shared" si="1"/>
        <v>31.8913056821923</v>
      </c>
      <c r="AT12" s="225"/>
      <c r="AU12" s="106">
        <f t="shared" si="12"/>
        <v>46251</v>
      </c>
      <c r="AV12" s="107">
        <f t="shared" si="13"/>
        <v>0.84702546296296299</v>
      </c>
      <c r="AW12" s="106">
        <f t="shared" si="14"/>
        <v>46251</v>
      </c>
      <c r="AX12" s="107">
        <f t="shared" si="15"/>
        <v>0.91826388888888888</v>
      </c>
      <c r="AY12" s="142">
        <v>46251</v>
      </c>
      <c r="AZ12" s="116">
        <v>0.84706018518518522</v>
      </c>
      <c r="BA12" s="41" t="s">
        <v>686</v>
      </c>
      <c r="BB12" s="41">
        <v>0</v>
      </c>
      <c r="BC12" s="41">
        <v>0</v>
      </c>
      <c r="BD12" s="41">
        <v>4.4020999999999998E-2</v>
      </c>
      <c r="BE12" s="41">
        <v>1.640058</v>
      </c>
      <c r="BF12" s="41">
        <v>0.295238</v>
      </c>
      <c r="BG12" s="41">
        <v>12.865582</v>
      </c>
      <c r="BH12" s="41">
        <v>7.5806899999999997</v>
      </c>
      <c r="BI12" s="41">
        <v>0</v>
      </c>
      <c r="BJ12" s="41">
        <v>17.768829</v>
      </c>
      <c r="BK12" s="41">
        <v>8.0084529999999994</v>
      </c>
      <c r="BL12" s="41">
        <v>3.679805</v>
      </c>
      <c r="BM12" s="41">
        <v>0.71900399999999998</v>
      </c>
      <c r="BN12" s="41">
        <v>1.6417000000000001E-2</v>
      </c>
      <c r="BO12" s="41">
        <v>0.30510599999999999</v>
      </c>
      <c r="BP12" s="41">
        <v>0.66779900000000003</v>
      </c>
      <c r="BQ12" s="41">
        <v>0</v>
      </c>
      <c r="BR12" s="41">
        <v>16.065035000000002</v>
      </c>
      <c r="BS12" s="41">
        <v>13.759206000000001</v>
      </c>
      <c r="BT12" s="41">
        <v>0.95037099999999997</v>
      </c>
      <c r="BU12" s="41">
        <v>0.96579700000000002</v>
      </c>
      <c r="BV12" s="41">
        <v>0</v>
      </c>
      <c r="BW12" s="41">
        <v>13.393986</v>
      </c>
      <c r="BX12" s="41">
        <v>0.478043</v>
      </c>
      <c r="BY12" s="41">
        <v>0</v>
      </c>
      <c r="BZ12" s="41">
        <v>0.17333200000000001</v>
      </c>
      <c r="CA12" s="41">
        <v>1.6433E-2</v>
      </c>
      <c r="CB12" s="41">
        <v>0</v>
      </c>
      <c r="CC12" s="41">
        <v>0</v>
      </c>
      <c r="CD12" s="41">
        <v>0</v>
      </c>
      <c r="CE12" s="41">
        <v>0</v>
      </c>
      <c r="CF12" s="41">
        <v>0</v>
      </c>
      <c r="CG12" s="41">
        <v>2.3653E-2</v>
      </c>
      <c r="CH12" s="41">
        <v>4.3804999999999997E-2</v>
      </c>
      <c r="CI12" s="41">
        <v>0.15565799999999999</v>
      </c>
      <c r="CJ12" s="41">
        <v>0.20954</v>
      </c>
      <c r="CK12" s="41">
        <v>0.194382</v>
      </c>
      <c r="CL12" s="41">
        <v>83.864456000000004</v>
      </c>
      <c r="CM12" s="41">
        <v>16.171251000000002</v>
      </c>
      <c r="CN12" s="41">
        <v>41.768729999999998</v>
      </c>
      <c r="CO12" s="41">
        <v>40.401958</v>
      </c>
      <c r="CP12" s="41">
        <v>89.001328000000001</v>
      </c>
      <c r="CQ12" s="41">
        <v>0.66483099999999995</v>
      </c>
    </row>
    <row r="13" spans="1:141">
      <c r="A13" s="76" t="s">
        <v>687</v>
      </c>
      <c r="B13" s="41">
        <v>5</v>
      </c>
      <c r="C13" s="41">
        <v>220</v>
      </c>
      <c r="D13" s="41">
        <v>220</v>
      </c>
      <c r="E13" s="41">
        <v>25.2879</v>
      </c>
      <c r="F13" s="41">
        <v>25.008700000000001</v>
      </c>
      <c r="G13" s="41">
        <v>1456.91</v>
      </c>
      <c r="H13" s="41">
        <v>1457.37</v>
      </c>
      <c r="I13" s="41">
        <v>1456.82</v>
      </c>
      <c r="J13" s="41">
        <v>1457.5</v>
      </c>
      <c r="K13" s="41">
        <v>1457.79</v>
      </c>
      <c r="L13" s="41">
        <v>1457.57</v>
      </c>
      <c r="M13" s="41">
        <v>1457.49</v>
      </c>
      <c r="N13" s="41">
        <v>1457.1</v>
      </c>
      <c r="O13" s="41">
        <v>0.90016799999999997</v>
      </c>
      <c r="P13" s="41">
        <v>2499.5</v>
      </c>
      <c r="Q13" s="41">
        <v>2499.79</v>
      </c>
      <c r="R13" s="41">
        <v>2500.15</v>
      </c>
      <c r="S13" s="41">
        <v>2500.3000000000002</v>
      </c>
      <c r="T13" s="41">
        <v>2499.85</v>
      </c>
      <c r="U13" s="41">
        <v>2499.94</v>
      </c>
      <c r="V13" s="41">
        <v>2501.33</v>
      </c>
      <c r="W13" s="41">
        <v>2500.1</v>
      </c>
      <c r="X13" s="41">
        <v>210</v>
      </c>
      <c r="Y13" s="41">
        <v>1.9983900000000001</v>
      </c>
      <c r="Z13" s="41">
        <v>1.9979199999999999</v>
      </c>
      <c r="AA13" s="41">
        <v>1.99878</v>
      </c>
      <c r="AB13" s="41">
        <v>2.0077500000000001</v>
      </c>
      <c r="AC13" s="41">
        <v>1.9965999999999999</v>
      </c>
      <c r="AD13" s="41">
        <v>1.99779</v>
      </c>
      <c r="AE13" s="41">
        <v>1.9981599999999999</v>
      </c>
      <c r="AF13" s="41">
        <v>1.99912</v>
      </c>
      <c r="AG13" s="76" t="s">
        <v>688</v>
      </c>
      <c r="AH13" s="41" t="s">
        <v>173</v>
      </c>
      <c r="AI13" s="41">
        <v>36.340373</v>
      </c>
      <c r="AJ13" s="41">
        <v>32.704844000000001</v>
      </c>
      <c r="AK13" s="41">
        <v>5808577</v>
      </c>
      <c r="AL13" s="41">
        <v>1.6166666746139999</v>
      </c>
      <c r="AM13" s="41">
        <v>63.659627</v>
      </c>
      <c r="AN13" s="41">
        <v>57.291052000000001</v>
      </c>
      <c r="AO13" s="41">
        <v>273412132</v>
      </c>
      <c r="AP13" s="41">
        <v>3.9729999999999999</v>
      </c>
      <c r="AR13" s="113">
        <f t="shared" si="0"/>
        <v>56.763571278779985</v>
      </c>
      <c r="AS13" s="113">
        <f t="shared" si="1"/>
        <v>31.407574396375182</v>
      </c>
      <c r="AT13" s="225"/>
      <c r="AU13" s="106">
        <f t="shared" si="12"/>
        <v>46251</v>
      </c>
      <c r="AV13" s="107">
        <f t="shared" si="13"/>
        <v>0.93314814814814817</v>
      </c>
      <c r="AW13" s="106">
        <f t="shared" si="14"/>
        <v>46252</v>
      </c>
      <c r="AX13" s="107">
        <f t="shared" si="15"/>
        <v>4.4444444444444444E-3</v>
      </c>
      <c r="AY13" s="142">
        <v>46251</v>
      </c>
      <c r="AZ13" s="116">
        <v>0.9331828703703704</v>
      </c>
      <c r="BA13" s="41" t="s">
        <v>689</v>
      </c>
      <c r="BB13" s="41">
        <v>0</v>
      </c>
      <c r="BC13" s="41">
        <v>0</v>
      </c>
      <c r="BD13" s="41">
        <v>0.50204700000000002</v>
      </c>
      <c r="BE13" s="41">
        <v>1.9721329999999999</v>
      </c>
      <c r="BF13" s="41">
        <v>1.807091</v>
      </c>
      <c r="BG13" s="41">
        <v>12.759406999999999</v>
      </c>
      <c r="BH13" s="41">
        <v>8.3593519999999994</v>
      </c>
      <c r="BI13" s="41">
        <v>0</v>
      </c>
      <c r="BJ13" s="41">
        <v>17.002029</v>
      </c>
      <c r="BK13" s="41">
        <v>7.5097849999999999</v>
      </c>
      <c r="BL13" s="41">
        <v>4.1870120000000002</v>
      </c>
      <c r="BM13" s="41">
        <v>1.254753</v>
      </c>
      <c r="BN13" s="41">
        <v>0.182611</v>
      </c>
      <c r="BO13" s="41">
        <v>0.30732300000000001</v>
      </c>
      <c r="BP13" s="41">
        <v>0.664269</v>
      </c>
      <c r="BQ13" s="41">
        <v>0</v>
      </c>
      <c r="BR13" s="41">
        <v>14.112880000000001</v>
      </c>
      <c r="BS13" s="41">
        <v>12.723983</v>
      </c>
      <c r="BT13" s="41">
        <v>3.126709</v>
      </c>
      <c r="BU13" s="41">
        <v>1.0545880000000001</v>
      </c>
      <c r="BV13" s="41">
        <v>0</v>
      </c>
      <c r="BW13" s="41">
        <v>10.823235</v>
      </c>
      <c r="BX13" s="41">
        <v>1.0023850000000001</v>
      </c>
      <c r="BY13" s="41">
        <v>0</v>
      </c>
      <c r="BZ13" s="41">
        <v>0.134015</v>
      </c>
      <c r="CA13" s="41">
        <v>2.1859E-2</v>
      </c>
      <c r="CB13" s="41">
        <v>0</v>
      </c>
      <c r="CC13" s="41">
        <v>0</v>
      </c>
      <c r="CD13" s="41">
        <v>0</v>
      </c>
      <c r="CE13" s="41">
        <v>0</v>
      </c>
      <c r="CF13" s="41">
        <v>2.1257000000000002E-2</v>
      </c>
      <c r="CG13" s="41">
        <v>5.5199999999999997E-3</v>
      </c>
      <c r="CH13" s="41">
        <v>0</v>
      </c>
      <c r="CI13" s="41">
        <v>7.7379000000000003E-2</v>
      </c>
      <c r="CJ13" s="41">
        <v>0.10742599999999999</v>
      </c>
      <c r="CK13" s="41">
        <v>0.24296699999999999</v>
      </c>
      <c r="CL13" s="41">
        <v>83.771500000000003</v>
      </c>
      <c r="CM13" s="41">
        <v>16.229925000000001</v>
      </c>
      <c r="CN13" s="41">
        <v>47.920631</v>
      </c>
      <c r="CO13" s="41">
        <v>45.756011999999998</v>
      </c>
      <c r="CP13" s="41">
        <v>87.079734999999999</v>
      </c>
      <c r="CQ13" s="41">
        <v>0.65307899999999997</v>
      </c>
    </row>
    <row r="14" spans="1:141">
      <c r="A14" s="76" t="s">
        <v>690</v>
      </c>
      <c r="B14" s="41">
        <v>6</v>
      </c>
      <c r="C14" s="41">
        <v>220</v>
      </c>
      <c r="D14" s="41">
        <v>220</v>
      </c>
      <c r="E14" s="41">
        <v>25.2836</v>
      </c>
      <c r="F14" s="41">
        <v>24.9986</v>
      </c>
      <c r="G14" s="41">
        <v>1406.96</v>
      </c>
      <c r="H14" s="41">
        <v>1406.99</v>
      </c>
      <c r="I14" s="41">
        <v>1406.86</v>
      </c>
      <c r="J14" s="41">
        <v>1407.58</v>
      </c>
      <c r="K14" s="41">
        <v>1407.61</v>
      </c>
      <c r="L14" s="41">
        <v>1406.61</v>
      </c>
      <c r="M14" s="41">
        <v>1407.05</v>
      </c>
      <c r="N14" s="41">
        <v>1407.09</v>
      </c>
      <c r="O14" s="41">
        <v>0.92695300000000003</v>
      </c>
      <c r="P14" s="41">
        <v>2499.3200000000002</v>
      </c>
      <c r="Q14" s="41">
        <v>2500</v>
      </c>
      <c r="R14" s="41">
        <v>2499.69</v>
      </c>
      <c r="S14" s="41">
        <v>2499.2399999999998</v>
      </c>
      <c r="T14" s="41">
        <v>2500.4499999999998</v>
      </c>
      <c r="U14" s="41">
        <v>2499.81</v>
      </c>
      <c r="V14" s="41">
        <v>2500.4299999999998</v>
      </c>
      <c r="W14" s="41">
        <v>2500.69</v>
      </c>
      <c r="X14" s="41">
        <v>210.1</v>
      </c>
      <c r="Y14" s="41">
        <v>2.0014500000000002</v>
      </c>
      <c r="Z14" s="41">
        <v>2.00406</v>
      </c>
      <c r="AA14" s="41">
        <v>2.0011899999999998</v>
      </c>
      <c r="AB14" s="41">
        <v>1.99518</v>
      </c>
      <c r="AC14" s="41">
        <v>1.99987</v>
      </c>
      <c r="AD14" s="41">
        <v>2.00142</v>
      </c>
      <c r="AE14" s="41">
        <v>1.9994099999999999</v>
      </c>
      <c r="AF14" s="41">
        <v>2.0019200000000001</v>
      </c>
      <c r="AG14" s="76" t="s">
        <v>691</v>
      </c>
      <c r="AH14" s="41" t="s">
        <v>173</v>
      </c>
      <c r="AI14" s="41">
        <v>34.406047999999998</v>
      </c>
      <c r="AJ14" s="41">
        <v>30.596661000000001</v>
      </c>
      <c r="AK14" s="54">
        <v>5434151</v>
      </c>
      <c r="AL14" s="41">
        <v>1.6150000095367001</v>
      </c>
      <c r="AM14" s="41">
        <v>65.593952000000002</v>
      </c>
      <c r="AN14" s="41">
        <v>58.331485999999998</v>
      </c>
      <c r="AO14" s="41">
        <v>278377435</v>
      </c>
      <c r="AP14" s="41">
        <v>3.9729999999999999</v>
      </c>
      <c r="AR14" s="113">
        <f t="shared" si="0"/>
        <v>57.81641642711395</v>
      </c>
      <c r="AS14" s="113">
        <f t="shared" si="1"/>
        <v>29.318248525464682</v>
      </c>
      <c r="AT14" s="225"/>
      <c r="AU14" s="106">
        <f t="shared" si="12"/>
        <v>46252</v>
      </c>
      <c r="AV14" s="107">
        <f t="shared" si="13"/>
        <v>1.9282407407407408E-2</v>
      </c>
      <c r="AW14" s="106">
        <f t="shared" si="14"/>
        <v>46252</v>
      </c>
      <c r="AX14" s="107">
        <f t="shared" si="15"/>
        <v>9.0578703703703703E-2</v>
      </c>
      <c r="AY14" s="142">
        <v>46252</v>
      </c>
      <c r="AZ14" s="116">
        <v>1.9305555555555555E-2</v>
      </c>
      <c r="BA14" s="41" t="s">
        <v>692</v>
      </c>
      <c r="BB14" s="41">
        <v>0</v>
      </c>
      <c r="BC14" s="41">
        <v>0</v>
      </c>
      <c r="BD14" s="41">
        <v>3.5257879999999999</v>
      </c>
      <c r="BE14" s="41">
        <v>3.1664919999999999</v>
      </c>
      <c r="BF14" s="41">
        <v>7.8659249999999998</v>
      </c>
      <c r="BG14" s="41">
        <v>12.428846999999999</v>
      </c>
      <c r="BH14" s="41">
        <v>9.9942360000000008</v>
      </c>
      <c r="BI14" s="41">
        <v>0</v>
      </c>
      <c r="BJ14" s="41">
        <v>13.796656</v>
      </c>
      <c r="BK14" s="41">
        <v>8.7503589999999996</v>
      </c>
      <c r="BL14" s="41">
        <v>5.339118</v>
      </c>
      <c r="BM14" s="41">
        <v>1.81507</v>
      </c>
      <c r="BN14" s="41">
        <v>0.48736299999999999</v>
      </c>
      <c r="BO14" s="41">
        <v>0.30860500000000002</v>
      </c>
      <c r="BP14" s="41">
        <v>0.70042599999999999</v>
      </c>
      <c r="BQ14" s="41">
        <v>0</v>
      </c>
      <c r="BR14" s="41">
        <v>6.7792599999999998</v>
      </c>
      <c r="BS14" s="41">
        <v>13.977055</v>
      </c>
      <c r="BT14" s="41">
        <v>4.6755120000000003</v>
      </c>
      <c r="BU14" s="41">
        <v>1.0766709999999999</v>
      </c>
      <c r="BV14" s="41">
        <v>0</v>
      </c>
      <c r="BW14" s="41">
        <v>4.0057539999999996</v>
      </c>
      <c r="BX14" s="41">
        <v>0.82234099999999999</v>
      </c>
      <c r="BY14" s="41">
        <v>0</v>
      </c>
      <c r="BZ14" s="41">
        <v>9.2548000000000005E-2</v>
      </c>
      <c r="CA14" s="41">
        <v>0</v>
      </c>
      <c r="CB14" s="41">
        <v>0</v>
      </c>
      <c r="CC14" s="41">
        <v>0</v>
      </c>
      <c r="CD14" s="41">
        <v>0</v>
      </c>
      <c r="CE14" s="41">
        <v>0</v>
      </c>
      <c r="CF14" s="41">
        <v>1.7391E-2</v>
      </c>
      <c r="CG14" s="41">
        <v>0</v>
      </c>
      <c r="CH14" s="41">
        <v>0</v>
      </c>
      <c r="CI14" s="41">
        <v>3.8409999999999998E-3</v>
      </c>
      <c r="CJ14" s="41">
        <v>6.0051E-2</v>
      </c>
      <c r="CK14" s="41">
        <v>0.31281399999999998</v>
      </c>
      <c r="CL14" s="41">
        <v>83.547759999999997</v>
      </c>
      <c r="CM14" s="41">
        <v>16.422395999999999</v>
      </c>
      <c r="CN14" s="41">
        <v>62.676594000000001</v>
      </c>
      <c r="CO14" s="41">
        <v>60.303908999999997</v>
      </c>
      <c r="CP14" s="41">
        <v>79.787711999999999</v>
      </c>
      <c r="CQ14" s="41">
        <v>0.63362600000000002</v>
      </c>
    </row>
    <row r="15" spans="1:141">
      <c r="A15" s="76" t="s">
        <v>693</v>
      </c>
      <c r="B15" s="41">
        <v>7</v>
      </c>
      <c r="C15" s="41">
        <v>220</v>
      </c>
      <c r="D15" s="41">
        <v>220</v>
      </c>
      <c r="E15" s="41">
        <v>25.316800000000001</v>
      </c>
      <c r="F15" s="41">
        <v>24.995699999999999</v>
      </c>
      <c r="G15" s="41">
        <v>1435.06</v>
      </c>
      <c r="H15" s="41">
        <v>1434.69</v>
      </c>
      <c r="I15" s="41">
        <v>1435.28</v>
      </c>
      <c r="J15" s="41">
        <v>1435.14</v>
      </c>
      <c r="K15" s="41">
        <v>1434.71</v>
      </c>
      <c r="L15" s="41">
        <v>1434.48</v>
      </c>
      <c r="M15" s="41">
        <v>1434.89</v>
      </c>
      <c r="N15" s="41">
        <v>1434.05</v>
      </c>
      <c r="O15" s="41">
        <v>0.97704999999999997</v>
      </c>
      <c r="P15" s="41">
        <v>2499.89</v>
      </c>
      <c r="Q15" s="41">
        <v>2500.2199999999998</v>
      </c>
      <c r="R15" s="41">
        <v>2499.42</v>
      </c>
      <c r="S15" s="41">
        <v>2499.92</v>
      </c>
      <c r="T15" s="41">
        <v>2499.9899999999998</v>
      </c>
      <c r="U15" s="41">
        <v>2500.48</v>
      </c>
      <c r="V15" s="41">
        <v>2498.7800000000002</v>
      </c>
      <c r="W15" s="41">
        <v>2498.81</v>
      </c>
      <c r="X15" s="41">
        <v>209.9</v>
      </c>
      <c r="Y15" s="41">
        <v>1.99796</v>
      </c>
      <c r="Z15" s="41">
        <v>1.9946299999999999</v>
      </c>
      <c r="AA15" s="41">
        <v>1.99678</v>
      </c>
      <c r="AB15" s="41">
        <v>2.0170599999999999</v>
      </c>
      <c r="AC15" s="41">
        <v>1.99882</v>
      </c>
      <c r="AD15" s="41">
        <v>2.0011000000000001</v>
      </c>
      <c r="AE15" s="41">
        <v>1.9961199999999999</v>
      </c>
      <c r="AF15" s="41">
        <v>1.99736</v>
      </c>
      <c r="AG15" s="76" t="s">
        <v>694</v>
      </c>
      <c r="AH15" s="41" t="s">
        <v>173</v>
      </c>
      <c r="AI15" s="41">
        <v>34.031221000000002</v>
      </c>
      <c r="AJ15" s="41">
        <v>29.674710000000001</v>
      </c>
      <c r="AK15" s="41">
        <v>5270407</v>
      </c>
      <c r="AL15" s="41">
        <v>1.6150000095367001</v>
      </c>
      <c r="AM15" s="41">
        <v>65.968778999999998</v>
      </c>
      <c r="AN15" s="41">
        <v>57.523778</v>
      </c>
      <c r="AO15" s="41">
        <v>274522780</v>
      </c>
      <c r="AP15" s="41">
        <v>3.9769999999999999</v>
      </c>
      <c r="AR15" s="113">
        <f t="shared" si="0"/>
        <v>56.999073595216025</v>
      </c>
      <c r="AS15" s="113">
        <f t="shared" si="1"/>
        <v>28.404544414622034</v>
      </c>
      <c r="AT15" s="225"/>
      <c r="AU15" s="106">
        <f t="shared" si="12"/>
        <v>46252</v>
      </c>
      <c r="AV15" s="107">
        <f t="shared" si="13"/>
        <v>0.10541666666666667</v>
      </c>
      <c r="AW15" s="106">
        <f t="shared" si="14"/>
        <v>46252</v>
      </c>
      <c r="AX15" s="107">
        <f t="shared" si="15"/>
        <v>0.17670138888888889</v>
      </c>
      <c r="AY15" s="142">
        <v>46252</v>
      </c>
      <c r="AZ15" s="116">
        <v>0.10542824074074074</v>
      </c>
      <c r="BA15" s="41" t="s">
        <v>695</v>
      </c>
      <c r="BB15" s="41">
        <v>0</v>
      </c>
      <c r="BC15" s="41">
        <v>0</v>
      </c>
      <c r="BD15" s="41">
        <v>9.2440540000000002</v>
      </c>
      <c r="BE15" s="41">
        <v>3.7672669999999999</v>
      </c>
      <c r="BF15" s="41">
        <v>17.508772</v>
      </c>
      <c r="BG15" s="41">
        <v>11.921578999999999</v>
      </c>
      <c r="BH15" s="41">
        <v>11.591780999999999</v>
      </c>
      <c r="BI15" s="41">
        <v>0</v>
      </c>
      <c r="BJ15" s="41">
        <v>10.707603000000001</v>
      </c>
      <c r="BK15" s="41">
        <v>9.7343770000000003</v>
      </c>
      <c r="BL15" s="41">
        <v>6.053185</v>
      </c>
      <c r="BM15" s="41">
        <v>2.7907350000000002</v>
      </c>
      <c r="BN15" s="41">
        <v>0.86589700000000003</v>
      </c>
      <c r="BO15" s="41">
        <v>0.26248199999999999</v>
      </c>
      <c r="BP15" s="41">
        <v>0.62297000000000002</v>
      </c>
      <c r="BQ15" s="41">
        <v>0</v>
      </c>
      <c r="BR15" s="41">
        <v>2.7661359999999999</v>
      </c>
      <c r="BS15" s="41">
        <v>7.0857530000000004</v>
      </c>
      <c r="BT15" s="41">
        <v>3.0549019999999998</v>
      </c>
      <c r="BU15" s="41">
        <v>0.94281999999999999</v>
      </c>
      <c r="BV15" s="41">
        <v>0</v>
      </c>
      <c r="BW15" s="41">
        <v>0.40234999999999999</v>
      </c>
      <c r="BX15" s="41">
        <v>0.48045700000000002</v>
      </c>
      <c r="BY15" s="41">
        <v>0</v>
      </c>
      <c r="BZ15" s="41">
        <v>0.103974</v>
      </c>
      <c r="CA15" s="41">
        <v>1.449E-3</v>
      </c>
      <c r="CB15" s="41">
        <v>0</v>
      </c>
      <c r="CC15" s="41">
        <v>0</v>
      </c>
      <c r="CD15" s="41">
        <v>0</v>
      </c>
      <c r="CE15" s="41">
        <v>0</v>
      </c>
      <c r="CF15" s="41">
        <v>1.9886000000000001E-2</v>
      </c>
      <c r="CG15" s="41">
        <v>0</v>
      </c>
      <c r="CH15" s="41">
        <v>0</v>
      </c>
      <c r="CI15" s="41">
        <v>0</v>
      </c>
      <c r="CJ15" s="41">
        <v>5.1910000000000003E-3</v>
      </c>
      <c r="CK15" s="41">
        <v>8.1467999999999999E-2</v>
      </c>
      <c r="CL15" s="41">
        <v>83.189910999999995</v>
      </c>
      <c r="CM15" s="41">
        <v>16.746884999999999</v>
      </c>
      <c r="CN15" s="41">
        <v>76.293921999999995</v>
      </c>
      <c r="CO15" s="41">
        <v>76.659554</v>
      </c>
      <c r="CP15" s="41">
        <v>70.943329000000006</v>
      </c>
      <c r="CQ15" s="41">
        <v>0.56437899999999996</v>
      </c>
    </row>
    <row r="16" spans="1:141">
      <c r="A16" s="76" t="s">
        <v>696</v>
      </c>
      <c r="B16" s="41">
        <v>8</v>
      </c>
      <c r="C16" s="41">
        <v>220</v>
      </c>
      <c r="D16" s="41">
        <v>220</v>
      </c>
      <c r="E16" s="41">
        <v>25.160599999999999</v>
      </c>
      <c r="F16" s="41">
        <v>24.989899999999999</v>
      </c>
      <c r="G16" s="41">
        <v>1423.84</v>
      </c>
      <c r="H16" s="41">
        <v>1424.18</v>
      </c>
      <c r="I16" s="41">
        <v>1423.16</v>
      </c>
      <c r="J16" s="41">
        <v>1421.19</v>
      </c>
      <c r="K16" s="41">
        <v>1423.2</v>
      </c>
      <c r="L16" s="41">
        <v>1422.81</v>
      </c>
      <c r="M16" s="41">
        <v>1423.24</v>
      </c>
      <c r="N16" s="41">
        <v>1424.06</v>
      </c>
      <c r="O16" s="41">
        <v>0.89881500000000003</v>
      </c>
      <c r="P16" s="41">
        <v>2501.09</v>
      </c>
      <c r="Q16" s="41">
        <v>2499.54</v>
      </c>
      <c r="R16" s="41">
        <v>2498.94</v>
      </c>
      <c r="S16" s="41">
        <v>2499.54</v>
      </c>
      <c r="T16" s="41">
        <v>2500.12</v>
      </c>
      <c r="U16" s="41">
        <v>2500.4899999999998</v>
      </c>
      <c r="V16" s="41">
        <v>2499.75</v>
      </c>
      <c r="W16" s="41">
        <v>2502.2399999999998</v>
      </c>
      <c r="X16" s="41">
        <v>210.1</v>
      </c>
      <c r="Y16" s="41">
        <v>1.99946</v>
      </c>
      <c r="Z16" s="41">
        <v>1.9991000000000001</v>
      </c>
      <c r="AA16" s="41">
        <v>2.00088</v>
      </c>
      <c r="AB16" s="41">
        <v>1.9894700000000001</v>
      </c>
      <c r="AC16" s="41">
        <v>2.00163</v>
      </c>
      <c r="AD16" s="41">
        <v>2.00203</v>
      </c>
      <c r="AE16" s="41">
        <v>2.00074</v>
      </c>
      <c r="AF16" s="41">
        <v>2.0007299999999999</v>
      </c>
      <c r="AG16" s="76" t="s">
        <v>697</v>
      </c>
      <c r="AH16" s="41" t="s">
        <v>173</v>
      </c>
      <c r="AI16" s="41">
        <v>35.854416999999998</v>
      </c>
      <c r="AJ16" s="41">
        <v>32.391837000000002</v>
      </c>
      <c r="AK16" s="115">
        <v>5752985</v>
      </c>
      <c r="AL16" s="41">
        <v>1.6150000095367001</v>
      </c>
      <c r="AM16" s="41">
        <v>64.145583000000002</v>
      </c>
      <c r="AN16" s="41">
        <v>57.950830000000003</v>
      </c>
      <c r="AO16" s="41">
        <v>276560816</v>
      </c>
      <c r="AP16" s="41">
        <v>3.9750000000000001</v>
      </c>
      <c r="AR16" s="113">
        <f t="shared" si="0"/>
        <v>57.431219692791537</v>
      </c>
      <c r="AS16" s="113">
        <f t="shared" si="1"/>
        <v>31.097366761713978</v>
      </c>
      <c r="AT16" s="225"/>
      <c r="AU16" s="106">
        <f t="shared" si="12"/>
        <v>46252</v>
      </c>
      <c r="AV16" s="107">
        <f t="shared" si="13"/>
        <v>0.19153935185185186</v>
      </c>
      <c r="AW16" s="106">
        <f t="shared" si="14"/>
        <v>46252</v>
      </c>
      <c r="AX16" s="107">
        <f t="shared" si="15"/>
        <v>0.26278935185185187</v>
      </c>
      <c r="AY16" s="142">
        <v>46252</v>
      </c>
      <c r="AZ16" s="116">
        <v>0.19157407407407406</v>
      </c>
      <c r="BA16" s="41" t="s">
        <v>698</v>
      </c>
      <c r="BB16" s="41">
        <v>0</v>
      </c>
      <c r="BC16" s="41">
        <v>0</v>
      </c>
      <c r="BD16" s="41">
        <v>4.4137999999999997E-2</v>
      </c>
      <c r="BE16" s="41">
        <v>1.6394599999999999</v>
      </c>
      <c r="BF16" s="41">
        <v>0.29506500000000002</v>
      </c>
      <c r="BG16" s="41">
        <v>12.879215</v>
      </c>
      <c r="BH16" s="41">
        <v>7.5859550000000002</v>
      </c>
      <c r="BI16" s="41">
        <v>0</v>
      </c>
      <c r="BJ16" s="41">
        <v>17.778217000000001</v>
      </c>
      <c r="BK16" s="41">
        <v>8.0139940000000003</v>
      </c>
      <c r="BL16" s="41">
        <v>3.6824810000000001</v>
      </c>
      <c r="BM16" s="41">
        <v>0.71907799999999999</v>
      </c>
      <c r="BN16" s="41">
        <v>1.6337000000000001E-2</v>
      </c>
      <c r="BO16" s="41">
        <v>0.305811</v>
      </c>
      <c r="BP16" s="41">
        <v>0.66676999999999997</v>
      </c>
      <c r="BQ16" s="41">
        <v>0</v>
      </c>
      <c r="BR16" s="41">
        <v>16.049745999999999</v>
      </c>
      <c r="BS16" s="41">
        <v>13.743755</v>
      </c>
      <c r="BT16" s="41">
        <v>0.94874499999999995</v>
      </c>
      <c r="BU16" s="41">
        <v>0.96348400000000001</v>
      </c>
      <c r="BV16" s="41">
        <v>0</v>
      </c>
      <c r="BW16" s="41">
        <v>13.384019</v>
      </c>
      <c r="BX16" s="41">
        <v>0.472277</v>
      </c>
      <c r="BY16" s="41">
        <v>0</v>
      </c>
      <c r="BZ16" s="41">
        <v>0.17307400000000001</v>
      </c>
      <c r="CA16" s="41">
        <v>1.6542000000000001E-2</v>
      </c>
      <c r="CB16" s="41">
        <v>0</v>
      </c>
      <c r="CC16" s="41">
        <v>0</v>
      </c>
      <c r="CD16" s="41">
        <v>0</v>
      </c>
      <c r="CE16" s="41">
        <v>0</v>
      </c>
      <c r="CF16" s="41">
        <v>0</v>
      </c>
      <c r="CG16" s="41">
        <v>2.5135999999999999E-2</v>
      </c>
      <c r="CH16" s="41">
        <v>5.0466999999999998E-2</v>
      </c>
      <c r="CI16" s="41">
        <v>0.155942</v>
      </c>
      <c r="CJ16" s="41">
        <v>0.20449300000000001</v>
      </c>
      <c r="CK16" s="41">
        <v>0.197742</v>
      </c>
      <c r="CL16" s="41">
        <v>83.863906999999998</v>
      </c>
      <c r="CM16" s="41">
        <v>16.170559000000001</v>
      </c>
      <c r="CN16" s="41">
        <v>41.769196000000001</v>
      </c>
      <c r="CO16" s="41">
        <v>40.403660000000002</v>
      </c>
      <c r="CP16" s="41">
        <v>88.995002999999997</v>
      </c>
      <c r="CQ16" s="41">
        <v>0.66486400000000001</v>
      </c>
    </row>
    <row r="17" spans="1:141" s="1" customFormat="1">
      <c r="A17" s="76" t="s">
        <v>699</v>
      </c>
      <c r="B17" s="41">
        <v>1</v>
      </c>
      <c r="C17" s="41">
        <v>220</v>
      </c>
      <c r="D17" s="41">
        <v>220</v>
      </c>
      <c r="E17" s="41">
        <v>25.234400000000001</v>
      </c>
      <c r="F17" s="2">
        <v>25.004300000000001</v>
      </c>
      <c r="G17" s="2">
        <v>1410.42</v>
      </c>
      <c r="H17" s="2">
        <v>1410.28</v>
      </c>
      <c r="I17" s="2">
        <v>1411.14</v>
      </c>
      <c r="J17" s="2">
        <v>1409.82</v>
      </c>
      <c r="K17" s="2">
        <v>1411.09</v>
      </c>
      <c r="L17" s="2">
        <v>1410.61</v>
      </c>
      <c r="M17" s="2">
        <v>1410.82</v>
      </c>
      <c r="N17" s="2">
        <v>1411.04</v>
      </c>
      <c r="O17" s="2">
        <v>0.90824199999999999</v>
      </c>
      <c r="P17" s="2">
        <v>2500.0100000000002</v>
      </c>
      <c r="Q17" s="2">
        <v>2499.86</v>
      </c>
      <c r="R17" s="2">
        <v>2498.98</v>
      </c>
      <c r="S17" s="2">
        <v>2499.54</v>
      </c>
      <c r="T17" s="2">
        <v>2499.69</v>
      </c>
      <c r="U17" s="2">
        <v>2499.77</v>
      </c>
      <c r="V17" s="2">
        <v>2500.7800000000002</v>
      </c>
      <c r="W17" s="2">
        <v>2500.5300000000002</v>
      </c>
      <c r="X17" s="2">
        <v>209.9</v>
      </c>
      <c r="Y17" s="2">
        <v>2.0024500000000001</v>
      </c>
      <c r="Z17" s="2">
        <v>1.9986900000000001</v>
      </c>
      <c r="AA17" s="2">
        <v>2.0016600000000002</v>
      </c>
      <c r="AB17" s="2">
        <v>1.9806600000000001</v>
      </c>
      <c r="AC17" s="2">
        <v>1.99993</v>
      </c>
      <c r="AD17" s="2">
        <v>2.0020799999999999</v>
      </c>
      <c r="AE17" s="2">
        <v>2.0011899999999998</v>
      </c>
      <c r="AF17" s="2">
        <v>2.0016500000000002</v>
      </c>
      <c r="AG17" s="76" t="s">
        <v>700</v>
      </c>
      <c r="AH17" s="2" t="s">
        <v>173</v>
      </c>
      <c r="AI17" s="2">
        <v>37.062215999999999</v>
      </c>
      <c r="AJ17" s="2">
        <v>33.757584999999999</v>
      </c>
      <c r="AK17" s="2">
        <v>5995550</v>
      </c>
      <c r="AL17" s="2">
        <v>1.6150000095367001</v>
      </c>
      <c r="AM17" s="2">
        <v>62.937784000000001</v>
      </c>
      <c r="AN17" s="2">
        <v>57.325972999999998</v>
      </c>
      <c r="AO17" s="2">
        <v>273578788</v>
      </c>
      <c r="AP17" s="2">
        <v>3.9750000000000001</v>
      </c>
      <c r="AQ17" s="2"/>
      <c r="AR17" s="113">
        <f t="shared" si="0"/>
        <v>56.798909094224634</v>
      </c>
      <c r="AS17" s="113">
        <f t="shared" si="1"/>
        <v>32.450898113375999</v>
      </c>
      <c r="AT17" s="2"/>
      <c r="AU17" s="140">
        <f t="shared" si="12"/>
        <v>46252</v>
      </c>
      <c r="AV17" s="141">
        <f t="shared" si="13"/>
        <v>0.27766203703703701</v>
      </c>
      <c r="AW17" s="140">
        <f t="shared" si="14"/>
        <v>46252</v>
      </c>
      <c r="AX17" s="141">
        <f t="shared" si="15"/>
        <v>0.33457175925925925</v>
      </c>
      <c r="AY17" s="142">
        <v>46252</v>
      </c>
      <c r="AZ17" s="138">
        <v>0.2776851851851852</v>
      </c>
      <c r="BA17" s="2" t="s">
        <v>701</v>
      </c>
      <c r="BB17" s="2">
        <v>0</v>
      </c>
      <c r="BC17" s="2">
        <v>0</v>
      </c>
      <c r="BD17" s="2">
        <v>0.28583999999999998</v>
      </c>
      <c r="BE17" s="2">
        <v>1.815977</v>
      </c>
      <c r="BF17" s="2">
        <v>1.107602</v>
      </c>
      <c r="BG17" s="2">
        <v>12.823763</v>
      </c>
      <c r="BH17" s="2">
        <v>7.9711179999999997</v>
      </c>
      <c r="BI17" s="2">
        <v>0</v>
      </c>
      <c r="BJ17" s="2">
        <v>17.453924000000001</v>
      </c>
      <c r="BK17" s="2">
        <v>7.662102</v>
      </c>
      <c r="BL17" s="2">
        <v>3.943781</v>
      </c>
      <c r="BM17" s="2">
        <v>1.051682</v>
      </c>
      <c r="BN17" s="2">
        <v>7.5098999999999999E-2</v>
      </c>
      <c r="BO17" s="2">
        <v>0.33433000000000002</v>
      </c>
      <c r="BP17" s="2">
        <v>0.67473700000000003</v>
      </c>
      <c r="BQ17" s="2">
        <v>0</v>
      </c>
      <c r="BR17" s="2">
        <v>15.257998000000001</v>
      </c>
      <c r="BS17" s="2">
        <v>12.872382</v>
      </c>
      <c r="BT17" s="2">
        <v>2.3185889999999998</v>
      </c>
      <c r="BU17" s="2">
        <v>1.0903290000000001</v>
      </c>
      <c r="BV17" s="2">
        <v>0</v>
      </c>
      <c r="BW17" s="2">
        <v>12.116982999999999</v>
      </c>
      <c r="BX17" s="2">
        <v>0.62980800000000003</v>
      </c>
      <c r="BY17" s="2">
        <v>0</v>
      </c>
      <c r="BZ17" s="2">
        <v>0.14377100000000001</v>
      </c>
      <c r="CA17" s="2">
        <v>2.3167E-2</v>
      </c>
      <c r="CB17" s="2">
        <v>0</v>
      </c>
      <c r="CC17" s="2">
        <v>0</v>
      </c>
      <c r="CD17" s="2">
        <v>0</v>
      </c>
      <c r="CE17" s="2">
        <v>0</v>
      </c>
      <c r="CF17" s="2">
        <v>1.7888999999999999E-2</v>
      </c>
      <c r="CG17" s="2">
        <v>3.3600000000000001E-3</v>
      </c>
      <c r="CH17" s="2">
        <v>0</v>
      </c>
      <c r="CI17" s="2">
        <v>5.8063999999999998E-2</v>
      </c>
      <c r="CJ17" s="2">
        <v>7.2910000000000003E-2</v>
      </c>
      <c r="CK17" s="2">
        <v>0.16877800000000001</v>
      </c>
      <c r="CL17" s="2">
        <v>83.743217000000001</v>
      </c>
      <c r="CM17" s="2">
        <v>16.236359</v>
      </c>
      <c r="CN17" s="2">
        <v>45.145733</v>
      </c>
      <c r="CO17" s="2">
        <v>43.299540999999998</v>
      </c>
      <c r="CP17" s="2">
        <v>87.904762000000005</v>
      </c>
      <c r="CQ17" s="2">
        <v>0.65900700000000001</v>
      </c>
      <c r="CR17" s="2"/>
      <c r="EK17" s="2"/>
    </row>
    <row r="18" spans="1:141" s="145" customFormat="1" ht="16.5">
      <c r="A18" s="143" t="s">
        <v>702</v>
      </c>
      <c r="B18" s="143">
        <v>1</v>
      </c>
      <c r="C18" s="143">
        <v>220</v>
      </c>
      <c r="D18" s="143">
        <v>220</v>
      </c>
      <c r="E18" s="143">
        <v>25.180800000000001</v>
      </c>
      <c r="F18" s="143">
        <v>25.015899999999998</v>
      </c>
      <c r="G18" s="143">
        <v>1426.61</v>
      </c>
      <c r="H18" s="143">
        <v>1426.22</v>
      </c>
      <c r="I18" s="143">
        <v>1426.45</v>
      </c>
      <c r="J18" s="143">
        <v>1426.21</v>
      </c>
      <c r="K18" s="143">
        <v>1426.48</v>
      </c>
      <c r="L18" s="143">
        <v>1427.67</v>
      </c>
      <c r="M18" s="143">
        <v>1426.63</v>
      </c>
      <c r="N18" s="143">
        <v>1426.64</v>
      </c>
      <c r="O18" s="143">
        <v>0.87863800000000003</v>
      </c>
      <c r="P18" s="143">
        <v>2500.65</v>
      </c>
      <c r="Q18" s="143">
        <v>2500.3200000000002</v>
      </c>
      <c r="R18" s="143">
        <v>2500.0300000000002</v>
      </c>
      <c r="S18" s="143">
        <v>2499.7399999999998</v>
      </c>
      <c r="T18" s="143">
        <v>2500.1999999999998</v>
      </c>
      <c r="U18" s="143">
        <v>2498.96</v>
      </c>
      <c r="V18" s="143">
        <v>2499.79</v>
      </c>
      <c r="W18" s="143">
        <v>2500.73</v>
      </c>
      <c r="X18" s="143">
        <v>209.9</v>
      </c>
      <c r="Y18" s="143">
        <v>2.0007700000000002</v>
      </c>
      <c r="Z18" s="143">
        <v>1.99823</v>
      </c>
      <c r="AA18" s="143">
        <v>1.99908</v>
      </c>
      <c r="AB18" s="143">
        <v>2.0114299999999998</v>
      </c>
      <c r="AC18" s="143">
        <v>1.998</v>
      </c>
      <c r="AD18" s="143">
        <v>2.0021100000000001</v>
      </c>
      <c r="AE18" s="143">
        <v>2.0003799999999998</v>
      </c>
      <c r="AF18" s="143">
        <v>1.9994400000000001</v>
      </c>
      <c r="AG18" s="143" t="s">
        <v>703</v>
      </c>
      <c r="AH18" s="143" t="s">
        <v>173</v>
      </c>
      <c r="AI18" s="143">
        <v>37.157581</v>
      </c>
      <c r="AJ18" s="143">
        <v>33.937753000000001</v>
      </c>
      <c r="AK18" s="143">
        <v>6027549</v>
      </c>
      <c r="AL18" s="143">
        <v>1.6150000095367001</v>
      </c>
      <c r="AM18" s="143">
        <v>62.842419</v>
      </c>
      <c r="AN18" s="143">
        <v>57.396914000000002</v>
      </c>
      <c r="AO18" s="143">
        <v>273917342</v>
      </c>
      <c r="AP18" s="143">
        <v>3.9729999999999999</v>
      </c>
      <c r="AQ18" s="143"/>
      <c r="AR18" s="113">
        <f t="shared" si="0"/>
        <v>56.870696241222319</v>
      </c>
      <c r="AS18" s="113">
        <f t="shared" si="1"/>
        <v>32.629454993889816</v>
      </c>
      <c r="AT18" s="143"/>
      <c r="AU18" s="146">
        <f t="shared" ref="AU18:AU27" si="16">DATEVALUE(SUBSTITUTE(LEFT(A18,10),".","/"))</f>
        <v>46252</v>
      </c>
      <c r="AV18" s="147">
        <f t="shared" ref="AV18:AV27" si="17">TIMEVALUE(RIGHT(A18,8))</f>
        <v>0.47577546296296297</v>
      </c>
      <c r="AW18" s="146">
        <f t="shared" ref="AW18:AW27" si="18">DATEVALUE(SUBSTITUTE(LEFT(AG18,10),".","/"))</f>
        <v>46252</v>
      </c>
      <c r="AX18" s="147">
        <f t="shared" ref="AX18:AX27" si="19">TIMEVALUE(RIGHT(AG18,8))</f>
        <v>0.54700231481481476</v>
      </c>
      <c r="AY18" s="150">
        <v>46252</v>
      </c>
      <c r="AZ18" s="149">
        <v>0.4757986111111111</v>
      </c>
      <c r="BA18" s="143" t="s">
        <v>704</v>
      </c>
      <c r="BB18" s="143">
        <v>0</v>
      </c>
      <c r="BC18" s="143">
        <v>0</v>
      </c>
      <c r="BD18" s="143">
        <v>0.29238500000000001</v>
      </c>
      <c r="BE18" s="143">
        <v>1.8197449999999999</v>
      </c>
      <c r="BF18" s="143">
        <v>1.1322890000000001</v>
      </c>
      <c r="BG18" s="143">
        <v>12.822315</v>
      </c>
      <c r="BH18" s="143">
        <v>7.9790429999999999</v>
      </c>
      <c r="BI18" s="143">
        <v>0</v>
      </c>
      <c r="BJ18" s="143">
        <v>17.415951</v>
      </c>
      <c r="BK18" s="143">
        <v>7.6427040000000002</v>
      </c>
      <c r="BL18" s="143">
        <v>3.9357530000000001</v>
      </c>
      <c r="BM18" s="143">
        <v>1.061426</v>
      </c>
      <c r="BN18" s="143">
        <v>7.3532E-2</v>
      </c>
      <c r="BO18" s="143">
        <v>0.33335100000000001</v>
      </c>
      <c r="BP18" s="143">
        <v>0.672149</v>
      </c>
      <c r="BQ18" s="143">
        <v>0</v>
      </c>
      <c r="BR18" s="143">
        <v>15.208715</v>
      </c>
      <c r="BS18" s="143">
        <v>12.762138999999999</v>
      </c>
      <c r="BT18" s="143">
        <v>2.3285800000000001</v>
      </c>
      <c r="BU18" s="143">
        <v>1.087186</v>
      </c>
      <c r="BV18" s="143">
        <v>0</v>
      </c>
      <c r="BW18" s="143">
        <v>12.076274</v>
      </c>
      <c r="BX18" s="143">
        <v>0.61369200000000002</v>
      </c>
      <c r="BY18" s="143">
        <v>0</v>
      </c>
      <c r="BZ18" s="143">
        <v>0.14363500000000001</v>
      </c>
      <c r="CA18" s="143">
        <v>2.3434E-2</v>
      </c>
      <c r="CB18" s="143">
        <v>0</v>
      </c>
      <c r="CC18" s="143">
        <v>0</v>
      </c>
      <c r="CD18" s="143">
        <v>3.0699999999999998E-4</v>
      </c>
      <c r="CE18" s="143">
        <v>0</v>
      </c>
      <c r="CF18" s="143">
        <v>1.8322999999999999E-2</v>
      </c>
      <c r="CG18" s="143">
        <v>3.032E-3</v>
      </c>
      <c r="CH18" s="143">
        <v>0</v>
      </c>
      <c r="CI18" s="143">
        <v>5.6926999999999998E-2</v>
      </c>
      <c r="CJ18" s="143">
        <v>6.8227999999999997E-2</v>
      </c>
      <c r="CK18" s="143">
        <v>0.42890699999999998</v>
      </c>
      <c r="CL18" s="143">
        <v>83.808327000000006</v>
      </c>
      <c r="CM18" s="143">
        <v>16.196280000000002</v>
      </c>
      <c r="CN18" s="143">
        <v>45.084301000000004</v>
      </c>
      <c r="CO18" s="143">
        <v>43.266727000000003</v>
      </c>
      <c r="CP18" s="143">
        <v>87.945862000000005</v>
      </c>
      <c r="CQ18" s="143">
        <v>0.66155699999999995</v>
      </c>
      <c r="CR18" s="143"/>
      <c r="EK18" s="143"/>
    </row>
    <row r="19" spans="1:141" s="145" customFormat="1">
      <c r="A19" s="143" t="s">
        <v>705</v>
      </c>
      <c r="B19" s="143">
        <v>2</v>
      </c>
      <c r="C19" s="143">
        <v>220</v>
      </c>
      <c r="D19" s="143">
        <v>220</v>
      </c>
      <c r="E19" s="143">
        <v>25.156199999999998</v>
      </c>
      <c r="F19" s="143">
        <v>25.026</v>
      </c>
      <c r="G19" s="143">
        <v>1451.91</v>
      </c>
      <c r="H19" s="143">
        <v>1452.14</v>
      </c>
      <c r="I19" s="143">
        <v>1452.21</v>
      </c>
      <c r="J19" s="143">
        <v>1451.56</v>
      </c>
      <c r="K19" s="143">
        <v>1451.86</v>
      </c>
      <c r="L19" s="143">
        <v>1452.02</v>
      </c>
      <c r="M19" s="143">
        <v>1451.91</v>
      </c>
      <c r="N19" s="143">
        <v>1452.33</v>
      </c>
      <c r="O19" s="143">
        <v>0.874942</v>
      </c>
      <c r="P19" s="143">
        <v>2500.66</v>
      </c>
      <c r="Q19" s="143">
        <v>2500.1</v>
      </c>
      <c r="R19" s="143">
        <v>2499.4899999999998</v>
      </c>
      <c r="S19" s="143">
        <v>2499.34</v>
      </c>
      <c r="T19" s="143">
        <v>2499.36</v>
      </c>
      <c r="U19" s="143">
        <v>2499.34</v>
      </c>
      <c r="V19" s="143">
        <v>2499.75</v>
      </c>
      <c r="W19" s="143">
        <v>2500.23</v>
      </c>
      <c r="X19" s="143">
        <v>210</v>
      </c>
      <c r="Y19" s="143">
        <v>2.0009899999999998</v>
      </c>
      <c r="Z19" s="143">
        <v>2.00223</v>
      </c>
      <c r="AA19" s="143">
        <v>2.0007999999999999</v>
      </c>
      <c r="AB19" s="143">
        <v>2.0057800000000001</v>
      </c>
      <c r="AC19" s="143">
        <v>1.9999199999999999</v>
      </c>
      <c r="AD19" s="143">
        <v>1.9974799999999999</v>
      </c>
      <c r="AE19" s="143">
        <v>1.99777</v>
      </c>
      <c r="AF19" s="143">
        <v>1.9999400000000001</v>
      </c>
      <c r="AG19" s="143" t="s">
        <v>706</v>
      </c>
      <c r="AH19" s="143" t="s">
        <v>173</v>
      </c>
      <c r="AI19" s="143">
        <v>34.138789000000003</v>
      </c>
      <c r="AJ19" s="143">
        <v>30.327756999999998</v>
      </c>
      <c r="AK19" s="143">
        <v>5386392</v>
      </c>
      <c r="AL19" s="143">
        <v>1.6150000095367001</v>
      </c>
      <c r="AM19" s="143">
        <v>65.861210999999997</v>
      </c>
      <c r="AN19" s="143">
        <v>58.508893</v>
      </c>
      <c r="AO19" s="143">
        <v>279224081</v>
      </c>
      <c r="AP19" s="143">
        <v>3.9750000000000001</v>
      </c>
      <c r="AQ19" s="143"/>
      <c r="AR19" s="113">
        <f t="shared" si="0"/>
        <v>57.99593963716908</v>
      </c>
      <c r="AS19" s="113">
        <f t="shared" si="1"/>
        <v>29.051749633109946</v>
      </c>
      <c r="AT19" s="143"/>
      <c r="AU19" s="146">
        <f t="shared" si="16"/>
        <v>46252</v>
      </c>
      <c r="AV19" s="147">
        <f t="shared" si="17"/>
        <v>0.5618981481481482</v>
      </c>
      <c r="AW19" s="146">
        <f t="shared" si="18"/>
        <v>46252</v>
      </c>
      <c r="AX19" s="147">
        <f t="shared" si="19"/>
        <v>0.63312500000000005</v>
      </c>
      <c r="AY19" s="142">
        <v>46252</v>
      </c>
      <c r="AZ19" s="149">
        <v>0.56190972222222224</v>
      </c>
      <c r="BA19" s="143" t="s">
        <v>707</v>
      </c>
      <c r="BB19" s="143">
        <v>0</v>
      </c>
      <c r="BC19" s="143">
        <v>0</v>
      </c>
      <c r="BD19" s="143">
        <v>3.8126159999999998</v>
      </c>
      <c r="BE19" s="143">
        <v>3.1641270000000001</v>
      </c>
      <c r="BF19" s="143">
        <v>8.3101149999999997</v>
      </c>
      <c r="BG19" s="143">
        <v>12.630979999999999</v>
      </c>
      <c r="BH19" s="143">
        <v>9.8450319999999998</v>
      </c>
      <c r="BI19" s="143">
        <v>0</v>
      </c>
      <c r="BJ19" s="143">
        <v>15.327868</v>
      </c>
      <c r="BK19" s="143">
        <v>8.0754479999999997</v>
      </c>
      <c r="BL19" s="143">
        <v>4.7408130000000002</v>
      </c>
      <c r="BM19" s="143">
        <v>1.9253039999999999</v>
      </c>
      <c r="BN19" s="143">
        <v>0.2029</v>
      </c>
      <c r="BO19" s="143">
        <v>0.36350700000000002</v>
      </c>
      <c r="BP19" s="143">
        <v>0.64879500000000001</v>
      </c>
      <c r="BQ19" s="143">
        <v>0</v>
      </c>
      <c r="BR19" s="143">
        <v>9.5622849999999993</v>
      </c>
      <c r="BS19" s="143">
        <v>11.803224999999999</v>
      </c>
      <c r="BT19" s="143">
        <v>3.44794</v>
      </c>
      <c r="BU19" s="143">
        <v>1.0703549999999999</v>
      </c>
      <c r="BV19" s="143">
        <v>0</v>
      </c>
      <c r="BW19" s="143">
        <v>4.1319790000000003</v>
      </c>
      <c r="BX19" s="143">
        <v>0.73956900000000003</v>
      </c>
      <c r="BY19" s="143">
        <v>0</v>
      </c>
      <c r="BZ19" s="143">
        <v>8.8965000000000002E-2</v>
      </c>
      <c r="CA19" s="143">
        <v>0</v>
      </c>
      <c r="CB19" s="143">
        <v>0</v>
      </c>
      <c r="CC19" s="143">
        <v>0</v>
      </c>
      <c r="CD19" s="143">
        <v>0</v>
      </c>
      <c r="CE19" s="143">
        <v>0</v>
      </c>
      <c r="CF19" s="143">
        <v>1.8758E-2</v>
      </c>
      <c r="CG19" s="143">
        <v>0</v>
      </c>
      <c r="CH19" s="143">
        <v>0</v>
      </c>
      <c r="CI19" s="143">
        <v>0</v>
      </c>
      <c r="CJ19" s="143">
        <v>6.3910999999999996E-2</v>
      </c>
      <c r="CK19" s="143">
        <v>2.3480999999999998E-2</v>
      </c>
      <c r="CL19" s="143">
        <v>83.458091999999994</v>
      </c>
      <c r="CM19" s="143">
        <v>16.482336</v>
      </c>
      <c r="CN19" s="143">
        <v>60.221637999999999</v>
      </c>
      <c r="CO19" s="143">
        <v>58.715190999999997</v>
      </c>
      <c r="CP19" s="143">
        <v>79.277275000000003</v>
      </c>
      <c r="CQ19" s="143">
        <v>0.64035299999999995</v>
      </c>
      <c r="CR19" s="143"/>
      <c r="EK19" s="143"/>
    </row>
    <row r="20" spans="1:141" s="1" customFormat="1">
      <c r="A20" s="76" t="s">
        <v>708</v>
      </c>
      <c r="B20" s="41">
        <v>3</v>
      </c>
      <c r="C20" s="41">
        <v>220</v>
      </c>
      <c r="D20" s="41">
        <v>220</v>
      </c>
      <c r="E20" s="41">
        <v>25.125900000000001</v>
      </c>
      <c r="F20" s="2">
        <v>25.017399999999999</v>
      </c>
      <c r="G20" s="2">
        <v>1436.66</v>
      </c>
      <c r="H20" s="2">
        <v>1436.31</v>
      </c>
      <c r="I20" s="2">
        <v>1436.61</v>
      </c>
      <c r="J20" s="2">
        <v>1438.06</v>
      </c>
      <c r="K20" s="2">
        <v>1435.9</v>
      </c>
      <c r="L20" s="2">
        <v>1436.84</v>
      </c>
      <c r="M20" s="2">
        <v>1436.14</v>
      </c>
      <c r="N20" s="2">
        <v>1436.01</v>
      </c>
      <c r="O20" s="2">
        <v>0.968472</v>
      </c>
      <c r="P20" s="2">
        <v>2499.6799999999998</v>
      </c>
      <c r="Q20" s="2">
        <v>2500.62</v>
      </c>
      <c r="R20" s="2">
        <v>2499.11</v>
      </c>
      <c r="S20" s="2">
        <v>2500.1</v>
      </c>
      <c r="T20" s="2">
        <v>2499.6999999999998</v>
      </c>
      <c r="U20" s="2">
        <v>2499.59</v>
      </c>
      <c r="V20" s="2">
        <v>2500.23</v>
      </c>
      <c r="W20" s="2">
        <v>2500.0300000000002</v>
      </c>
      <c r="X20" s="2">
        <v>210</v>
      </c>
      <c r="Y20" s="2">
        <v>1.99719</v>
      </c>
      <c r="Z20" s="2">
        <v>1.99681</v>
      </c>
      <c r="AA20" s="2">
        <v>1.9976799999999999</v>
      </c>
      <c r="AB20" s="2">
        <v>2.02813</v>
      </c>
      <c r="AC20" s="2">
        <v>1.9967200000000001</v>
      </c>
      <c r="AD20" s="2">
        <v>2.0044200000000001</v>
      </c>
      <c r="AE20" s="2">
        <v>1.99654</v>
      </c>
      <c r="AF20" s="2">
        <v>1.99701</v>
      </c>
      <c r="AG20" s="76" t="s">
        <v>709</v>
      </c>
      <c r="AH20" s="2" t="s">
        <v>173</v>
      </c>
      <c r="AI20" s="2">
        <v>32.795225000000002</v>
      </c>
      <c r="AJ20" s="2">
        <v>28.546714000000001</v>
      </c>
      <c r="AK20" s="2">
        <v>5070068</v>
      </c>
      <c r="AL20" s="2">
        <v>1.6133333444594999</v>
      </c>
      <c r="AM20" s="2">
        <v>67.204774999999998</v>
      </c>
      <c r="AN20" s="2">
        <v>58.498623000000002</v>
      </c>
      <c r="AO20" s="2">
        <v>279175066</v>
      </c>
      <c r="AP20" s="2">
        <v>3.9729999999999999</v>
      </c>
      <c r="AQ20" s="2"/>
      <c r="AR20" s="113">
        <f t="shared" si="0"/>
        <v>57.985546473862513</v>
      </c>
      <c r="AS20" s="113">
        <f t="shared" si="1"/>
        <v>27.286637389863234</v>
      </c>
      <c r="AT20" s="2"/>
      <c r="AU20" s="140">
        <f t="shared" si="16"/>
        <v>46252</v>
      </c>
      <c r="AV20" s="141">
        <f t="shared" si="17"/>
        <v>0.64803240740740742</v>
      </c>
      <c r="AW20" s="140">
        <f t="shared" si="18"/>
        <v>46252</v>
      </c>
      <c r="AX20" s="141">
        <f t="shared" si="19"/>
        <v>0.71924768518518523</v>
      </c>
      <c r="AY20" s="142">
        <v>46252</v>
      </c>
      <c r="AZ20" s="138">
        <v>0.64804398148148146</v>
      </c>
      <c r="BA20" s="2" t="s">
        <v>710</v>
      </c>
      <c r="BB20" s="2">
        <v>0</v>
      </c>
      <c r="BC20" s="2">
        <v>0</v>
      </c>
      <c r="BD20" s="2">
        <v>9.8913089999999997</v>
      </c>
      <c r="BE20" s="2">
        <v>3.735582</v>
      </c>
      <c r="BF20" s="2">
        <v>19.062832</v>
      </c>
      <c r="BG20" s="2">
        <v>11.938774</v>
      </c>
      <c r="BH20" s="2">
        <v>11.752045000000001</v>
      </c>
      <c r="BI20" s="2">
        <v>0</v>
      </c>
      <c r="BJ20" s="2">
        <v>10.856396</v>
      </c>
      <c r="BK20" s="2">
        <v>9.5609400000000004</v>
      </c>
      <c r="BL20" s="2">
        <v>5.9070400000000003</v>
      </c>
      <c r="BM20" s="2">
        <v>2.8712240000000002</v>
      </c>
      <c r="BN20" s="2">
        <v>0.83699900000000005</v>
      </c>
      <c r="BO20" s="2">
        <v>0.24310399999999999</v>
      </c>
      <c r="BP20" s="2">
        <v>0.55218699999999998</v>
      </c>
      <c r="BQ20" s="2">
        <v>0</v>
      </c>
      <c r="BR20" s="2">
        <v>2.6050049999999998</v>
      </c>
      <c r="BS20" s="2">
        <v>5.6833320000000001</v>
      </c>
      <c r="BT20" s="2">
        <v>2.537032</v>
      </c>
      <c r="BU20" s="2">
        <v>0.87341899999999995</v>
      </c>
      <c r="BV20" s="2">
        <v>0</v>
      </c>
      <c r="BW20" s="2">
        <v>0.27910099999999999</v>
      </c>
      <c r="BX20" s="2">
        <v>0.52335799999999999</v>
      </c>
      <c r="BY20" s="2">
        <v>0</v>
      </c>
      <c r="BZ20" s="2">
        <v>0.12111</v>
      </c>
      <c r="CA20" s="2">
        <v>2.6280000000000001E-3</v>
      </c>
      <c r="CB20" s="2">
        <v>0</v>
      </c>
      <c r="CC20" s="2">
        <v>0</v>
      </c>
      <c r="CD20" s="2">
        <v>0</v>
      </c>
      <c r="CE20" s="2">
        <v>0</v>
      </c>
      <c r="CF20" s="2">
        <v>1.7843000000000001E-2</v>
      </c>
      <c r="CG20" s="2">
        <v>4.5139999999999998E-3</v>
      </c>
      <c r="CH20" s="2">
        <v>0</v>
      </c>
      <c r="CI20" s="2">
        <v>0</v>
      </c>
      <c r="CJ20" s="2">
        <v>7.7809999999999997E-3</v>
      </c>
      <c r="CK20" s="2">
        <v>0.136439</v>
      </c>
      <c r="CL20" s="2">
        <v>83.169319000000002</v>
      </c>
      <c r="CM20" s="2">
        <v>16.773402999999998</v>
      </c>
      <c r="CN20" s="2">
        <v>77.365295000000003</v>
      </c>
      <c r="CO20" s="2">
        <v>78.203963999999999</v>
      </c>
      <c r="CP20" s="2">
        <v>69.981392</v>
      </c>
      <c r="CQ20" s="2">
        <v>0.55628</v>
      </c>
      <c r="CR20" s="2"/>
      <c r="EK20" s="2"/>
    </row>
    <row r="21" spans="1:141">
      <c r="A21" s="76" t="s">
        <v>711</v>
      </c>
      <c r="B21" s="41">
        <v>4</v>
      </c>
      <c r="C21" s="41">
        <v>220</v>
      </c>
      <c r="D21" s="41">
        <v>220</v>
      </c>
      <c r="E21" s="41">
        <v>25.070900000000002</v>
      </c>
      <c r="F21" s="41">
        <v>25.023099999999999</v>
      </c>
      <c r="G21" s="41">
        <v>1408.33</v>
      </c>
      <c r="H21" s="41">
        <v>1408.39</v>
      </c>
      <c r="I21" s="41">
        <v>1407.72</v>
      </c>
      <c r="J21" s="41">
        <v>1407.03</v>
      </c>
      <c r="K21" s="41">
        <v>1408.54</v>
      </c>
      <c r="L21" s="41">
        <v>1407.84</v>
      </c>
      <c r="M21" s="41">
        <v>1408.19</v>
      </c>
      <c r="N21" s="41">
        <v>1408.53</v>
      </c>
      <c r="O21" s="41">
        <v>0.91639499999999996</v>
      </c>
      <c r="P21" s="41">
        <v>2501.0700000000002</v>
      </c>
      <c r="Q21" s="41">
        <v>2500.34</v>
      </c>
      <c r="R21" s="41">
        <v>2499.44</v>
      </c>
      <c r="S21" s="41">
        <v>2500.39</v>
      </c>
      <c r="T21" s="41">
        <v>2500.04</v>
      </c>
      <c r="U21" s="41">
        <v>2500.62</v>
      </c>
      <c r="V21" s="41">
        <v>2500.41</v>
      </c>
      <c r="W21" s="41">
        <v>2500.75</v>
      </c>
      <c r="X21" s="41">
        <v>209.9</v>
      </c>
      <c r="Y21" s="41">
        <v>1.9966699999999999</v>
      </c>
      <c r="Z21" s="41">
        <v>2.00115</v>
      </c>
      <c r="AA21" s="41">
        <v>1.9965599999999999</v>
      </c>
      <c r="AB21" s="41">
        <v>2.00285</v>
      </c>
      <c r="AC21" s="41">
        <v>1.99861</v>
      </c>
      <c r="AD21" s="41">
        <v>2.0004900000000001</v>
      </c>
      <c r="AE21" s="41">
        <v>2.0028199999999998</v>
      </c>
      <c r="AF21" s="41">
        <v>2.0022199999999999</v>
      </c>
      <c r="AG21" s="76" t="s">
        <v>712</v>
      </c>
      <c r="AH21" s="41" t="s">
        <v>173</v>
      </c>
      <c r="AI21" s="41">
        <v>37.284081</v>
      </c>
      <c r="AJ21" s="41">
        <v>33.860931000000001</v>
      </c>
      <c r="AK21" s="41">
        <v>6013905</v>
      </c>
      <c r="AL21" s="41">
        <v>1.6166666746139999</v>
      </c>
      <c r="AM21" s="41">
        <v>62.715919</v>
      </c>
      <c r="AN21" s="41">
        <v>56.957804000000003</v>
      </c>
      <c r="AO21" s="41">
        <v>271821765</v>
      </c>
      <c r="AP21" s="41">
        <v>3.9780000000000002</v>
      </c>
      <c r="AR21" s="113">
        <f t="shared" si="0"/>
        <v>56.426349123350512</v>
      </c>
      <c r="AS21" s="113">
        <f t="shared" si="1"/>
        <v>32.553320424755455</v>
      </c>
      <c r="AU21" s="106">
        <f t="shared" si="16"/>
        <v>46252</v>
      </c>
      <c r="AV21" s="107">
        <f t="shared" si="17"/>
        <v>0.7341550925925926</v>
      </c>
      <c r="AW21" s="106">
        <f t="shared" si="18"/>
        <v>46252</v>
      </c>
      <c r="AX21" s="107">
        <f t="shared" si="19"/>
        <v>0.80543981481481486</v>
      </c>
      <c r="AY21" s="142">
        <v>46252</v>
      </c>
      <c r="AZ21" s="116">
        <v>0.73418981481481482</v>
      </c>
      <c r="BA21" s="41" t="s">
        <v>713</v>
      </c>
      <c r="BB21" s="41">
        <v>0</v>
      </c>
      <c r="BC21" s="41">
        <v>0</v>
      </c>
      <c r="BD21" s="41">
        <v>4.4956999999999997E-2</v>
      </c>
      <c r="BE21" s="41">
        <v>1.638328</v>
      </c>
      <c r="BF21" s="41">
        <v>0.295072</v>
      </c>
      <c r="BG21" s="41">
        <v>12.8826</v>
      </c>
      <c r="BH21" s="41">
        <v>7.5898380000000003</v>
      </c>
      <c r="BI21" s="41">
        <v>0</v>
      </c>
      <c r="BJ21" s="41">
        <v>17.764187</v>
      </c>
      <c r="BK21" s="41">
        <v>8.0108700000000006</v>
      </c>
      <c r="BL21" s="41">
        <v>3.6804960000000002</v>
      </c>
      <c r="BM21" s="41">
        <v>0.71890900000000002</v>
      </c>
      <c r="BN21" s="41">
        <v>1.6399E-2</v>
      </c>
      <c r="BO21" s="41">
        <v>0.304732</v>
      </c>
      <c r="BP21" s="41">
        <v>0.66631200000000002</v>
      </c>
      <c r="BQ21" s="41">
        <v>0</v>
      </c>
      <c r="BR21" s="41">
        <v>16.052357000000001</v>
      </c>
      <c r="BS21" s="41">
        <v>13.736083000000001</v>
      </c>
      <c r="BT21" s="41">
        <v>0.99130200000000002</v>
      </c>
      <c r="BU21" s="41">
        <v>0.96160500000000004</v>
      </c>
      <c r="BV21" s="41">
        <v>0</v>
      </c>
      <c r="BW21" s="41">
        <v>13.46955</v>
      </c>
      <c r="BX21" s="41">
        <v>0.39155400000000001</v>
      </c>
      <c r="BY21" s="41">
        <v>0</v>
      </c>
      <c r="BZ21" s="41">
        <v>0.172875</v>
      </c>
      <c r="CA21" s="41">
        <v>1.6649000000000001E-2</v>
      </c>
      <c r="CB21" s="41">
        <v>0</v>
      </c>
      <c r="CC21" s="41">
        <v>0</v>
      </c>
      <c r="CD21" s="41">
        <v>0</v>
      </c>
      <c r="CE21" s="41">
        <v>0</v>
      </c>
      <c r="CF21" s="41">
        <v>0</v>
      </c>
      <c r="CG21" s="41">
        <v>2.2131999999999999E-2</v>
      </c>
      <c r="CH21" s="41">
        <v>5.0708000000000003E-2</v>
      </c>
      <c r="CI21" s="41">
        <v>0.153835</v>
      </c>
      <c r="CJ21" s="41">
        <v>0.16694100000000001</v>
      </c>
      <c r="CK21" s="41">
        <v>0.20091400000000001</v>
      </c>
      <c r="CL21" s="41">
        <v>83.850311000000005</v>
      </c>
      <c r="CM21" s="41">
        <v>16.176891000000001</v>
      </c>
      <c r="CN21" s="41">
        <v>41.779572000000002</v>
      </c>
      <c r="CO21" s="41">
        <v>40.407471000000001</v>
      </c>
      <c r="CP21" s="41">
        <v>88.990723000000003</v>
      </c>
      <c r="CQ21" s="41">
        <v>0.66512199999999999</v>
      </c>
    </row>
    <row r="22" spans="1:141">
      <c r="A22" s="76" t="s">
        <v>714</v>
      </c>
      <c r="B22" s="41">
        <v>5</v>
      </c>
      <c r="C22" s="41">
        <v>220</v>
      </c>
      <c r="D22" s="41">
        <v>220</v>
      </c>
      <c r="E22" s="41">
        <v>25.2836</v>
      </c>
      <c r="F22" s="41">
        <v>25.040500000000002</v>
      </c>
      <c r="G22" s="41">
        <v>1405.62</v>
      </c>
      <c r="H22" s="41">
        <v>1404.98</v>
      </c>
      <c r="I22" s="41">
        <v>1405.1</v>
      </c>
      <c r="J22" s="41">
        <v>1405.26</v>
      </c>
      <c r="K22" s="41">
        <v>1405.36</v>
      </c>
      <c r="L22" s="41">
        <v>1405.42</v>
      </c>
      <c r="M22" s="41">
        <v>1404.58</v>
      </c>
      <c r="N22" s="41">
        <v>1405.42</v>
      </c>
      <c r="O22" s="41">
        <v>0.92791500000000005</v>
      </c>
      <c r="P22" s="41">
        <v>2501.42</v>
      </c>
      <c r="Q22" s="41">
        <v>2500.12</v>
      </c>
      <c r="R22" s="41">
        <v>2500.9</v>
      </c>
      <c r="S22" s="41">
        <v>2499.06</v>
      </c>
      <c r="T22" s="41">
        <v>2499.61</v>
      </c>
      <c r="U22" s="41">
        <v>2500.2199999999998</v>
      </c>
      <c r="V22" s="41">
        <v>2500.2800000000002</v>
      </c>
      <c r="W22" s="41">
        <v>2499.66</v>
      </c>
      <c r="X22" s="41">
        <v>209.9</v>
      </c>
      <c r="Y22" s="41">
        <v>2.0013100000000001</v>
      </c>
      <c r="Z22" s="41">
        <v>1.99901</v>
      </c>
      <c r="AA22" s="41">
        <v>2.0005000000000002</v>
      </c>
      <c r="AB22" s="41">
        <v>2.0007799999999998</v>
      </c>
      <c r="AC22" s="41">
        <v>1.9996100000000001</v>
      </c>
      <c r="AD22" s="41">
        <v>1.99925</v>
      </c>
      <c r="AE22" s="41">
        <v>2.0034800000000001</v>
      </c>
      <c r="AF22" s="41">
        <v>2.00048</v>
      </c>
      <c r="AG22" s="76" t="s">
        <v>715</v>
      </c>
      <c r="AH22" s="41" t="s">
        <v>173</v>
      </c>
      <c r="AI22" s="41">
        <v>36.457166999999998</v>
      </c>
      <c r="AJ22" s="41">
        <v>32.777697000000003</v>
      </c>
      <c r="AK22" s="41">
        <v>5821516</v>
      </c>
      <c r="AL22" s="41">
        <v>1.6166666746139999</v>
      </c>
      <c r="AM22" s="41">
        <v>63.542833000000002</v>
      </c>
      <c r="AN22" s="41">
        <v>57.129719000000001</v>
      </c>
      <c r="AO22" s="41">
        <v>272642198</v>
      </c>
      <c r="AP22" s="41">
        <v>3.9820000000000002</v>
      </c>
      <c r="AR22" s="113">
        <f t="shared" si="0"/>
        <v>56.600314116742268</v>
      </c>
      <c r="AS22" s="113">
        <f t="shared" si="1"/>
        <v>31.479775011299655</v>
      </c>
      <c r="AU22" s="106">
        <f t="shared" si="16"/>
        <v>46252</v>
      </c>
      <c r="AV22" s="107">
        <f t="shared" si="17"/>
        <v>0.82027777777777777</v>
      </c>
      <c r="AW22" s="106">
        <f t="shared" si="18"/>
        <v>46252</v>
      </c>
      <c r="AX22" s="107">
        <f t="shared" si="19"/>
        <v>0.89152777777777781</v>
      </c>
      <c r="AY22" s="142">
        <v>46252</v>
      </c>
      <c r="AZ22" s="116">
        <v>0.8203125</v>
      </c>
      <c r="BA22" s="41" t="s">
        <v>716</v>
      </c>
      <c r="BB22" s="41">
        <v>0</v>
      </c>
      <c r="BC22" s="41">
        <v>0</v>
      </c>
      <c r="BD22" s="41">
        <v>0.486205</v>
      </c>
      <c r="BE22" s="41">
        <v>1.962801</v>
      </c>
      <c r="BF22" s="41">
        <v>1.8168169999999999</v>
      </c>
      <c r="BG22" s="41">
        <v>12.788983</v>
      </c>
      <c r="BH22" s="41">
        <v>8.3730460000000004</v>
      </c>
      <c r="BI22" s="41">
        <v>0</v>
      </c>
      <c r="BJ22" s="41">
        <v>17.023859000000002</v>
      </c>
      <c r="BK22" s="41">
        <v>7.5054069999999999</v>
      </c>
      <c r="BL22" s="41">
        <v>4.1823069999999998</v>
      </c>
      <c r="BM22" s="41">
        <v>1.276934</v>
      </c>
      <c r="BN22" s="41">
        <v>0.176839</v>
      </c>
      <c r="BO22" s="41">
        <v>0.30871300000000002</v>
      </c>
      <c r="BP22" s="41">
        <v>0.66656700000000002</v>
      </c>
      <c r="BQ22" s="41">
        <v>0</v>
      </c>
      <c r="BR22" s="41">
        <v>14.131417000000001</v>
      </c>
      <c r="BS22" s="41">
        <v>12.651721999999999</v>
      </c>
      <c r="BT22" s="41">
        <v>3.1599520000000001</v>
      </c>
      <c r="BU22" s="41">
        <v>1.0550679999999999</v>
      </c>
      <c r="BV22" s="41">
        <v>0</v>
      </c>
      <c r="BW22" s="41">
        <v>10.832361000000001</v>
      </c>
      <c r="BX22" s="41">
        <v>0.96047099999999996</v>
      </c>
      <c r="BY22" s="41">
        <v>0</v>
      </c>
      <c r="BZ22" s="41">
        <v>0.133051</v>
      </c>
      <c r="CA22" s="41">
        <v>2.1253000000000001E-2</v>
      </c>
      <c r="CB22" s="41">
        <v>0</v>
      </c>
      <c r="CC22" s="41">
        <v>0</v>
      </c>
      <c r="CD22" s="41">
        <v>0</v>
      </c>
      <c r="CE22" s="41">
        <v>0</v>
      </c>
      <c r="CF22" s="41">
        <v>2.0124E-2</v>
      </c>
      <c r="CG22" s="41">
        <v>6.1419999999999999E-3</v>
      </c>
      <c r="CH22" s="41">
        <v>0</v>
      </c>
      <c r="CI22" s="41">
        <v>8.0845E-2</v>
      </c>
      <c r="CJ22" s="41">
        <v>0.100679</v>
      </c>
      <c r="CK22" s="41">
        <v>0.23982600000000001</v>
      </c>
      <c r="CL22" s="41">
        <v>83.769440000000003</v>
      </c>
      <c r="CM22" s="41">
        <v>16.231708999999999</v>
      </c>
      <c r="CN22" s="41">
        <v>47.891514000000001</v>
      </c>
      <c r="CO22" s="41">
        <v>45.731181999999997</v>
      </c>
      <c r="CP22" s="41">
        <v>87.073441000000003</v>
      </c>
      <c r="CQ22" s="41">
        <v>0.65307899999999997</v>
      </c>
    </row>
    <row r="23" spans="1:141">
      <c r="A23" s="76" t="s">
        <v>717</v>
      </c>
      <c r="B23" s="41">
        <v>6</v>
      </c>
      <c r="C23" s="41">
        <v>220</v>
      </c>
      <c r="D23" s="41">
        <v>220</v>
      </c>
      <c r="E23" s="41">
        <v>25.361699999999999</v>
      </c>
      <c r="F23" s="41">
        <v>25.050599999999999</v>
      </c>
      <c r="G23" s="41">
        <v>1453.11</v>
      </c>
      <c r="H23" s="41">
        <v>1452.61</v>
      </c>
      <c r="I23" s="41">
        <v>1451.99</v>
      </c>
      <c r="J23" s="41">
        <v>1450.05</v>
      </c>
      <c r="K23" s="41">
        <v>1452.12</v>
      </c>
      <c r="L23" s="41">
        <v>1452.05</v>
      </c>
      <c r="M23" s="41">
        <v>1453</v>
      </c>
      <c r="N23" s="41">
        <v>1453.8</v>
      </c>
      <c r="O23" s="41">
        <v>0.88336700000000001</v>
      </c>
      <c r="P23" s="41">
        <v>2500.7800000000002</v>
      </c>
      <c r="Q23" s="41">
        <v>2499.94</v>
      </c>
      <c r="R23" s="41">
        <v>2499.8000000000002</v>
      </c>
      <c r="S23" s="41">
        <v>2499.2199999999998</v>
      </c>
      <c r="T23" s="41">
        <v>2499.9</v>
      </c>
      <c r="U23" s="41">
        <v>2500.7800000000002</v>
      </c>
      <c r="V23" s="41">
        <v>2500.29</v>
      </c>
      <c r="W23" s="41">
        <v>2498.9699999999998</v>
      </c>
      <c r="X23" s="41">
        <v>209.9</v>
      </c>
      <c r="Y23" s="41">
        <v>2.0022199999999999</v>
      </c>
      <c r="Z23" s="41">
        <v>1.99777</v>
      </c>
      <c r="AA23" s="41">
        <v>1.9976499999999999</v>
      </c>
      <c r="AB23" s="41">
        <v>1.9985900000000001</v>
      </c>
      <c r="AC23" s="41">
        <v>1.99993</v>
      </c>
      <c r="AD23" s="41">
        <v>2.0040200000000001</v>
      </c>
      <c r="AE23" s="41">
        <v>2.0002</v>
      </c>
      <c r="AF23" s="41">
        <v>2.0009999999999999</v>
      </c>
      <c r="AG23" s="76" t="s">
        <v>718</v>
      </c>
      <c r="AH23" s="41" t="s">
        <v>173</v>
      </c>
      <c r="AI23" s="41">
        <v>34.482726999999997</v>
      </c>
      <c r="AJ23" s="41">
        <v>30.667587999999999</v>
      </c>
      <c r="AK23" s="41">
        <v>5446748</v>
      </c>
      <c r="AL23" s="41">
        <v>1.6166666746139999</v>
      </c>
      <c r="AM23" s="41">
        <v>65.517273000000003</v>
      </c>
      <c r="AN23" s="41">
        <v>58.268498999999998</v>
      </c>
      <c r="AO23" s="41">
        <v>278076838</v>
      </c>
      <c r="AP23" s="41">
        <v>3.98</v>
      </c>
      <c r="AR23" s="113">
        <f t="shared" si="0"/>
        <v>57.752677699980133</v>
      </c>
      <c r="AS23" s="113">
        <f t="shared" si="1"/>
        <v>29.38854075409159</v>
      </c>
      <c r="AU23" s="106">
        <f t="shared" si="16"/>
        <v>46252</v>
      </c>
      <c r="AV23" s="107">
        <f t="shared" si="17"/>
        <v>0.90640046296296295</v>
      </c>
      <c r="AW23" s="106">
        <f t="shared" si="18"/>
        <v>46252</v>
      </c>
      <c r="AX23" s="107">
        <f t="shared" si="19"/>
        <v>0.97763888888888884</v>
      </c>
      <c r="AY23" s="142">
        <v>46252</v>
      </c>
      <c r="AZ23" s="116">
        <v>0.90642361111111114</v>
      </c>
      <c r="BA23" s="41" t="s">
        <v>719</v>
      </c>
      <c r="BB23" s="41">
        <v>0</v>
      </c>
      <c r="BC23" s="41">
        <v>0</v>
      </c>
      <c r="BD23" s="41">
        <v>3.7819970000000001</v>
      </c>
      <c r="BE23" s="41">
        <v>3.2143440000000001</v>
      </c>
      <c r="BF23" s="41">
        <v>8.3008670000000002</v>
      </c>
      <c r="BG23" s="41">
        <v>12.490660999999999</v>
      </c>
      <c r="BH23" s="41">
        <v>10.013178999999999</v>
      </c>
      <c r="BI23" s="41">
        <v>0</v>
      </c>
      <c r="BJ23" s="41">
        <v>14.215861</v>
      </c>
      <c r="BK23" s="41">
        <v>8.5557429999999997</v>
      </c>
      <c r="BL23" s="41">
        <v>5.1630760000000002</v>
      </c>
      <c r="BM23" s="41">
        <v>1.8676999999999999</v>
      </c>
      <c r="BN23" s="41">
        <v>0.38768799999999998</v>
      </c>
      <c r="BO23" s="41">
        <v>0.32079200000000002</v>
      </c>
      <c r="BP23" s="41">
        <v>0.68680200000000002</v>
      </c>
      <c r="BQ23" s="41">
        <v>0</v>
      </c>
      <c r="BR23" s="41">
        <v>7.4726749999999997</v>
      </c>
      <c r="BS23" s="41">
        <v>13.26511</v>
      </c>
      <c r="BT23" s="41">
        <v>4.1864790000000003</v>
      </c>
      <c r="BU23" s="41">
        <v>1.0656969999999999</v>
      </c>
      <c r="BV23" s="41">
        <v>0</v>
      </c>
      <c r="BW23" s="41">
        <v>3.900868</v>
      </c>
      <c r="BX23" s="41">
        <v>0.77670099999999997</v>
      </c>
      <c r="BY23" s="41">
        <v>0</v>
      </c>
      <c r="BZ23" s="41">
        <v>9.1782000000000002E-2</v>
      </c>
      <c r="CA23" s="41">
        <v>0</v>
      </c>
      <c r="CB23" s="41">
        <v>0</v>
      </c>
      <c r="CC23" s="41">
        <v>0</v>
      </c>
      <c r="CD23" s="41">
        <v>0</v>
      </c>
      <c r="CE23" s="41">
        <v>0</v>
      </c>
      <c r="CF23" s="41">
        <v>1.7590999999999999E-2</v>
      </c>
      <c r="CG23" s="41">
        <v>0</v>
      </c>
      <c r="CH23" s="41">
        <v>0</v>
      </c>
      <c r="CI23" s="41">
        <v>0</v>
      </c>
      <c r="CJ23" s="41">
        <v>5.7015999999999997E-2</v>
      </c>
      <c r="CK23" s="41">
        <v>0.16672600000000001</v>
      </c>
      <c r="CL23" s="41">
        <v>83.493088</v>
      </c>
      <c r="CM23" s="41">
        <v>16.460381000000002</v>
      </c>
      <c r="CN23" s="41">
        <v>62.363624999999999</v>
      </c>
      <c r="CO23" s="41">
        <v>60.305832000000002</v>
      </c>
      <c r="CP23" s="41">
        <v>79.298385999999994</v>
      </c>
      <c r="CQ23" s="41">
        <v>0.63179099999999999</v>
      </c>
    </row>
    <row r="24" spans="1:141">
      <c r="A24" s="76" t="s">
        <v>720</v>
      </c>
      <c r="B24" s="41">
        <v>7</v>
      </c>
      <c r="C24" s="41">
        <v>220</v>
      </c>
      <c r="D24" s="41">
        <v>220</v>
      </c>
      <c r="E24" s="41">
        <v>25.245999999999999</v>
      </c>
      <c r="F24" s="41">
        <v>24.992799999999999</v>
      </c>
      <c r="G24" s="41">
        <v>1424.77</v>
      </c>
      <c r="H24" s="41">
        <v>1424.59</v>
      </c>
      <c r="I24" s="41">
        <v>1424.33</v>
      </c>
      <c r="J24" s="41">
        <v>1423.37</v>
      </c>
      <c r="K24" s="41">
        <v>1425.18</v>
      </c>
      <c r="L24" s="41">
        <v>1424.76</v>
      </c>
      <c r="M24" s="41">
        <v>1424.48</v>
      </c>
      <c r="N24" s="41">
        <v>1423.78</v>
      </c>
      <c r="O24" s="41">
        <v>0.90517000000000003</v>
      </c>
      <c r="P24" s="41">
        <v>2500.31</v>
      </c>
      <c r="Q24" s="41">
        <v>2500.41</v>
      </c>
      <c r="R24" s="41">
        <v>2499.87</v>
      </c>
      <c r="S24" s="41">
        <v>2499.87</v>
      </c>
      <c r="T24" s="41">
        <v>2500.16</v>
      </c>
      <c r="U24" s="41">
        <v>2500</v>
      </c>
      <c r="V24" s="41">
        <v>2499.73</v>
      </c>
      <c r="W24" s="41">
        <v>2498.98</v>
      </c>
      <c r="X24" s="41">
        <v>209.9</v>
      </c>
      <c r="Y24" s="41">
        <v>2.00271</v>
      </c>
      <c r="Z24" s="41">
        <v>2.0017299999999998</v>
      </c>
      <c r="AA24" s="41">
        <v>2.00061</v>
      </c>
      <c r="AB24" s="41">
        <v>1.99492</v>
      </c>
      <c r="AC24" s="41">
        <v>2.00441</v>
      </c>
      <c r="AD24" s="41">
        <v>2.0047999999999999</v>
      </c>
      <c r="AE24" s="41">
        <v>2.0045600000000001</v>
      </c>
      <c r="AF24" s="41">
        <v>2.0026700000000002</v>
      </c>
      <c r="AG24" s="76" t="s">
        <v>721</v>
      </c>
      <c r="AH24" s="41" t="s">
        <v>173</v>
      </c>
      <c r="AI24" s="41">
        <v>33.906705000000002</v>
      </c>
      <c r="AJ24" s="41">
        <v>29.580513</v>
      </c>
      <c r="AK24" s="41">
        <v>5253677</v>
      </c>
      <c r="AL24" s="41">
        <v>1.6150000095367001</v>
      </c>
      <c r="AM24" s="41">
        <v>66.093294999999998</v>
      </c>
      <c r="AN24" s="41">
        <v>57.660383000000003</v>
      </c>
      <c r="AO24" s="41">
        <v>275174705</v>
      </c>
      <c r="AP24" s="41">
        <v>3.9830000000000001</v>
      </c>
      <c r="AR24" s="113">
        <f t="shared" si="0"/>
        <v>57.137308074225189</v>
      </c>
      <c r="AS24" s="113">
        <f t="shared" si="1"/>
        <v>28.311189728194453</v>
      </c>
      <c r="AU24" s="106">
        <f t="shared" si="16"/>
        <v>46252</v>
      </c>
      <c r="AV24" s="107">
        <f t="shared" si="17"/>
        <v>0.99253472222222228</v>
      </c>
      <c r="AW24" s="106">
        <f t="shared" si="18"/>
        <v>46253</v>
      </c>
      <c r="AX24" s="107">
        <f t="shared" si="19"/>
        <v>6.3807870370370376E-2</v>
      </c>
      <c r="AY24" s="142">
        <v>46252</v>
      </c>
      <c r="AZ24" s="116">
        <v>0.99255787037037035</v>
      </c>
      <c r="BA24" s="41" t="s">
        <v>722</v>
      </c>
      <c r="BB24" s="41">
        <v>0</v>
      </c>
      <c r="BC24" s="41">
        <v>0</v>
      </c>
      <c r="BD24" s="41">
        <v>10.272964</v>
      </c>
      <c r="BE24" s="41">
        <v>3.8156409999999998</v>
      </c>
      <c r="BF24" s="41">
        <v>19.041429999999998</v>
      </c>
      <c r="BG24" s="41">
        <v>11.896103</v>
      </c>
      <c r="BH24" s="41">
        <v>11.689859999999999</v>
      </c>
      <c r="BI24" s="41">
        <v>0</v>
      </c>
      <c r="BJ24" s="41">
        <v>10.835919000000001</v>
      </c>
      <c r="BK24" s="41">
        <v>9.5865960000000001</v>
      </c>
      <c r="BL24" s="41">
        <v>5.9420549999999999</v>
      </c>
      <c r="BM24" s="41">
        <v>2.880852</v>
      </c>
      <c r="BN24" s="41">
        <v>0.79955100000000001</v>
      </c>
      <c r="BO24" s="41">
        <v>0.25844299999999998</v>
      </c>
      <c r="BP24" s="41">
        <v>0.59844699999999995</v>
      </c>
      <c r="BQ24" s="41">
        <v>0</v>
      </c>
      <c r="BR24" s="41">
        <v>2.590646</v>
      </c>
      <c r="BS24" s="41">
        <v>5.4850500000000002</v>
      </c>
      <c r="BT24" s="41">
        <v>2.4016999999999999</v>
      </c>
      <c r="BU24" s="41">
        <v>0.914632</v>
      </c>
      <c r="BV24" s="41">
        <v>0</v>
      </c>
      <c r="BW24" s="41">
        <v>0.27140399999999998</v>
      </c>
      <c r="BX24" s="41">
        <v>0.49144399999999999</v>
      </c>
      <c r="BY24" s="41">
        <v>0</v>
      </c>
      <c r="BZ24" s="41">
        <v>0.104962</v>
      </c>
      <c r="CA24" s="41">
        <v>1.421E-3</v>
      </c>
      <c r="CB24" s="41">
        <v>0</v>
      </c>
      <c r="CC24" s="41">
        <v>0</v>
      </c>
      <c r="CD24" s="41">
        <v>0</v>
      </c>
      <c r="CE24" s="41">
        <v>0</v>
      </c>
      <c r="CF24" s="41">
        <v>2.0029999999999999E-2</v>
      </c>
      <c r="CG24" s="41">
        <v>5.4949999999999999E-3</v>
      </c>
      <c r="CH24" s="41">
        <v>0</v>
      </c>
      <c r="CI24" s="41">
        <v>0</v>
      </c>
      <c r="CJ24" s="41">
        <v>7.4330000000000004E-3</v>
      </c>
      <c r="CK24" s="41">
        <v>8.7890999999999997E-2</v>
      </c>
      <c r="CL24" s="41">
        <v>83.150176999999999</v>
      </c>
      <c r="CM24" s="41">
        <v>16.788065</v>
      </c>
      <c r="CN24" s="41">
        <v>77.609984999999995</v>
      </c>
      <c r="CO24" s="41">
        <v>78.560066000000006</v>
      </c>
      <c r="CP24" s="41">
        <v>69.725616000000002</v>
      </c>
      <c r="CQ24" s="41">
        <v>0.55460500000000001</v>
      </c>
    </row>
    <row r="25" spans="1:141">
      <c r="A25" s="76" t="s">
        <v>723</v>
      </c>
      <c r="B25" s="41">
        <v>8</v>
      </c>
      <c r="C25" s="41">
        <v>220</v>
      </c>
      <c r="D25" s="41">
        <v>220</v>
      </c>
      <c r="E25" s="41">
        <v>25.335599999999999</v>
      </c>
      <c r="F25" s="41">
        <v>25.015899999999998</v>
      </c>
      <c r="G25" s="41">
        <v>1415.55</v>
      </c>
      <c r="H25" s="41">
        <v>1415.09</v>
      </c>
      <c r="I25" s="41">
        <v>1415.47</v>
      </c>
      <c r="J25" s="41">
        <v>1415.59</v>
      </c>
      <c r="K25" s="41">
        <v>1415.02</v>
      </c>
      <c r="L25" s="41">
        <v>1414.95</v>
      </c>
      <c r="M25" s="41">
        <v>1415.16</v>
      </c>
      <c r="N25" s="41">
        <v>1415.2</v>
      </c>
      <c r="O25" s="41">
        <v>0.95251200000000003</v>
      </c>
      <c r="P25" s="41">
        <v>2499.39</v>
      </c>
      <c r="Q25" s="41">
        <v>2499.41</v>
      </c>
      <c r="R25" s="41">
        <v>2499.54</v>
      </c>
      <c r="S25" s="41">
        <v>2500.4699999999998</v>
      </c>
      <c r="T25" s="41">
        <v>2499.81</v>
      </c>
      <c r="U25" s="41">
        <v>2499.81</v>
      </c>
      <c r="V25" s="41">
        <v>2500.06</v>
      </c>
      <c r="W25" s="41">
        <v>2500.77</v>
      </c>
      <c r="X25" s="41">
        <v>210</v>
      </c>
      <c r="Y25" s="41">
        <v>2.0019100000000001</v>
      </c>
      <c r="Z25" s="41">
        <v>1.9986200000000001</v>
      </c>
      <c r="AA25" s="41">
        <v>1.9987600000000001</v>
      </c>
      <c r="AB25" s="41">
        <v>1.996</v>
      </c>
      <c r="AC25" s="41">
        <v>2.0017499999999999</v>
      </c>
      <c r="AD25" s="41">
        <v>2.0030600000000001</v>
      </c>
      <c r="AE25" s="41">
        <v>1.99749</v>
      </c>
      <c r="AF25" s="41">
        <v>2.0013100000000001</v>
      </c>
      <c r="AG25" s="76" t="s">
        <v>724</v>
      </c>
      <c r="AH25" s="41" t="s">
        <v>173</v>
      </c>
      <c r="AI25" s="41">
        <v>35.888990999999997</v>
      </c>
      <c r="AJ25" s="41">
        <v>32.447527999999998</v>
      </c>
      <c r="AK25" s="41">
        <v>5762876</v>
      </c>
      <c r="AL25" s="41">
        <v>1.6166666746139999</v>
      </c>
      <c r="AM25" s="41">
        <v>64.111008999999996</v>
      </c>
      <c r="AN25" s="41">
        <v>57.963282</v>
      </c>
      <c r="AO25" s="41">
        <v>276620239</v>
      </c>
      <c r="AP25" s="41">
        <v>3.9870000000000001</v>
      </c>
      <c r="AR25" s="113">
        <f t="shared" si="0"/>
        <v>57.443819773239689</v>
      </c>
      <c r="AS25" s="113">
        <f t="shared" si="1"/>
        <v>31.152559302267186</v>
      </c>
      <c r="AU25" s="106">
        <f t="shared" si="16"/>
        <v>46253</v>
      </c>
      <c r="AV25" s="107">
        <f t="shared" si="17"/>
        <v>7.8657407407407412E-2</v>
      </c>
      <c r="AW25" s="106">
        <f t="shared" si="18"/>
        <v>46253</v>
      </c>
      <c r="AX25" s="107">
        <f t="shared" si="19"/>
        <v>0.14990740740740741</v>
      </c>
      <c r="AY25" s="142">
        <v>46253</v>
      </c>
      <c r="AZ25" s="116">
        <v>7.8668981481481479E-2</v>
      </c>
      <c r="BA25" s="41" t="s">
        <v>725</v>
      </c>
      <c r="BB25" s="41">
        <v>0</v>
      </c>
      <c r="BC25" s="41">
        <v>0</v>
      </c>
      <c r="BD25" s="41">
        <v>4.5288000000000002E-2</v>
      </c>
      <c r="BE25" s="41">
        <v>1.640002</v>
      </c>
      <c r="BF25" s="41">
        <v>0.29705999999999999</v>
      </c>
      <c r="BG25" s="41">
        <v>12.888042</v>
      </c>
      <c r="BH25" s="41">
        <v>7.593089</v>
      </c>
      <c r="BI25" s="41">
        <v>0</v>
      </c>
      <c r="BJ25" s="41">
        <v>17.786646000000001</v>
      </c>
      <c r="BK25" s="41">
        <v>8.0209340000000005</v>
      </c>
      <c r="BL25" s="41">
        <v>3.6850309999999999</v>
      </c>
      <c r="BM25" s="41">
        <v>0.72013199999999999</v>
      </c>
      <c r="BN25" s="41">
        <v>1.6683E-2</v>
      </c>
      <c r="BO25" s="41">
        <v>0.30587599999999998</v>
      </c>
      <c r="BP25" s="41">
        <v>0.666578</v>
      </c>
      <c r="BQ25" s="41">
        <v>0</v>
      </c>
      <c r="BR25" s="41">
        <v>16.036531</v>
      </c>
      <c r="BS25" s="41">
        <v>13.739836</v>
      </c>
      <c r="BT25" s="41">
        <v>0.99440300000000004</v>
      </c>
      <c r="BU25" s="41">
        <v>0.96260400000000002</v>
      </c>
      <c r="BV25" s="41">
        <v>0</v>
      </c>
      <c r="BW25" s="41">
        <v>13.392550999999999</v>
      </c>
      <c r="BX25" s="41">
        <v>0.38861800000000002</v>
      </c>
      <c r="BY25" s="41">
        <v>0</v>
      </c>
      <c r="BZ25" s="41">
        <v>0.173258</v>
      </c>
      <c r="CA25" s="41">
        <v>1.6293999999999999E-2</v>
      </c>
      <c r="CB25" s="41">
        <v>0</v>
      </c>
      <c r="CC25" s="41">
        <v>0</v>
      </c>
      <c r="CD25" s="41">
        <v>0</v>
      </c>
      <c r="CE25" s="41">
        <v>0</v>
      </c>
      <c r="CF25" s="41">
        <v>0</v>
      </c>
      <c r="CG25" s="41">
        <v>2.3764E-2</v>
      </c>
      <c r="CH25" s="41">
        <v>4.4407000000000002E-2</v>
      </c>
      <c r="CI25" s="41">
        <v>0.154728</v>
      </c>
      <c r="CJ25" s="41">
        <v>0.20524200000000001</v>
      </c>
      <c r="CK25" s="41">
        <v>0.20052</v>
      </c>
      <c r="CL25" s="41">
        <v>83.863808000000006</v>
      </c>
      <c r="CM25" s="41">
        <v>16.171543</v>
      </c>
      <c r="CN25" s="41">
        <v>41.793629000000003</v>
      </c>
      <c r="CO25" s="41">
        <v>40.426586</v>
      </c>
      <c r="CP25" s="41">
        <v>88.981941000000006</v>
      </c>
      <c r="CQ25" s="41">
        <v>0.66486400000000001</v>
      </c>
    </row>
    <row r="26" spans="1:141">
      <c r="A26" s="76" t="s">
        <v>726</v>
      </c>
      <c r="B26" s="41">
        <v>1</v>
      </c>
      <c r="C26" s="41">
        <v>220</v>
      </c>
      <c r="D26" s="41">
        <v>220</v>
      </c>
      <c r="E26" s="41">
        <v>25.046299999999999</v>
      </c>
      <c r="F26" s="41">
        <v>25.020299999999999</v>
      </c>
      <c r="G26" s="41">
        <v>1415.94</v>
      </c>
      <c r="H26" s="41">
        <v>1415.9</v>
      </c>
      <c r="I26" s="41">
        <v>1415.35</v>
      </c>
      <c r="J26" s="41">
        <v>1414.72</v>
      </c>
      <c r="K26" s="41">
        <v>1416.04</v>
      </c>
      <c r="L26" s="41">
        <v>1415.46</v>
      </c>
      <c r="M26" s="41">
        <v>1416.14</v>
      </c>
      <c r="N26" s="41">
        <v>1416.86</v>
      </c>
      <c r="O26" s="41">
        <v>0.91135600000000005</v>
      </c>
      <c r="P26" s="41">
        <v>2499.5300000000002</v>
      </c>
      <c r="Q26" s="41">
        <v>2500.12</v>
      </c>
      <c r="R26" s="41">
        <v>2499.7399999999998</v>
      </c>
      <c r="S26" s="41">
        <v>2500.4</v>
      </c>
      <c r="T26" s="41">
        <v>2499.4</v>
      </c>
      <c r="U26" s="41">
        <v>2500.9</v>
      </c>
      <c r="V26" s="41">
        <v>2499.5700000000002</v>
      </c>
      <c r="W26" s="41">
        <v>2500.09</v>
      </c>
      <c r="X26" s="41">
        <v>210</v>
      </c>
      <c r="Y26" s="41">
        <v>1.99956</v>
      </c>
      <c r="Z26" s="41">
        <v>1.9998800000000001</v>
      </c>
      <c r="AA26" s="41">
        <v>2.0004</v>
      </c>
      <c r="AB26" s="41">
        <v>2.0054699999999999</v>
      </c>
      <c r="AC26" s="41">
        <v>2.00082</v>
      </c>
      <c r="AD26" s="41">
        <v>2.0001899999999999</v>
      </c>
      <c r="AE26" s="41">
        <v>1.99587</v>
      </c>
      <c r="AF26" s="41">
        <v>2.0018400000000001</v>
      </c>
      <c r="AG26" s="76" t="s">
        <v>727</v>
      </c>
      <c r="AH26" s="41" t="s">
        <v>173</v>
      </c>
      <c r="AI26" s="41">
        <v>37.001541000000003</v>
      </c>
      <c r="AJ26" s="41">
        <v>33.711177999999997</v>
      </c>
      <c r="AK26" s="41">
        <v>5987308</v>
      </c>
      <c r="AL26" s="41">
        <v>1.6166666746139999</v>
      </c>
      <c r="AM26" s="41">
        <v>62.998458999999997</v>
      </c>
      <c r="AN26" s="41">
        <v>57.396321</v>
      </c>
      <c r="AO26" s="41">
        <v>273914515</v>
      </c>
      <c r="AP26" s="41">
        <v>3.9870000000000001</v>
      </c>
      <c r="AR26" s="113">
        <f t="shared" si="0"/>
        <v>56.870096802832691</v>
      </c>
      <c r="AS26" s="113">
        <f t="shared" si="1"/>
        <v>32.404907119620106</v>
      </c>
      <c r="AU26" s="106">
        <f t="shared" si="16"/>
        <v>46253</v>
      </c>
      <c r="AV26" s="107">
        <f t="shared" si="17"/>
        <v>0.1647800925925926</v>
      </c>
      <c r="AW26" s="106">
        <f t="shared" si="18"/>
        <v>46253</v>
      </c>
      <c r="AX26" s="107">
        <f t="shared" si="19"/>
        <v>0.23608796296296297</v>
      </c>
      <c r="AY26" s="142">
        <v>46253</v>
      </c>
      <c r="AZ26" s="116">
        <v>0.1648263888888889</v>
      </c>
      <c r="BA26" s="41" t="s">
        <v>728</v>
      </c>
      <c r="BB26" s="41">
        <v>0</v>
      </c>
      <c r="BC26" s="41">
        <v>0</v>
      </c>
      <c r="BD26" s="41">
        <v>0.28605199999999997</v>
      </c>
      <c r="BE26" s="41">
        <v>1.8197760000000001</v>
      </c>
      <c r="BF26" s="41">
        <v>1.1389389999999999</v>
      </c>
      <c r="BG26" s="41">
        <v>12.861259</v>
      </c>
      <c r="BH26" s="41">
        <v>8.0015020000000003</v>
      </c>
      <c r="BI26" s="41">
        <v>0</v>
      </c>
      <c r="BJ26" s="41">
        <v>17.484605999999999</v>
      </c>
      <c r="BK26" s="41">
        <v>7.654064</v>
      </c>
      <c r="BL26" s="41">
        <v>3.952102</v>
      </c>
      <c r="BM26" s="41">
        <v>1.0753459999999999</v>
      </c>
      <c r="BN26" s="41">
        <v>7.3416999999999996E-2</v>
      </c>
      <c r="BO26" s="41">
        <v>0.335032</v>
      </c>
      <c r="BP26" s="41">
        <v>0.67518299999999998</v>
      </c>
      <c r="BQ26" s="41">
        <v>0</v>
      </c>
      <c r="BR26" s="41">
        <v>15.250907</v>
      </c>
      <c r="BS26" s="41">
        <v>12.768053999999999</v>
      </c>
      <c r="BT26" s="41">
        <v>2.3752939999999998</v>
      </c>
      <c r="BU26" s="41">
        <v>1.09012</v>
      </c>
      <c r="BV26" s="41">
        <v>0</v>
      </c>
      <c r="BW26" s="41">
        <v>12.035034</v>
      </c>
      <c r="BX26" s="41">
        <v>0.61158100000000004</v>
      </c>
      <c r="BY26" s="41">
        <v>0</v>
      </c>
      <c r="BZ26" s="41">
        <v>0.143426</v>
      </c>
      <c r="CA26" s="41">
        <v>2.2865E-2</v>
      </c>
      <c r="CB26" s="41">
        <v>0</v>
      </c>
      <c r="CC26" s="41">
        <v>0</v>
      </c>
      <c r="CD26" s="41">
        <v>0</v>
      </c>
      <c r="CE26" s="41">
        <v>0</v>
      </c>
      <c r="CF26" s="41">
        <v>1.7205000000000002E-2</v>
      </c>
      <c r="CG26" s="41">
        <v>3.339E-3</v>
      </c>
      <c r="CH26" s="41">
        <v>0</v>
      </c>
      <c r="CI26" s="41">
        <v>6.0170000000000001E-2</v>
      </c>
      <c r="CJ26" s="41">
        <v>6.6855999999999999E-2</v>
      </c>
      <c r="CK26" s="41">
        <v>0.17072499999999999</v>
      </c>
      <c r="CL26" s="41">
        <v>83.740943999999999</v>
      </c>
      <c r="CM26" s="41">
        <v>16.238447000000001</v>
      </c>
      <c r="CN26" s="41">
        <v>45.235886000000001</v>
      </c>
      <c r="CO26" s="41">
        <v>43.381675999999999</v>
      </c>
      <c r="CP26" s="41">
        <v>87.847733000000005</v>
      </c>
      <c r="CQ26" s="41">
        <v>0.65991900000000003</v>
      </c>
    </row>
    <row r="27" spans="1:141">
      <c r="A27" s="76" t="s">
        <v>729</v>
      </c>
      <c r="B27" s="41">
        <v>2</v>
      </c>
      <c r="C27" s="41">
        <v>220</v>
      </c>
      <c r="D27" s="41">
        <v>220</v>
      </c>
      <c r="E27" s="41">
        <v>25.240200000000002</v>
      </c>
      <c r="F27" s="41">
        <v>25.050599999999999</v>
      </c>
      <c r="G27" s="41">
        <v>1426.7</v>
      </c>
      <c r="H27" s="41">
        <v>1425.91</v>
      </c>
      <c r="I27" s="41">
        <v>1426.51</v>
      </c>
      <c r="J27" s="41">
        <v>1426.68</v>
      </c>
      <c r="K27" s="41">
        <v>1426.09</v>
      </c>
      <c r="L27" s="41">
        <v>1426.17</v>
      </c>
      <c r="M27" s="41">
        <v>1426.26</v>
      </c>
      <c r="N27" s="41">
        <v>1426.67</v>
      </c>
      <c r="O27" s="41">
        <v>0.90544000000000002</v>
      </c>
      <c r="P27" s="41">
        <v>2501.16</v>
      </c>
      <c r="Q27" s="41">
        <v>2498.88</v>
      </c>
      <c r="R27" s="41">
        <v>2500.35</v>
      </c>
      <c r="S27" s="41">
        <v>2499.1799999999998</v>
      </c>
      <c r="T27" s="41">
        <v>2500.42</v>
      </c>
      <c r="U27" s="41">
        <v>2499.4499999999998</v>
      </c>
      <c r="V27" s="41">
        <v>2499.91</v>
      </c>
      <c r="W27" s="41">
        <v>2498.7800000000002</v>
      </c>
      <c r="X27" s="41">
        <v>209.9</v>
      </c>
      <c r="Y27" s="41">
        <v>1.9989699999999999</v>
      </c>
      <c r="Z27" s="41">
        <v>1.9982200000000001</v>
      </c>
      <c r="AA27" s="41">
        <v>1.9961899999999999</v>
      </c>
      <c r="AB27" s="41">
        <v>2.0038999999999998</v>
      </c>
      <c r="AC27" s="41">
        <v>1.99868</v>
      </c>
      <c r="AD27" s="41">
        <v>1.9997499999999999</v>
      </c>
      <c r="AE27" s="41">
        <v>2.0032999999999999</v>
      </c>
      <c r="AF27" s="41">
        <v>2.0000399999999998</v>
      </c>
      <c r="AG27" s="76" t="s">
        <v>730</v>
      </c>
      <c r="AH27" s="41" t="s">
        <v>173</v>
      </c>
      <c r="AI27" s="41">
        <v>34.036453000000002</v>
      </c>
      <c r="AJ27" s="41">
        <v>30.237466999999999</v>
      </c>
      <c r="AK27" s="41">
        <v>5370356</v>
      </c>
      <c r="AL27" s="41">
        <v>1.6150000095367001</v>
      </c>
      <c r="AM27" s="41">
        <v>65.963547000000005</v>
      </c>
      <c r="AN27" s="41">
        <v>58.601011</v>
      </c>
      <c r="AO27" s="41">
        <v>279663698</v>
      </c>
      <c r="AP27" s="41">
        <v>3.9870000000000001</v>
      </c>
      <c r="AR27" s="113">
        <f t="shared" si="0"/>
        <v>58.089156229504965</v>
      </c>
      <c r="AS27" s="113">
        <f t="shared" si="1"/>
        <v>28.962267520046428</v>
      </c>
      <c r="AU27" s="106">
        <f t="shared" si="16"/>
        <v>46253</v>
      </c>
      <c r="AV27" s="107">
        <f t="shared" si="17"/>
        <v>0.25092592592592594</v>
      </c>
      <c r="AW27" s="106">
        <f t="shared" si="18"/>
        <v>46253</v>
      </c>
      <c r="AX27" s="107">
        <f t="shared" si="19"/>
        <v>0.32216435185185183</v>
      </c>
      <c r="AY27" s="142">
        <v>46253</v>
      </c>
      <c r="AZ27" s="116">
        <v>0.25093749999999998</v>
      </c>
      <c r="BA27" s="41" t="s">
        <v>731</v>
      </c>
      <c r="BB27" s="41">
        <v>0</v>
      </c>
      <c r="BC27" s="41">
        <v>0</v>
      </c>
      <c r="BD27" s="41">
        <v>3.9709560000000002</v>
      </c>
      <c r="BE27" s="41">
        <v>3.1899069999999998</v>
      </c>
      <c r="BF27" s="41">
        <v>8.5769760000000002</v>
      </c>
      <c r="BG27" s="41">
        <v>12.652089999999999</v>
      </c>
      <c r="BH27" s="41">
        <v>9.8691359999999992</v>
      </c>
      <c r="BI27" s="41">
        <v>0</v>
      </c>
      <c r="BJ27" s="41">
        <v>15.449664</v>
      </c>
      <c r="BK27" s="41">
        <v>7.9751510000000003</v>
      </c>
      <c r="BL27" s="41">
        <v>4.6644209999999999</v>
      </c>
      <c r="BM27" s="41">
        <v>1.963517</v>
      </c>
      <c r="BN27" s="41">
        <v>0.17685999999999999</v>
      </c>
      <c r="BO27" s="41">
        <v>0.372556</v>
      </c>
      <c r="BP27" s="41">
        <v>0.63639999999999997</v>
      </c>
      <c r="BQ27" s="41">
        <v>0</v>
      </c>
      <c r="BR27" s="41">
        <v>9.8752259999999996</v>
      </c>
      <c r="BS27" s="41">
        <v>11.238345000000001</v>
      </c>
      <c r="BT27" s="41">
        <v>3.3088630000000001</v>
      </c>
      <c r="BU27" s="41">
        <v>1.0660780000000001</v>
      </c>
      <c r="BV27" s="41">
        <v>0</v>
      </c>
      <c r="BW27" s="41">
        <v>3.9535659999999999</v>
      </c>
      <c r="BX27" s="41">
        <v>0.73706899999999997</v>
      </c>
      <c r="BY27" s="41">
        <v>0</v>
      </c>
      <c r="BZ27" s="41">
        <v>8.9923000000000003E-2</v>
      </c>
      <c r="CA27" s="41">
        <v>0</v>
      </c>
      <c r="CB27" s="41">
        <v>0</v>
      </c>
      <c r="CC27" s="41">
        <v>0</v>
      </c>
      <c r="CD27" s="41">
        <v>0</v>
      </c>
      <c r="CE27" s="41">
        <v>0</v>
      </c>
      <c r="CF27" s="41">
        <v>1.7981E-2</v>
      </c>
      <c r="CG27" s="41">
        <v>0</v>
      </c>
      <c r="CH27" s="41">
        <v>0</v>
      </c>
      <c r="CI27" s="41">
        <v>0</v>
      </c>
      <c r="CJ27" s="41">
        <v>6.1692999999999998E-2</v>
      </c>
      <c r="CK27" s="41">
        <v>0.15221699999999999</v>
      </c>
      <c r="CL27" s="41">
        <v>83.482917999999998</v>
      </c>
      <c r="CM27" s="41">
        <v>16.469958999999999</v>
      </c>
      <c r="CN27" s="41">
        <v>60.145598999999997</v>
      </c>
      <c r="CO27" s="41">
        <v>58.837645999999999</v>
      </c>
      <c r="CP27" s="41">
        <v>79.024895000000001</v>
      </c>
      <c r="CQ27" s="41">
        <v>0.63129100000000005</v>
      </c>
    </row>
    <row r="28" spans="1:141" s="1" customFormat="1">
      <c r="A28" s="76" t="s">
        <v>732</v>
      </c>
      <c r="B28" s="41">
        <v>3</v>
      </c>
      <c r="C28" s="41">
        <v>220</v>
      </c>
      <c r="D28" s="41">
        <v>220</v>
      </c>
      <c r="E28" s="41">
        <v>25.241599999999998</v>
      </c>
      <c r="F28" s="2">
        <v>25.023099999999999</v>
      </c>
      <c r="G28" s="2">
        <v>1409.2</v>
      </c>
      <c r="H28" s="2">
        <v>1408.2</v>
      </c>
      <c r="I28" s="2">
        <v>1408.22</v>
      </c>
      <c r="J28" s="2">
        <v>1406.66</v>
      </c>
      <c r="K28" s="2">
        <v>1407.66</v>
      </c>
      <c r="L28" s="2">
        <v>1407.79</v>
      </c>
      <c r="M28" s="2">
        <v>1408</v>
      </c>
      <c r="N28" s="2">
        <v>1408.9</v>
      </c>
      <c r="O28" s="2">
        <v>0.88217599999999996</v>
      </c>
      <c r="P28" s="2">
        <v>2499.5300000000002</v>
      </c>
      <c r="Q28" s="2">
        <v>2499.87</v>
      </c>
      <c r="R28" s="2">
        <v>2500.3200000000002</v>
      </c>
      <c r="S28" s="2">
        <v>2500.3200000000002</v>
      </c>
      <c r="T28" s="2">
        <v>2499.6799999999998</v>
      </c>
      <c r="U28" s="2">
        <v>2499.5</v>
      </c>
      <c r="V28" s="2">
        <v>2500.0100000000002</v>
      </c>
      <c r="W28" s="2">
        <v>2503.13</v>
      </c>
      <c r="X28" s="2">
        <v>210</v>
      </c>
      <c r="Y28" s="2">
        <v>2.0019</v>
      </c>
      <c r="Z28" s="2">
        <v>1.9978</v>
      </c>
      <c r="AA28" s="2">
        <v>1.99977</v>
      </c>
      <c r="AB28" s="2">
        <v>1.9961899999999999</v>
      </c>
      <c r="AC28" s="2">
        <v>2.0026600000000001</v>
      </c>
      <c r="AD28" s="2">
        <v>2.0037600000000002</v>
      </c>
      <c r="AE28" s="2">
        <v>2.0038100000000001</v>
      </c>
      <c r="AF28" s="2">
        <v>1.9987900000000001</v>
      </c>
      <c r="AG28" s="76" t="s">
        <v>733</v>
      </c>
      <c r="AH28" s="2" t="s">
        <v>173</v>
      </c>
      <c r="AI28" s="2">
        <v>32.913125999999998</v>
      </c>
      <c r="AJ28" s="2">
        <v>28.733661000000001</v>
      </c>
      <c r="AK28" s="2">
        <v>5103271</v>
      </c>
      <c r="AL28" s="2">
        <v>1.6133333444594999</v>
      </c>
      <c r="AM28" s="2">
        <v>67.086873999999995</v>
      </c>
      <c r="AN28" s="2">
        <v>58.567864</v>
      </c>
      <c r="AO28" s="2">
        <v>279505509</v>
      </c>
      <c r="AP28" s="2">
        <v>3.9870000000000001</v>
      </c>
      <c r="AQ28" s="2"/>
      <c r="AR28" s="113">
        <f t="shared" si="0"/>
        <v>58.055613760662723</v>
      </c>
      <c r="AS28" s="113">
        <f t="shared" si="1"/>
        <v>27.47191268295677</v>
      </c>
      <c r="AT28" s="2"/>
      <c r="AU28" s="140">
        <f t="shared" ref="AU28:AU30" si="20">DATEVALUE(SUBSTITUTE(LEFT(A28,10),".","/"))</f>
        <v>46253</v>
      </c>
      <c r="AV28" s="141">
        <f t="shared" ref="AV28:AV30" si="21">TIMEVALUE(RIGHT(A28,8))</f>
        <v>0.33703703703703702</v>
      </c>
      <c r="AW28" s="140">
        <f t="shared" ref="AW28:AW30" si="22">DATEVALUE(SUBSTITUTE(LEFT(AG28,10),".","/"))</f>
        <v>46253</v>
      </c>
      <c r="AX28" s="141">
        <f t="shared" ref="AX28:AX30" si="23">TIMEVALUE(RIGHT(AG28,8))</f>
        <v>0.40827546296296297</v>
      </c>
      <c r="AY28" s="142">
        <v>46253</v>
      </c>
      <c r="AZ28" s="138">
        <v>0.33707175925925925</v>
      </c>
      <c r="BA28" s="2" t="s">
        <v>734</v>
      </c>
      <c r="BB28" s="2">
        <v>0</v>
      </c>
      <c r="BC28" s="2">
        <v>0</v>
      </c>
      <c r="BD28" s="2">
        <v>10.353241000000001</v>
      </c>
      <c r="BE28" s="2">
        <v>3.7505199999999999</v>
      </c>
      <c r="BF28" s="2">
        <v>19.737593</v>
      </c>
      <c r="BG28" s="2">
        <v>11.94685</v>
      </c>
      <c r="BH28" s="2">
        <v>11.781513</v>
      </c>
      <c r="BI28" s="2">
        <v>0</v>
      </c>
      <c r="BJ28" s="2">
        <v>11.068094</v>
      </c>
      <c r="BK28" s="2">
        <v>9.4050340000000006</v>
      </c>
      <c r="BL28" s="2">
        <v>5.7957599999999996</v>
      </c>
      <c r="BM28" s="2">
        <v>2.9475709999999999</v>
      </c>
      <c r="BN28" s="2">
        <v>0.76486100000000001</v>
      </c>
      <c r="BO28" s="2">
        <v>0.24413000000000001</v>
      </c>
      <c r="BP28" s="2">
        <v>0.53828200000000004</v>
      </c>
      <c r="BQ28" s="2">
        <v>0</v>
      </c>
      <c r="BR28" s="2">
        <v>2.7169180000000002</v>
      </c>
      <c r="BS28" s="2">
        <v>4.819706</v>
      </c>
      <c r="BT28" s="2">
        <v>2.2160160000000002</v>
      </c>
      <c r="BU28" s="2">
        <v>0.86450300000000002</v>
      </c>
      <c r="BV28" s="2">
        <v>0</v>
      </c>
      <c r="BW28" s="2">
        <v>0.22084300000000001</v>
      </c>
      <c r="BX28" s="2">
        <v>0.54764900000000005</v>
      </c>
      <c r="BY28" s="2">
        <v>0</v>
      </c>
      <c r="BZ28" s="2">
        <v>0.118947</v>
      </c>
      <c r="CA28" s="2">
        <v>2.4880000000000002E-3</v>
      </c>
      <c r="CB28" s="2">
        <v>0</v>
      </c>
      <c r="CC28" s="2">
        <v>0</v>
      </c>
      <c r="CD28" s="2">
        <v>0</v>
      </c>
      <c r="CE28" s="2">
        <v>0</v>
      </c>
      <c r="CF28" s="2">
        <v>1.7646999999999999E-2</v>
      </c>
      <c r="CG28" s="2">
        <v>4.3930000000000002E-3</v>
      </c>
      <c r="CH28" s="2">
        <v>0</v>
      </c>
      <c r="CI28" s="2">
        <v>0</v>
      </c>
      <c r="CJ28" s="2">
        <v>5.1989999999999996E-3</v>
      </c>
      <c r="CK28" s="2">
        <v>0.132239</v>
      </c>
      <c r="CL28" s="2">
        <v>83.148314999999997</v>
      </c>
      <c r="CM28" s="2">
        <v>16.793465000000001</v>
      </c>
      <c r="CN28" s="2">
        <v>77.793633</v>
      </c>
      <c r="CO28" s="2">
        <v>78.930344000000005</v>
      </c>
      <c r="CP28" s="2">
        <v>69.448813999999999</v>
      </c>
      <c r="CQ28" s="2">
        <v>0.554593</v>
      </c>
      <c r="CR28" s="2"/>
      <c r="EK28" s="2"/>
    </row>
    <row r="29" spans="1:141">
      <c r="A29" s="76" t="s">
        <v>735</v>
      </c>
      <c r="B29" s="41">
        <v>4</v>
      </c>
      <c r="C29" s="41">
        <v>220</v>
      </c>
      <c r="D29" s="41">
        <v>220</v>
      </c>
      <c r="E29" s="41">
        <v>25.221399999999999</v>
      </c>
      <c r="F29" s="41">
        <v>25.023099999999999</v>
      </c>
      <c r="G29" s="41">
        <v>1466.62</v>
      </c>
      <c r="H29" s="41">
        <v>1465.96</v>
      </c>
      <c r="I29" s="41">
        <v>1466.18</v>
      </c>
      <c r="J29" s="41">
        <v>1464.98</v>
      </c>
      <c r="K29" s="41">
        <v>1466.38</v>
      </c>
      <c r="L29" s="41">
        <v>1465.6</v>
      </c>
      <c r="M29" s="41">
        <v>1465.78</v>
      </c>
      <c r="N29" s="41">
        <v>1466.33</v>
      </c>
      <c r="O29" s="41">
        <v>0.90254199999999996</v>
      </c>
      <c r="P29" s="41">
        <v>2501.5300000000002</v>
      </c>
      <c r="Q29" s="41">
        <v>2499.4299999999998</v>
      </c>
      <c r="R29" s="41">
        <v>2500.2199999999998</v>
      </c>
      <c r="S29" s="41">
        <v>2500.36</v>
      </c>
      <c r="T29" s="41">
        <v>2500.1799999999998</v>
      </c>
      <c r="U29" s="41">
        <v>2499.5300000000002</v>
      </c>
      <c r="V29" s="41">
        <v>2500.36</v>
      </c>
      <c r="W29" s="41">
        <v>2499.92</v>
      </c>
      <c r="X29" s="41">
        <v>210.2</v>
      </c>
      <c r="Y29" s="41">
        <v>1.9915799999999999</v>
      </c>
      <c r="Z29" s="41">
        <v>1.99864</v>
      </c>
      <c r="AA29" s="41">
        <v>2.0000399999999998</v>
      </c>
      <c r="AB29" s="41">
        <v>2.0052300000000001</v>
      </c>
      <c r="AC29" s="41">
        <v>2.0009899999999998</v>
      </c>
      <c r="AD29" s="41">
        <v>2.0019399999999998</v>
      </c>
      <c r="AE29" s="41">
        <v>2.0014400000000001</v>
      </c>
      <c r="AF29" s="41">
        <v>2.00231</v>
      </c>
      <c r="AG29" s="76" t="s">
        <v>736</v>
      </c>
      <c r="AH29" s="41" t="s">
        <v>173</v>
      </c>
      <c r="AI29" s="41">
        <v>37.310369000000001</v>
      </c>
      <c r="AJ29" s="41">
        <v>34.058002000000002</v>
      </c>
      <c r="AK29" s="41">
        <v>6048906</v>
      </c>
      <c r="AL29" s="41">
        <v>1.6166666746139999</v>
      </c>
      <c r="AM29" s="41">
        <v>62.689630999999999</v>
      </c>
      <c r="AN29" s="41">
        <v>57.224938999999999</v>
      </c>
      <c r="AO29" s="41">
        <v>273096620</v>
      </c>
      <c r="AP29" s="41">
        <v>3.992</v>
      </c>
      <c r="AR29" s="113">
        <f t="shared" si="0"/>
        <v>56.696669968136682</v>
      </c>
      <c r="AS29" s="113">
        <f t="shared" si="1"/>
        <v>32.748628696103431</v>
      </c>
      <c r="AU29" s="106">
        <f t="shared" si="20"/>
        <v>46253</v>
      </c>
      <c r="AV29" s="107">
        <f t="shared" si="21"/>
        <v>0.4231712962962963</v>
      </c>
      <c r="AW29" s="106">
        <f t="shared" si="22"/>
        <v>46253</v>
      </c>
      <c r="AX29" s="107">
        <f t="shared" si="23"/>
        <v>0.4944560185185185</v>
      </c>
      <c r="AY29" s="142">
        <v>46253</v>
      </c>
      <c r="AZ29" s="116">
        <v>0.42320601851851852</v>
      </c>
      <c r="BA29" s="41" t="s">
        <v>737</v>
      </c>
      <c r="BB29" s="41">
        <v>0</v>
      </c>
      <c r="BC29" s="41">
        <v>0</v>
      </c>
      <c r="BD29" s="41">
        <v>4.4325000000000003E-2</v>
      </c>
      <c r="BE29" s="41">
        <v>1.6435979999999999</v>
      </c>
      <c r="BF29" s="41">
        <v>0.29545300000000002</v>
      </c>
      <c r="BG29" s="41">
        <v>12.916053</v>
      </c>
      <c r="BH29" s="41">
        <v>7.6094600000000003</v>
      </c>
      <c r="BI29" s="41">
        <v>0</v>
      </c>
      <c r="BJ29" s="41">
        <v>17.813807000000001</v>
      </c>
      <c r="BK29" s="41">
        <v>8.0339290000000005</v>
      </c>
      <c r="BL29" s="41">
        <v>3.688618</v>
      </c>
      <c r="BM29" s="41">
        <v>0.72115700000000005</v>
      </c>
      <c r="BN29" s="41">
        <v>1.6687E-2</v>
      </c>
      <c r="BO29" s="41">
        <v>0.30525600000000003</v>
      </c>
      <c r="BP29" s="41">
        <v>0.66659599999999997</v>
      </c>
      <c r="BQ29" s="41">
        <v>0</v>
      </c>
      <c r="BR29" s="41">
        <v>16.016819000000002</v>
      </c>
      <c r="BS29" s="41">
        <v>13.738859</v>
      </c>
      <c r="BT29" s="41">
        <v>0.99233800000000005</v>
      </c>
      <c r="BU29" s="41">
        <v>0.95836900000000003</v>
      </c>
      <c r="BV29" s="41">
        <v>0</v>
      </c>
      <c r="BW29" s="41">
        <v>13.324203000000001</v>
      </c>
      <c r="BX29" s="41">
        <v>0.39054699999999998</v>
      </c>
      <c r="BY29" s="41">
        <v>0</v>
      </c>
      <c r="BZ29" s="41">
        <v>0.172156</v>
      </c>
      <c r="CA29" s="41">
        <v>1.6299999999999999E-2</v>
      </c>
      <c r="CB29" s="41">
        <v>0</v>
      </c>
      <c r="CC29" s="41">
        <v>0</v>
      </c>
      <c r="CD29" s="41">
        <v>0</v>
      </c>
      <c r="CE29" s="41">
        <v>0</v>
      </c>
      <c r="CF29" s="41">
        <v>2.3667000000000001E-2</v>
      </c>
      <c r="CG29" s="41">
        <v>4.9021000000000002E-2</v>
      </c>
      <c r="CH29" s="41">
        <v>0</v>
      </c>
      <c r="CI29" s="41">
        <v>0.15434400000000001</v>
      </c>
      <c r="CJ29" s="41">
        <v>0.20546400000000001</v>
      </c>
      <c r="CK29" s="41">
        <v>0.20118</v>
      </c>
      <c r="CL29" s="41">
        <v>83.863006999999996</v>
      </c>
      <c r="CM29" s="41">
        <v>16.171448000000002</v>
      </c>
      <c r="CN29" s="41">
        <v>41.833500000000001</v>
      </c>
      <c r="CO29" s="41">
        <v>40.463141999999998</v>
      </c>
      <c r="CP29" s="41">
        <v>88.957145999999995</v>
      </c>
      <c r="CQ29" s="41">
        <v>0.66534400000000005</v>
      </c>
    </row>
    <row r="30" spans="1:141">
      <c r="A30" s="76" t="s">
        <v>738</v>
      </c>
      <c r="B30" s="41">
        <v>5</v>
      </c>
      <c r="C30" s="41">
        <v>220</v>
      </c>
      <c r="D30" s="41">
        <v>220</v>
      </c>
      <c r="E30" s="41">
        <v>25.076699999999999</v>
      </c>
      <c r="F30" s="41">
        <v>25.020299999999999</v>
      </c>
      <c r="G30" s="41">
        <v>1421.27</v>
      </c>
      <c r="H30" s="41">
        <v>1421.07</v>
      </c>
      <c r="I30" s="41">
        <v>1421.67</v>
      </c>
      <c r="J30" s="41">
        <v>1422.29</v>
      </c>
      <c r="K30" s="41">
        <v>1421.72</v>
      </c>
      <c r="L30" s="41">
        <v>1421.79</v>
      </c>
      <c r="M30" s="41">
        <v>1421.73</v>
      </c>
      <c r="N30" s="41">
        <v>1420.52</v>
      </c>
      <c r="O30" s="41">
        <v>0.92611900000000003</v>
      </c>
      <c r="P30" s="41">
        <v>2499.6999999999998</v>
      </c>
      <c r="Q30" s="41">
        <v>2499.83</v>
      </c>
      <c r="R30" s="41">
        <v>2499.4699999999998</v>
      </c>
      <c r="S30" s="41">
        <v>2499.84</v>
      </c>
      <c r="T30" s="41">
        <v>2499.73</v>
      </c>
      <c r="U30" s="41">
        <v>2498.52</v>
      </c>
      <c r="V30" s="41">
        <v>2499.8000000000002</v>
      </c>
      <c r="W30" s="41">
        <v>2500.98</v>
      </c>
      <c r="X30" s="41">
        <v>210</v>
      </c>
      <c r="Y30" s="41">
        <v>1.99895</v>
      </c>
      <c r="Z30" s="41">
        <v>2.0015900000000002</v>
      </c>
      <c r="AA30" s="41">
        <v>2.0039899999999999</v>
      </c>
      <c r="AB30" s="41">
        <v>1.9823299999999999</v>
      </c>
      <c r="AC30" s="41">
        <v>2.0016699999999998</v>
      </c>
      <c r="AD30" s="41">
        <v>2.0009100000000002</v>
      </c>
      <c r="AE30" s="41">
        <v>2.00441</v>
      </c>
      <c r="AF30" s="41">
        <v>1.9995099999999999</v>
      </c>
      <c r="AG30" s="76" t="s">
        <v>739</v>
      </c>
      <c r="AH30" s="41" t="s">
        <v>173</v>
      </c>
      <c r="AI30" s="41">
        <v>36.756219000000002</v>
      </c>
      <c r="AJ30" s="41">
        <v>33.065237000000003</v>
      </c>
      <c r="AK30" s="41">
        <v>5872585</v>
      </c>
      <c r="AL30" s="41">
        <v>1.6150000095367001</v>
      </c>
      <c r="AM30" s="41">
        <v>63.243780999999998</v>
      </c>
      <c r="AN30" s="41">
        <v>56.892974000000002</v>
      </c>
      <c r="AO30" s="41">
        <v>271512373</v>
      </c>
      <c r="AP30" s="41">
        <v>3.9929999999999999</v>
      </c>
      <c r="AR30" s="113">
        <f t="shared" si="0"/>
        <v>56.36074550034234</v>
      </c>
      <c r="AS30" s="113">
        <f t="shared" si="1"/>
        <v>31.764743958171742</v>
      </c>
      <c r="AU30" s="106">
        <f t="shared" si="20"/>
        <v>46253</v>
      </c>
      <c r="AV30" s="107">
        <f t="shared" si="21"/>
        <v>0.50929398148148153</v>
      </c>
      <c r="AW30" s="106">
        <f t="shared" si="22"/>
        <v>46253</v>
      </c>
      <c r="AX30" s="107">
        <f t="shared" si="23"/>
        <v>0.58059027777777783</v>
      </c>
      <c r="AY30" s="142">
        <v>46253</v>
      </c>
      <c r="AZ30" s="116">
        <v>0.50932870370370376</v>
      </c>
      <c r="BA30" s="41" t="s">
        <v>740</v>
      </c>
      <c r="BB30" s="41">
        <v>0</v>
      </c>
      <c r="BC30" s="41">
        <v>0</v>
      </c>
      <c r="BD30" s="41">
        <v>0.48176400000000003</v>
      </c>
      <c r="BE30" s="41">
        <v>1.9520850000000001</v>
      </c>
      <c r="BF30" s="41">
        <v>1.824724</v>
      </c>
      <c r="BG30" s="41">
        <v>12.767789</v>
      </c>
      <c r="BH30" s="41">
        <v>8.3507719999999992</v>
      </c>
      <c r="BI30" s="41">
        <v>0</v>
      </c>
      <c r="BJ30" s="41">
        <v>17.056362</v>
      </c>
      <c r="BK30" s="41">
        <v>7.4927849999999996</v>
      </c>
      <c r="BL30" s="41">
        <v>4.1701889999999997</v>
      </c>
      <c r="BM30" s="41">
        <v>1.2880940000000001</v>
      </c>
      <c r="BN30" s="41">
        <v>0.170186</v>
      </c>
      <c r="BO30" s="41">
        <v>0.31052400000000002</v>
      </c>
      <c r="BP30" s="41">
        <v>0.66816799999999998</v>
      </c>
      <c r="BQ30" s="41">
        <v>0</v>
      </c>
      <c r="BR30" s="41">
        <v>14.212020000000001</v>
      </c>
      <c r="BS30" s="41">
        <v>12.621347</v>
      </c>
      <c r="BT30" s="41">
        <v>3.1679539999999999</v>
      </c>
      <c r="BU30" s="41">
        <v>1.0572900000000001</v>
      </c>
      <c r="BV30" s="41">
        <v>0</v>
      </c>
      <c r="BW30" s="41">
        <v>10.891838</v>
      </c>
      <c r="BX30" s="41">
        <v>0.91846899999999998</v>
      </c>
      <c r="BY30" s="41">
        <v>0</v>
      </c>
      <c r="BZ30" s="41">
        <v>0.13359699999999999</v>
      </c>
      <c r="CA30" s="41">
        <v>2.1007000000000001E-2</v>
      </c>
      <c r="CB30" s="41">
        <v>0</v>
      </c>
      <c r="CC30" s="41">
        <v>0</v>
      </c>
      <c r="CD30" s="41">
        <v>0</v>
      </c>
      <c r="CE30" s="41">
        <v>0</v>
      </c>
      <c r="CF30" s="41">
        <v>1.9293000000000001E-2</v>
      </c>
      <c r="CG30" s="41">
        <v>5.6189999999999999E-3</v>
      </c>
      <c r="CH30" s="41">
        <v>0</v>
      </c>
      <c r="CI30" s="41">
        <v>8.1097000000000002E-2</v>
      </c>
      <c r="CJ30" s="41">
        <v>0.100953</v>
      </c>
      <c r="CK30" s="41">
        <v>0.236063</v>
      </c>
      <c r="CL30" s="41">
        <v>83.768058999999994</v>
      </c>
      <c r="CM30" s="41">
        <v>16.232641000000001</v>
      </c>
      <c r="CN30" s="41">
        <v>47.780613000000002</v>
      </c>
      <c r="CO30" s="41">
        <v>45.640208999999999</v>
      </c>
      <c r="CP30" s="41">
        <v>87.087424999999996</v>
      </c>
      <c r="CQ30" s="41">
        <v>0.65391500000000002</v>
      </c>
    </row>
    <row r="31" spans="1:141">
      <c r="A31" s="76" t="s">
        <v>741</v>
      </c>
      <c r="B31" s="41">
        <v>6</v>
      </c>
      <c r="C31" s="41">
        <v>214.9</v>
      </c>
      <c r="D31" s="41">
        <v>215</v>
      </c>
      <c r="E31" s="41">
        <v>25.151900000000001</v>
      </c>
      <c r="F31" s="41">
        <v>25.0029</v>
      </c>
      <c r="G31" s="41">
        <v>1437.91</v>
      </c>
      <c r="H31" s="41">
        <v>1438.37</v>
      </c>
      <c r="I31" s="41">
        <v>1439.07</v>
      </c>
      <c r="J31" s="41">
        <v>1438.17</v>
      </c>
      <c r="K31" s="41">
        <v>1438.36</v>
      </c>
      <c r="L31" s="41">
        <v>1438.47</v>
      </c>
      <c r="M31" s="41">
        <v>1438.83</v>
      </c>
      <c r="N31" s="41">
        <v>1438.35</v>
      </c>
      <c r="O31" s="41">
        <v>0.91961700000000002</v>
      </c>
      <c r="P31" s="41">
        <v>2499.73</v>
      </c>
      <c r="Q31" s="41">
        <v>2500.06</v>
      </c>
      <c r="R31" s="41">
        <v>2499.35</v>
      </c>
      <c r="S31" s="41">
        <v>2499.48</v>
      </c>
      <c r="T31" s="41">
        <v>2500.2800000000002</v>
      </c>
      <c r="U31" s="41">
        <v>2499.46</v>
      </c>
      <c r="V31" s="41">
        <v>2500.4699999999998</v>
      </c>
      <c r="W31" s="41">
        <v>2499.0700000000002</v>
      </c>
      <c r="X31" s="41">
        <v>209.8</v>
      </c>
      <c r="Y31" s="41">
        <v>2.0016400000000001</v>
      </c>
      <c r="Z31" s="41">
        <v>2.00387</v>
      </c>
      <c r="AA31" s="41">
        <v>2.0016500000000002</v>
      </c>
      <c r="AB31" s="41">
        <v>1.9843500000000001</v>
      </c>
      <c r="AC31" s="41">
        <v>1.99823</v>
      </c>
      <c r="AD31" s="41">
        <v>1.99855</v>
      </c>
      <c r="AE31" s="41">
        <v>1.99952</v>
      </c>
      <c r="AF31" s="41">
        <v>2.00048</v>
      </c>
      <c r="AG31" s="76" t="s">
        <v>742</v>
      </c>
      <c r="AH31" s="41" t="s">
        <v>173</v>
      </c>
      <c r="AI31" s="41">
        <v>35.144596999999997</v>
      </c>
      <c r="AJ31" s="41">
        <v>31.353853999999998</v>
      </c>
      <c r="AK31" s="41">
        <v>5568633</v>
      </c>
      <c r="AL31" s="41">
        <v>1.6133333444594999</v>
      </c>
      <c r="AM31" s="41">
        <v>64.855402999999995</v>
      </c>
      <c r="AN31" s="41">
        <v>57.860013000000002</v>
      </c>
      <c r="AO31" s="41">
        <v>276127406</v>
      </c>
      <c r="AP31" s="41">
        <v>3.9929999999999999</v>
      </c>
      <c r="AR31" s="113">
        <f t="shared" si="0"/>
        <v>57.339319235611093</v>
      </c>
      <c r="AS31" s="113">
        <f t="shared" si="1"/>
        <v>30.068668426250913</v>
      </c>
      <c r="AU31" s="106">
        <f t="shared" ref="AU31:AU39" si="24">DATEVALUE(SUBSTITUTE(LEFT(A31,10),".","/"))</f>
        <v>46253</v>
      </c>
      <c r="AV31" s="107">
        <f t="shared" ref="AV31:AV39" si="25">TIMEVALUE(RIGHT(A31,8))</f>
        <v>0.59542824074074074</v>
      </c>
      <c r="AW31" s="106">
        <f t="shared" ref="AW31:AW39" si="26">DATEVALUE(SUBSTITUTE(LEFT(AG31,10),".","/"))</f>
        <v>46253</v>
      </c>
      <c r="AX31" s="107">
        <f t="shared" ref="AX31:AX39" si="27">TIMEVALUE(RIGHT(AG31,8))</f>
        <v>0.66671296296296301</v>
      </c>
      <c r="AY31" s="142">
        <v>46253</v>
      </c>
      <c r="AZ31" s="116">
        <v>0.59545138888888893</v>
      </c>
      <c r="BA31" s="41" t="s">
        <v>743</v>
      </c>
      <c r="BB31" s="41">
        <v>0</v>
      </c>
      <c r="BC31" s="41">
        <v>0</v>
      </c>
      <c r="BD31" s="41">
        <v>2.6516359999999999</v>
      </c>
      <c r="BE31" s="41">
        <v>2.8289399999999998</v>
      </c>
      <c r="BF31" s="41">
        <v>6.2252520000000002</v>
      </c>
      <c r="BG31" s="41">
        <v>12.634853</v>
      </c>
      <c r="BH31" s="41">
        <v>9.4006519999999991</v>
      </c>
      <c r="BI31" s="41">
        <v>0</v>
      </c>
      <c r="BJ31" s="41">
        <v>15.616561000000001</v>
      </c>
      <c r="BK31" s="41">
        <v>8.1467709999999993</v>
      </c>
      <c r="BL31" s="41">
        <v>4.6680219999999997</v>
      </c>
      <c r="BM31" s="41">
        <v>1.6652340000000001</v>
      </c>
      <c r="BN31" s="41">
        <v>0.18654499999999999</v>
      </c>
      <c r="BO31" s="41">
        <v>0.35736499999999999</v>
      </c>
      <c r="BP31" s="41">
        <v>0.66201900000000002</v>
      </c>
      <c r="BQ31" s="41">
        <v>0</v>
      </c>
      <c r="BR31" s="41">
        <v>10.202904999999999</v>
      </c>
      <c r="BS31" s="41">
        <v>13.174683999999999</v>
      </c>
      <c r="BT31" s="41">
        <v>3.635011</v>
      </c>
      <c r="BU31" s="41">
        <v>1.0928329999999999</v>
      </c>
      <c r="BV31" s="41">
        <v>0</v>
      </c>
      <c r="BW31" s="41">
        <v>5.7934650000000003</v>
      </c>
      <c r="BX31" s="41">
        <v>0.80417000000000005</v>
      </c>
      <c r="BY31" s="41">
        <v>0</v>
      </c>
      <c r="BZ31" s="41">
        <v>9.2945E-2</v>
      </c>
      <c r="CA31" s="41">
        <v>2.153E-3</v>
      </c>
      <c r="CB31" s="41">
        <v>0</v>
      </c>
      <c r="CC31" s="41">
        <v>0</v>
      </c>
      <c r="CD31" s="41">
        <v>0</v>
      </c>
      <c r="CE31" s="41">
        <v>0</v>
      </c>
      <c r="CF31" s="41">
        <v>1.3528999999999999E-2</v>
      </c>
      <c r="CG31" s="41">
        <v>0</v>
      </c>
      <c r="CH31" s="41">
        <v>0</v>
      </c>
      <c r="CI31" s="41">
        <v>4.47E-3</v>
      </c>
      <c r="CJ31" s="41">
        <v>7.1772000000000002E-2</v>
      </c>
      <c r="CK31" s="41">
        <v>6.8185999999999997E-2</v>
      </c>
      <c r="CL31" s="41">
        <v>83.536689999999993</v>
      </c>
      <c r="CM31" s="41">
        <v>16.410254999999999</v>
      </c>
      <c r="CN31" s="41">
        <v>57.169209000000002</v>
      </c>
      <c r="CO31" s="41">
        <v>55.147860999999999</v>
      </c>
      <c r="CP31" s="41">
        <v>81.618729000000002</v>
      </c>
      <c r="CQ31" s="41">
        <v>0.612869</v>
      </c>
    </row>
    <row r="32" spans="1:141">
      <c r="A32" s="76" t="s">
        <v>744</v>
      </c>
      <c r="B32" s="41">
        <v>7</v>
      </c>
      <c r="C32" s="41">
        <v>214.9</v>
      </c>
      <c r="D32" s="41">
        <v>215</v>
      </c>
      <c r="E32" s="41">
        <v>25.205400000000001</v>
      </c>
      <c r="F32" s="41">
        <v>25.011600000000001</v>
      </c>
      <c r="G32" s="41">
        <v>1471.3</v>
      </c>
      <c r="H32" s="41">
        <v>1470.65</v>
      </c>
      <c r="I32" s="41">
        <v>1471.51</v>
      </c>
      <c r="J32" s="41">
        <v>1471.04</v>
      </c>
      <c r="K32" s="41">
        <v>1470.65</v>
      </c>
      <c r="L32" s="41">
        <v>1471.74</v>
      </c>
      <c r="M32" s="41">
        <v>1471.18</v>
      </c>
      <c r="N32" s="41">
        <v>1470.73</v>
      </c>
      <c r="O32" s="41">
        <v>0.90712700000000002</v>
      </c>
      <c r="P32" s="41">
        <v>2500</v>
      </c>
      <c r="Q32" s="41">
        <v>2500.1</v>
      </c>
      <c r="R32" s="41">
        <v>2498.56</v>
      </c>
      <c r="S32" s="41">
        <v>2500.08</v>
      </c>
      <c r="T32" s="41">
        <v>2500.1999999999998</v>
      </c>
      <c r="U32" s="41">
        <v>2499.73</v>
      </c>
      <c r="V32" s="41">
        <v>2500.46</v>
      </c>
      <c r="W32" s="41">
        <v>2499.66</v>
      </c>
      <c r="X32" s="41">
        <v>210.2</v>
      </c>
      <c r="Y32" s="41">
        <v>1.9997199999999999</v>
      </c>
      <c r="Z32" s="41">
        <v>1.99607</v>
      </c>
      <c r="AA32" s="41">
        <v>2.0008499999999998</v>
      </c>
      <c r="AB32" s="41">
        <v>2.01369</v>
      </c>
      <c r="AC32" s="41">
        <v>1.9994000000000001</v>
      </c>
      <c r="AD32" s="41">
        <v>1.99851</v>
      </c>
      <c r="AE32" s="41">
        <v>2.0006699999999999</v>
      </c>
      <c r="AF32" s="41">
        <v>2.0010599999999998</v>
      </c>
      <c r="AG32" s="76" t="s">
        <v>745</v>
      </c>
      <c r="AH32" s="41" t="s">
        <v>173</v>
      </c>
      <c r="AI32" s="41">
        <v>34.525257000000003</v>
      </c>
      <c r="AJ32" s="41">
        <v>30.102246999999998</v>
      </c>
      <c r="AK32" s="41">
        <v>5346340</v>
      </c>
      <c r="AL32" s="41">
        <v>1.6150000095367001</v>
      </c>
      <c r="AM32" s="41">
        <v>65.474743000000004</v>
      </c>
      <c r="AN32" s="41">
        <v>57.086812000000002</v>
      </c>
      <c r="AO32" s="41">
        <v>272437434</v>
      </c>
      <c r="AP32" s="41">
        <v>3.9980000000000002</v>
      </c>
      <c r="AR32" s="113">
        <f t="shared" si="0"/>
        <v>56.55689586332381</v>
      </c>
      <c r="AS32" s="113">
        <f t="shared" si="1"/>
        <v>28.828256393373099</v>
      </c>
      <c r="AU32" s="106">
        <f t="shared" si="24"/>
        <v>46253</v>
      </c>
      <c r="AV32" s="107">
        <f t="shared" si="25"/>
        <v>0.68156249999999996</v>
      </c>
      <c r="AW32" s="106">
        <f t="shared" si="26"/>
        <v>46253</v>
      </c>
      <c r="AX32" s="107">
        <f t="shared" si="27"/>
        <v>0.75284722222222222</v>
      </c>
      <c r="AY32" s="142">
        <v>46253</v>
      </c>
      <c r="AZ32" s="116">
        <v>0.68156249999999996</v>
      </c>
      <c r="BA32" s="41" t="s">
        <v>746</v>
      </c>
      <c r="BB32" s="41">
        <v>0</v>
      </c>
      <c r="BC32" s="41">
        <v>0</v>
      </c>
      <c r="BD32" s="41">
        <v>9.1335270000000008</v>
      </c>
      <c r="BE32" s="41">
        <v>3.6790609999999999</v>
      </c>
      <c r="BF32" s="41">
        <v>17.555835999999999</v>
      </c>
      <c r="BG32" s="41">
        <v>12.150574000000001</v>
      </c>
      <c r="BH32" s="41">
        <v>11.273175999999999</v>
      </c>
      <c r="BI32" s="41">
        <v>0</v>
      </c>
      <c r="BJ32" s="41">
        <v>12.344975</v>
      </c>
      <c r="BK32" s="41">
        <v>8.9434299999999993</v>
      </c>
      <c r="BL32" s="41">
        <v>5.4867429999999997</v>
      </c>
      <c r="BM32" s="41">
        <v>2.8006609999999998</v>
      </c>
      <c r="BN32" s="41">
        <v>0.58005099999999998</v>
      </c>
      <c r="BO32" s="41">
        <v>0.28491300000000003</v>
      </c>
      <c r="BP32" s="41">
        <v>0.587314</v>
      </c>
      <c r="BQ32" s="41">
        <v>0</v>
      </c>
      <c r="BR32" s="41">
        <v>4.1747519999999998</v>
      </c>
      <c r="BS32" s="41">
        <v>6.2217289999999998</v>
      </c>
      <c r="BT32" s="41">
        <v>2.6194289999999998</v>
      </c>
      <c r="BU32" s="41">
        <v>0.94309200000000004</v>
      </c>
      <c r="BV32" s="41">
        <v>0</v>
      </c>
      <c r="BW32" s="41">
        <v>0.42979499999999998</v>
      </c>
      <c r="BX32" s="41">
        <v>0.58247199999999999</v>
      </c>
      <c r="BY32" s="41">
        <v>0</v>
      </c>
      <c r="BZ32" s="41">
        <v>0.11054899999999999</v>
      </c>
      <c r="CA32" s="41">
        <v>2.1930000000000001E-3</v>
      </c>
      <c r="CB32" s="41">
        <v>0</v>
      </c>
      <c r="CC32" s="41">
        <v>0</v>
      </c>
      <c r="CD32" s="41">
        <v>0</v>
      </c>
      <c r="CE32" s="41">
        <v>0</v>
      </c>
      <c r="CF32" s="41">
        <v>1.422E-2</v>
      </c>
      <c r="CG32" s="41">
        <v>0</v>
      </c>
      <c r="CH32" s="41">
        <v>0</v>
      </c>
      <c r="CI32" s="41">
        <v>0</v>
      </c>
      <c r="CJ32" s="41">
        <v>1.9181E-2</v>
      </c>
      <c r="CK32" s="41">
        <v>0.10564900000000001</v>
      </c>
      <c r="CL32" s="41">
        <v>83.203911000000005</v>
      </c>
      <c r="CM32" s="41">
        <v>16.736554999999999</v>
      </c>
      <c r="CN32" s="41">
        <v>74.416397000000003</v>
      </c>
      <c r="CO32" s="41">
        <v>75.028892999999997</v>
      </c>
      <c r="CP32" s="41">
        <v>71.059212000000002</v>
      </c>
      <c r="CQ32" s="41">
        <v>0.56398099999999995</v>
      </c>
    </row>
    <row r="33" spans="1:95">
      <c r="A33" s="76" t="s">
        <v>747</v>
      </c>
      <c r="B33" s="41">
        <v>8</v>
      </c>
      <c r="C33" s="41">
        <v>215</v>
      </c>
      <c r="D33" s="41">
        <v>215</v>
      </c>
      <c r="E33" s="41">
        <v>25.3385</v>
      </c>
      <c r="F33" s="41">
        <v>25.037600000000001</v>
      </c>
      <c r="G33" s="41">
        <v>1440.48</v>
      </c>
      <c r="H33" s="41">
        <v>1440.45</v>
      </c>
      <c r="I33" s="41">
        <v>1440.31</v>
      </c>
      <c r="J33" s="41">
        <v>1440.48</v>
      </c>
      <c r="K33" s="41">
        <v>1440.44</v>
      </c>
      <c r="L33" s="41">
        <v>1440.04</v>
      </c>
      <c r="M33" s="41">
        <v>1440.28</v>
      </c>
      <c r="N33" s="41">
        <v>1439.79</v>
      </c>
      <c r="O33" s="41">
        <v>0.931701</v>
      </c>
      <c r="P33" s="41">
        <v>2499.73</v>
      </c>
      <c r="Q33" s="41">
        <v>2499.6999999999998</v>
      </c>
      <c r="R33" s="41">
        <v>2499.86</v>
      </c>
      <c r="S33" s="41">
        <v>2500.17</v>
      </c>
      <c r="T33" s="41">
        <v>2500.23</v>
      </c>
      <c r="U33" s="41">
        <v>2499.86</v>
      </c>
      <c r="V33" s="41">
        <v>2499.0100000000002</v>
      </c>
      <c r="W33" s="41">
        <v>2500.14</v>
      </c>
      <c r="X33" s="41">
        <v>209.9</v>
      </c>
      <c r="Y33" s="41">
        <v>2.0015399999999999</v>
      </c>
      <c r="Z33" s="41">
        <v>2.0045099999999998</v>
      </c>
      <c r="AA33" s="41">
        <v>1.9998899999999999</v>
      </c>
      <c r="AB33" s="41">
        <v>2.0076900000000002</v>
      </c>
      <c r="AC33" s="41">
        <v>1.9983500000000001</v>
      </c>
      <c r="AD33" s="41">
        <v>2.00197</v>
      </c>
      <c r="AE33" s="41">
        <v>1.99838</v>
      </c>
      <c r="AF33" s="41">
        <v>1.9994000000000001</v>
      </c>
      <c r="AG33" s="76" t="s">
        <v>748</v>
      </c>
      <c r="AH33" s="41" t="s">
        <v>173</v>
      </c>
      <c r="AI33" s="41">
        <v>36.184657000000001</v>
      </c>
      <c r="AJ33" s="41">
        <v>32.718583000000002</v>
      </c>
      <c r="AK33" s="41">
        <v>5811017</v>
      </c>
      <c r="AL33" s="41">
        <v>1.6166666746139999</v>
      </c>
      <c r="AM33" s="41">
        <v>63.815342999999999</v>
      </c>
      <c r="AN33" s="41">
        <v>57.702565</v>
      </c>
      <c r="AO33" s="41">
        <v>275376014</v>
      </c>
      <c r="AP33" s="41">
        <v>3.9969999999999999</v>
      </c>
      <c r="AR33" s="113">
        <f t="shared" si="0"/>
        <v>57.179993727843097</v>
      </c>
      <c r="AS33" s="113">
        <f t="shared" si="1"/>
        <v>31.421189783995224</v>
      </c>
      <c r="AU33" s="106">
        <f t="shared" si="24"/>
        <v>46253</v>
      </c>
      <c r="AV33" s="107">
        <f t="shared" si="25"/>
        <v>0.7676736111111111</v>
      </c>
      <c r="AW33" s="106">
        <f t="shared" si="26"/>
        <v>46253</v>
      </c>
      <c r="AX33" s="107">
        <f t="shared" si="27"/>
        <v>0.83892361111111113</v>
      </c>
      <c r="AY33" s="142">
        <v>46253</v>
      </c>
      <c r="AZ33" s="116">
        <v>0.76771990740740736</v>
      </c>
      <c r="BA33" s="41" t="s">
        <v>749</v>
      </c>
      <c r="BB33" s="41">
        <v>0</v>
      </c>
      <c r="BC33" s="41">
        <v>0</v>
      </c>
      <c r="BD33" s="41">
        <v>4.7488000000000002E-2</v>
      </c>
      <c r="BE33" s="41">
        <v>1.617324</v>
      </c>
      <c r="BF33" s="41">
        <v>0.30003000000000002</v>
      </c>
      <c r="BG33" s="41">
        <v>12.870495999999999</v>
      </c>
      <c r="BH33" s="41">
        <v>7.5704919999999998</v>
      </c>
      <c r="BI33" s="41">
        <v>0</v>
      </c>
      <c r="BJ33" s="41">
        <v>17.807835000000001</v>
      </c>
      <c r="BK33" s="41">
        <v>8.0316880000000008</v>
      </c>
      <c r="BL33" s="41">
        <v>3.6909709999999998</v>
      </c>
      <c r="BM33" s="41">
        <v>0.72217200000000004</v>
      </c>
      <c r="BN33" s="41">
        <v>1.6871000000000001E-2</v>
      </c>
      <c r="BO33" s="41">
        <v>0.30508299999999999</v>
      </c>
      <c r="BP33" s="41">
        <v>0.66758099999999998</v>
      </c>
      <c r="BQ33" s="41">
        <v>0</v>
      </c>
      <c r="BR33" s="41">
        <v>16.041695000000001</v>
      </c>
      <c r="BS33" s="41">
        <v>13.752418</v>
      </c>
      <c r="BT33" s="41">
        <v>0.99785599999999997</v>
      </c>
      <c r="BU33" s="41">
        <v>0.96047899999999997</v>
      </c>
      <c r="BV33" s="41">
        <v>0</v>
      </c>
      <c r="BW33" s="41">
        <v>13.394287</v>
      </c>
      <c r="BX33" s="41">
        <v>0.391511</v>
      </c>
      <c r="BY33" s="41">
        <v>0</v>
      </c>
      <c r="BZ33" s="41">
        <v>0.17235300000000001</v>
      </c>
      <c r="CA33" s="41">
        <v>1.6851999999999999E-2</v>
      </c>
      <c r="CB33" s="41">
        <v>0</v>
      </c>
      <c r="CC33" s="41">
        <v>0</v>
      </c>
      <c r="CD33" s="41">
        <v>0</v>
      </c>
      <c r="CE33" s="41">
        <v>0</v>
      </c>
      <c r="CF33" s="41">
        <v>1.2626E-2</v>
      </c>
      <c r="CG33" s="41">
        <v>2.1833999999999999E-2</v>
      </c>
      <c r="CH33" s="41">
        <v>4.4130000000000003E-2</v>
      </c>
      <c r="CI33" s="41">
        <v>0.15463199999999999</v>
      </c>
      <c r="CJ33" s="41">
        <v>0.204732</v>
      </c>
      <c r="CK33" s="41">
        <v>0.19917699999999999</v>
      </c>
      <c r="CL33" s="41">
        <v>83.862876999999997</v>
      </c>
      <c r="CM33" s="41">
        <v>16.171921000000001</v>
      </c>
      <c r="CN33" s="41">
        <v>41.774357000000002</v>
      </c>
      <c r="CO33" s="41">
        <v>40.413437000000002</v>
      </c>
      <c r="CP33" s="41">
        <v>88.997214999999997</v>
      </c>
      <c r="CQ33" s="41">
        <v>0.66562200000000005</v>
      </c>
    </row>
    <row r="34" spans="1:95">
      <c r="A34" s="76" t="s">
        <v>750</v>
      </c>
      <c r="B34" s="41">
        <v>1</v>
      </c>
      <c r="C34" s="41">
        <v>215</v>
      </c>
      <c r="D34" s="41">
        <v>215</v>
      </c>
      <c r="E34" s="41">
        <v>25.205400000000001</v>
      </c>
      <c r="F34" s="41">
        <v>25.021699999999999</v>
      </c>
      <c r="G34" s="41">
        <v>1452.54</v>
      </c>
      <c r="H34" s="41">
        <v>1453.36</v>
      </c>
      <c r="I34" s="41">
        <v>1452.59</v>
      </c>
      <c r="J34" s="41">
        <v>1452.63</v>
      </c>
      <c r="K34" s="41">
        <v>1452.31</v>
      </c>
      <c r="L34" s="41">
        <v>1453.21</v>
      </c>
      <c r="M34" s="41">
        <v>1452.5</v>
      </c>
      <c r="N34" s="41">
        <v>1452.88</v>
      </c>
      <c r="O34" s="41">
        <v>0.90810100000000005</v>
      </c>
      <c r="P34" s="41">
        <v>2501.41</v>
      </c>
      <c r="Q34" s="41">
        <v>2499.81</v>
      </c>
      <c r="R34" s="41">
        <v>2499.71</v>
      </c>
      <c r="S34" s="41">
        <v>2500.06</v>
      </c>
      <c r="T34" s="41">
        <v>2499.9499999999998</v>
      </c>
      <c r="U34" s="41">
        <v>2500.06</v>
      </c>
      <c r="V34" s="41">
        <v>2499.63</v>
      </c>
      <c r="W34" s="41">
        <v>2500.2800000000002</v>
      </c>
      <c r="X34" s="41">
        <v>210.1</v>
      </c>
      <c r="Y34" s="41">
        <v>2.0010599999999998</v>
      </c>
      <c r="Z34" s="41">
        <v>2.0003000000000002</v>
      </c>
      <c r="AA34" s="41">
        <v>1.99932</v>
      </c>
      <c r="AB34" s="41">
        <v>2.0194999999999999</v>
      </c>
      <c r="AC34" s="41">
        <v>1.9993000000000001</v>
      </c>
      <c r="AD34" s="41">
        <v>1.9989699999999999</v>
      </c>
      <c r="AE34" s="41">
        <v>2.00143</v>
      </c>
      <c r="AF34" s="41">
        <v>1.99875</v>
      </c>
      <c r="AG34" s="76" t="s">
        <v>751</v>
      </c>
      <c r="AH34" s="41" t="s">
        <v>173</v>
      </c>
      <c r="AI34" s="41">
        <v>37.269471000000003</v>
      </c>
      <c r="AJ34" s="41">
        <v>34.064718999999997</v>
      </c>
      <c r="AK34" s="41">
        <v>6050099</v>
      </c>
      <c r="AL34" s="41">
        <v>1.6166666746139999</v>
      </c>
      <c r="AM34" s="41">
        <v>62.730528999999997</v>
      </c>
      <c r="AN34" s="41">
        <v>57.336415000000002</v>
      </c>
      <c r="AO34" s="41">
        <v>273628622</v>
      </c>
      <c r="AP34" s="41">
        <v>4.0019999999999998</v>
      </c>
      <c r="AR34" s="113">
        <f t="shared" si="0"/>
        <v>56.809475918670607</v>
      </c>
      <c r="AS34" s="113">
        <f t="shared" si="1"/>
        <v>32.755285727837332</v>
      </c>
      <c r="AU34" s="106">
        <f t="shared" si="24"/>
        <v>46253</v>
      </c>
      <c r="AV34" s="107">
        <f t="shared" si="25"/>
        <v>0.85379629629629628</v>
      </c>
      <c r="AW34" s="106">
        <f t="shared" si="26"/>
        <v>46253</v>
      </c>
      <c r="AX34" s="107">
        <f t="shared" si="27"/>
        <v>0.92505787037037035</v>
      </c>
      <c r="AY34" s="142">
        <v>46253</v>
      </c>
      <c r="AZ34" s="116">
        <v>0.85384259259259254</v>
      </c>
      <c r="BA34" s="41" t="s">
        <v>752</v>
      </c>
      <c r="BB34" s="41">
        <v>0</v>
      </c>
      <c r="BC34" s="41">
        <v>0</v>
      </c>
      <c r="BD34" s="41">
        <v>0.205121</v>
      </c>
      <c r="BE34" s="41">
        <v>1.733201</v>
      </c>
      <c r="BF34" s="41">
        <v>0.86843199999999998</v>
      </c>
      <c r="BG34" s="41">
        <v>12.831433000000001</v>
      </c>
      <c r="BH34" s="41">
        <v>7.8333579999999996</v>
      </c>
      <c r="BI34" s="41">
        <v>0</v>
      </c>
      <c r="BJ34" s="41">
        <v>17.589310000000001</v>
      </c>
      <c r="BK34" s="41">
        <v>7.7359070000000001</v>
      </c>
      <c r="BL34" s="41">
        <v>3.891305</v>
      </c>
      <c r="BM34" s="41">
        <v>0.98001499999999997</v>
      </c>
      <c r="BN34" s="41">
        <v>5.8862999999999999E-2</v>
      </c>
      <c r="BO34" s="41">
        <v>0.34137600000000001</v>
      </c>
      <c r="BP34" s="41">
        <v>0.675786</v>
      </c>
      <c r="BQ34" s="41">
        <v>0</v>
      </c>
      <c r="BR34" s="41">
        <v>15.532736</v>
      </c>
      <c r="BS34" s="41">
        <v>13.014289</v>
      </c>
      <c r="BT34" s="41">
        <v>2.075717</v>
      </c>
      <c r="BU34" s="41">
        <v>1.099623</v>
      </c>
      <c r="BV34" s="41">
        <v>0</v>
      </c>
      <c r="BW34" s="41">
        <v>12.506154</v>
      </c>
      <c r="BX34" s="41">
        <v>0.56226799999999999</v>
      </c>
      <c r="BY34" s="41">
        <v>0</v>
      </c>
      <c r="BZ34" s="41">
        <v>0.15187100000000001</v>
      </c>
      <c r="CA34" s="41">
        <v>2.0459999999999999E-2</v>
      </c>
      <c r="CB34" s="41">
        <v>0</v>
      </c>
      <c r="CC34" s="41">
        <v>0</v>
      </c>
      <c r="CD34" s="41">
        <v>0</v>
      </c>
      <c r="CE34" s="41">
        <v>0</v>
      </c>
      <c r="CF34" s="41">
        <v>1.2626E-2</v>
      </c>
      <c r="CG34" s="41">
        <v>2.7520000000000001E-3</v>
      </c>
      <c r="CH34" s="41">
        <v>0</v>
      </c>
      <c r="CI34" s="41">
        <v>5.4123999999999999E-2</v>
      </c>
      <c r="CJ34" s="41">
        <v>6.2438E-2</v>
      </c>
      <c r="CK34" s="41">
        <v>0.16083600000000001</v>
      </c>
      <c r="CL34" s="41">
        <v>83.739761000000001</v>
      </c>
      <c r="CM34" s="41">
        <v>16.234553999999999</v>
      </c>
      <c r="CN34" s="41">
        <v>44.354129999999998</v>
      </c>
      <c r="CO34" s="41">
        <v>42.588988999999998</v>
      </c>
      <c r="CP34" s="41">
        <v>88.216346999999999</v>
      </c>
      <c r="CQ34" s="41">
        <v>0.661578</v>
      </c>
    </row>
    <row r="35" spans="1:95">
      <c r="A35" s="76" t="s">
        <v>753</v>
      </c>
      <c r="B35" s="41">
        <v>2</v>
      </c>
      <c r="C35" s="41">
        <v>215</v>
      </c>
      <c r="D35" s="41">
        <v>215</v>
      </c>
      <c r="E35" s="41">
        <v>25.263300000000001</v>
      </c>
      <c r="F35" s="41">
        <v>25.015899999999998</v>
      </c>
      <c r="G35" s="41">
        <v>1440.77</v>
      </c>
      <c r="H35" s="41">
        <v>1441.08</v>
      </c>
      <c r="I35" s="41">
        <v>1441.3</v>
      </c>
      <c r="J35" s="41">
        <v>1441.57</v>
      </c>
      <c r="K35" s="41">
        <v>1441.17</v>
      </c>
      <c r="L35" s="41">
        <v>1441.9</v>
      </c>
      <c r="M35" s="41">
        <v>1440.98</v>
      </c>
      <c r="N35" s="41">
        <v>1441.66</v>
      </c>
      <c r="O35" s="41">
        <v>0.93169500000000005</v>
      </c>
      <c r="P35" s="41">
        <v>2500.38</v>
      </c>
      <c r="Q35" s="41">
        <v>2500.4899999999998</v>
      </c>
      <c r="R35" s="41">
        <v>2500.36</v>
      </c>
      <c r="S35" s="41">
        <v>2499.54</v>
      </c>
      <c r="T35" s="41">
        <v>2500.02</v>
      </c>
      <c r="U35" s="41">
        <v>2501.29</v>
      </c>
      <c r="V35" s="41">
        <v>2499.0100000000002</v>
      </c>
      <c r="W35" s="41">
        <v>2500.3000000000002</v>
      </c>
      <c r="X35" s="41">
        <v>210</v>
      </c>
      <c r="Y35" s="41">
        <v>1.99546</v>
      </c>
      <c r="Z35" s="41">
        <v>1.9996799999999999</v>
      </c>
      <c r="AA35" s="41">
        <v>1.9992399999999999</v>
      </c>
      <c r="AB35" s="41">
        <v>2.0103800000000001</v>
      </c>
      <c r="AC35" s="41">
        <v>1.9992300000000001</v>
      </c>
      <c r="AD35" s="41">
        <v>1.9991399999999999</v>
      </c>
      <c r="AE35" s="41">
        <v>1.9953799999999999</v>
      </c>
      <c r="AF35" s="41">
        <v>1.9995099999999999</v>
      </c>
      <c r="AG35" s="76" t="s">
        <v>754</v>
      </c>
      <c r="AH35" s="41" t="s">
        <v>173</v>
      </c>
      <c r="AI35" s="41">
        <v>34.651108000000001</v>
      </c>
      <c r="AJ35" s="41">
        <v>30.963597</v>
      </c>
      <c r="AK35" s="41">
        <v>5499321</v>
      </c>
      <c r="AL35" s="41">
        <v>1.6166666746139999</v>
      </c>
      <c r="AM35" s="41">
        <v>65.348892000000006</v>
      </c>
      <c r="AN35" s="41">
        <v>58.394575000000003</v>
      </c>
      <c r="AO35" s="41">
        <v>278678515</v>
      </c>
      <c r="AP35" s="41">
        <v>4</v>
      </c>
      <c r="AR35" s="113">
        <f t="shared" si="0"/>
        <v>57.880257569791532</v>
      </c>
      <c r="AS35" s="113">
        <f t="shared" si="1"/>
        <v>29.681902136611441</v>
      </c>
      <c r="AU35" s="106">
        <f t="shared" si="24"/>
        <v>46253</v>
      </c>
      <c r="AV35" s="107">
        <f t="shared" si="25"/>
        <v>0.93994212962962964</v>
      </c>
      <c r="AW35" s="106">
        <f t="shared" si="26"/>
        <v>46254</v>
      </c>
      <c r="AX35" s="107">
        <f t="shared" si="27"/>
        <v>1.119212962962963E-2</v>
      </c>
      <c r="AY35" s="142">
        <v>46253</v>
      </c>
      <c r="AZ35" s="116">
        <v>0.93996527777777783</v>
      </c>
      <c r="BA35" s="41" t="s">
        <v>755</v>
      </c>
      <c r="BB35" s="41">
        <v>0</v>
      </c>
      <c r="BC35" s="41">
        <v>0</v>
      </c>
      <c r="BD35" s="41">
        <v>2.8076129999999999</v>
      </c>
      <c r="BE35" s="41">
        <v>2.8409110000000002</v>
      </c>
      <c r="BF35" s="41">
        <v>6.5387839999999997</v>
      </c>
      <c r="BG35" s="41">
        <v>12.674299</v>
      </c>
      <c r="BH35" s="41">
        <v>9.3611409999999999</v>
      </c>
      <c r="BI35" s="41">
        <v>0</v>
      </c>
      <c r="BJ35" s="41">
        <v>16.159931</v>
      </c>
      <c r="BK35" s="41">
        <v>7.8132630000000001</v>
      </c>
      <c r="BL35" s="41">
        <v>4.4305349999999999</v>
      </c>
      <c r="BM35" s="41">
        <v>1.7321899999999999</v>
      </c>
      <c r="BN35" s="41">
        <v>0.122751</v>
      </c>
      <c r="BO35" s="41">
        <v>0.38737199999999999</v>
      </c>
      <c r="BP35" s="41">
        <v>0.63292000000000004</v>
      </c>
      <c r="BQ35" s="41">
        <v>0</v>
      </c>
      <c r="BR35" s="41">
        <v>11.542631</v>
      </c>
      <c r="BS35" s="41">
        <v>11.885299</v>
      </c>
      <c r="BT35" s="41">
        <v>3.2984810000000002</v>
      </c>
      <c r="BU35" s="41">
        <v>1.0871459999999999</v>
      </c>
      <c r="BV35" s="41">
        <v>0</v>
      </c>
      <c r="BW35" s="41">
        <v>5.7072900000000004</v>
      </c>
      <c r="BX35" s="41">
        <v>0.73971699999999996</v>
      </c>
      <c r="BY35" s="41">
        <v>0</v>
      </c>
      <c r="BZ35" s="41">
        <v>9.2547000000000004E-2</v>
      </c>
      <c r="CA35" s="41">
        <v>2.0969999999999999E-3</v>
      </c>
      <c r="CB35" s="41">
        <v>0</v>
      </c>
      <c r="CC35" s="41">
        <v>0</v>
      </c>
      <c r="CD35" s="41">
        <v>0</v>
      </c>
      <c r="CE35" s="41">
        <v>0</v>
      </c>
      <c r="CF35" s="41">
        <v>1.388E-2</v>
      </c>
      <c r="CG35" s="41">
        <v>0</v>
      </c>
      <c r="CH35" s="41">
        <v>0</v>
      </c>
      <c r="CI35" s="41">
        <v>0</v>
      </c>
      <c r="CJ35" s="41">
        <v>6.4675999999999997E-2</v>
      </c>
      <c r="CK35" s="41">
        <v>6.4544000000000004E-2</v>
      </c>
      <c r="CL35" s="41">
        <v>83.522262999999995</v>
      </c>
      <c r="CM35" s="41">
        <v>16.421446</v>
      </c>
      <c r="CN35" s="41">
        <v>56.126128999999999</v>
      </c>
      <c r="CO35" s="41">
        <v>54.550499000000002</v>
      </c>
      <c r="CP35" s="41">
        <v>81.318886000000006</v>
      </c>
      <c r="CQ35" s="41">
        <v>0.60850400000000004</v>
      </c>
    </row>
    <row r="36" spans="1:95">
      <c r="A36" s="76" t="s">
        <v>756</v>
      </c>
      <c r="B36" s="41">
        <v>3</v>
      </c>
      <c r="C36" s="41">
        <v>214.9</v>
      </c>
      <c r="D36" s="41">
        <v>215</v>
      </c>
      <c r="E36" s="41">
        <v>25.380500000000001</v>
      </c>
      <c r="F36" s="41">
        <v>25.021699999999999</v>
      </c>
      <c r="G36" s="41">
        <v>1425.1</v>
      </c>
      <c r="H36" s="41">
        <v>1425.08</v>
      </c>
      <c r="I36" s="41">
        <v>1424.99</v>
      </c>
      <c r="J36" s="41">
        <v>1422.64</v>
      </c>
      <c r="K36" s="41">
        <v>1424.35</v>
      </c>
      <c r="L36" s="41">
        <v>1422.61</v>
      </c>
      <c r="M36" s="41">
        <v>1423.69</v>
      </c>
      <c r="N36" s="41">
        <v>1425.27</v>
      </c>
      <c r="O36" s="41">
        <v>0.89158000000000004</v>
      </c>
      <c r="P36" s="41">
        <v>2500.4</v>
      </c>
      <c r="Q36" s="41">
        <v>2500.35</v>
      </c>
      <c r="R36" s="41">
        <v>2499.9499999999998</v>
      </c>
      <c r="S36" s="41">
        <v>2499.0300000000002</v>
      </c>
      <c r="T36" s="41">
        <v>2500.1</v>
      </c>
      <c r="U36" s="41">
        <v>2500.06</v>
      </c>
      <c r="V36" s="41">
        <v>2500</v>
      </c>
      <c r="W36" s="41">
        <v>2498.31</v>
      </c>
      <c r="X36" s="41">
        <v>210</v>
      </c>
      <c r="Y36" s="41">
        <v>1.9986600000000001</v>
      </c>
      <c r="Z36" s="41">
        <v>2.00048</v>
      </c>
      <c r="AA36" s="41">
        <v>1.9990600000000001</v>
      </c>
      <c r="AB36" s="41">
        <v>2.0056699999999998</v>
      </c>
      <c r="AC36" s="41">
        <v>1.9995000000000001</v>
      </c>
      <c r="AD36" s="41">
        <v>1.9979</v>
      </c>
      <c r="AE36" s="41">
        <v>2.0017499999999999</v>
      </c>
      <c r="AF36" s="41">
        <v>2.0015999999999998</v>
      </c>
      <c r="AG36" s="76" t="s">
        <v>757</v>
      </c>
      <c r="AH36" s="41" t="s">
        <v>173</v>
      </c>
      <c r="AI36" s="41">
        <v>33.402380999999998</v>
      </c>
      <c r="AJ36" s="41">
        <v>29.297184000000001</v>
      </c>
      <c r="AK36" s="41">
        <v>5203356</v>
      </c>
      <c r="AL36" s="41">
        <v>1.6133333444594999</v>
      </c>
      <c r="AM36" s="41">
        <v>66.597618999999995</v>
      </c>
      <c r="AN36" s="41">
        <v>58.412683000000001</v>
      </c>
      <c r="AO36" s="41">
        <v>278764934</v>
      </c>
      <c r="AP36" s="41">
        <v>4</v>
      </c>
      <c r="AR36" s="113">
        <f t="shared" si="0"/>
        <v>57.898581894585782</v>
      </c>
      <c r="AS36" s="113">
        <f t="shared" si="1"/>
        <v>28.030394678838675</v>
      </c>
      <c r="AU36" s="106">
        <f t="shared" si="24"/>
        <v>46254</v>
      </c>
      <c r="AV36" s="107">
        <f t="shared" si="25"/>
        <v>2.6064814814814815E-2</v>
      </c>
      <c r="AW36" s="106">
        <f t="shared" si="26"/>
        <v>46254</v>
      </c>
      <c r="AX36" s="107">
        <f t="shared" si="27"/>
        <v>9.7361111111111107E-2</v>
      </c>
      <c r="AY36" s="142">
        <v>46254</v>
      </c>
      <c r="AZ36" s="116">
        <v>2.6076388888888889E-2</v>
      </c>
      <c r="BA36" s="41" t="s">
        <v>758</v>
      </c>
      <c r="BB36" s="41">
        <v>0</v>
      </c>
      <c r="BC36" s="41">
        <v>0</v>
      </c>
      <c r="BD36" s="41">
        <v>9.0535139999999998</v>
      </c>
      <c r="BE36" s="41">
        <v>3.623135</v>
      </c>
      <c r="BF36" s="41">
        <v>18.000826</v>
      </c>
      <c r="BG36" s="41">
        <v>12.145187999999999</v>
      </c>
      <c r="BH36" s="41">
        <v>11.393465000000001</v>
      </c>
      <c r="BI36" s="41">
        <v>0</v>
      </c>
      <c r="BJ36" s="41">
        <v>12.203727000000001</v>
      </c>
      <c r="BK36" s="41">
        <v>8.9481459999999995</v>
      </c>
      <c r="BL36" s="41">
        <v>5.4756999999999998</v>
      </c>
      <c r="BM36" s="41">
        <v>2.8317830000000002</v>
      </c>
      <c r="BN36" s="41">
        <v>0.61624500000000004</v>
      </c>
      <c r="BO36" s="41">
        <v>0.26530100000000001</v>
      </c>
      <c r="BP36" s="41">
        <v>0.54042199999999996</v>
      </c>
      <c r="BQ36" s="41">
        <v>0</v>
      </c>
      <c r="BR36" s="41">
        <v>4.0129330000000003</v>
      </c>
      <c r="BS36" s="41">
        <v>6.0632419999999998</v>
      </c>
      <c r="BT36" s="41">
        <v>2.6491889999999998</v>
      </c>
      <c r="BU36" s="41">
        <v>0.89563199999999998</v>
      </c>
      <c r="BV36" s="41">
        <v>0</v>
      </c>
      <c r="BW36" s="41">
        <v>0.39317099999999999</v>
      </c>
      <c r="BX36" s="41">
        <v>0.60988500000000001</v>
      </c>
      <c r="BY36" s="41">
        <v>0</v>
      </c>
      <c r="BZ36" s="41">
        <v>0.12514900000000001</v>
      </c>
      <c r="CA36" s="41">
        <v>3.3050000000000002E-3</v>
      </c>
      <c r="CB36" s="41">
        <v>0</v>
      </c>
      <c r="CC36" s="41">
        <v>0</v>
      </c>
      <c r="CD36" s="41">
        <v>0</v>
      </c>
      <c r="CE36" s="41">
        <v>0</v>
      </c>
      <c r="CF36" s="41">
        <v>1.3226999999999999E-2</v>
      </c>
      <c r="CG36" s="41">
        <v>0</v>
      </c>
      <c r="CH36" s="41">
        <v>0</v>
      </c>
      <c r="CI36" s="41">
        <v>0</v>
      </c>
      <c r="CJ36" s="41">
        <v>1.6327000000000001E-2</v>
      </c>
      <c r="CK36" s="41">
        <v>0.16067300000000001</v>
      </c>
      <c r="CL36" s="41">
        <v>83.211899000000003</v>
      </c>
      <c r="CM36" s="41">
        <v>16.733447999999999</v>
      </c>
      <c r="CN36" s="41">
        <v>74.751068000000004</v>
      </c>
      <c r="CO36" s="41">
        <v>75.380820999999997</v>
      </c>
      <c r="CP36" s="41">
        <v>70.969314999999995</v>
      </c>
      <c r="CQ36" s="41">
        <v>0.56365100000000001</v>
      </c>
    </row>
    <row r="37" spans="1:95">
      <c r="A37" s="76" t="s">
        <v>759</v>
      </c>
      <c r="B37" s="41">
        <v>4</v>
      </c>
      <c r="C37" s="41">
        <v>215</v>
      </c>
      <c r="D37" s="41">
        <v>215</v>
      </c>
      <c r="E37" s="41">
        <v>25.240200000000002</v>
      </c>
      <c r="F37" s="41">
        <v>25.015899999999998</v>
      </c>
      <c r="G37" s="41">
        <v>1434.74</v>
      </c>
      <c r="H37" s="41">
        <v>1435.62</v>
      </c>
      <c r="I37" s="41">
        <v>1435.42</v>
      </c>
      <c r="J37" s="41">
        <v>1436.24</v>
      </c>
      <c r="K37" s="41">
        <v>1435.79</v>
      </c>
      <c r="L37" s="41">
        <v>1437.03</v>
      </c>
      <c r="M37" s="41">
        <v>1436.07</v>
      </c>
      <c r="N37" s="41">
        <v>1435.54</v>
      </c>
      <c r="O37" s="41">
        <v>0.93347500000000005</v>
      </c>
      <c r="P37" s="41">
        <v>2498.4899999999998</v>
      </c>
      <c r="Q37" s="41">
        <v>2500.0700000000002</v>
      </c>
      <c r="R37" s="41">
        <v>2499.23</v>
      </c>
      <c r="S37" s="41">
        <v>2499.6</v>
      </c>
      <c r="T37" s="41">
        <v>2499.65</v>
      </c>
      <c r="U37" s="41">
        <v>2500.1999999999998</v>
      </c>
      <c r="V37" s="41">
        <v>2499.14</v>
      </c>
      <c r="W37" s="41">
        <v>2499.4299999999998</v>
      </c>
      <c r="X37" s="41">
        <v>210.1</v>
      </c>
      <c r="Y37" s="41">
        <v>1.99803</v>
      </c>
      <c r="Z37" s="41">
        <v>2.0042300000000002</v>
      </c>
      <c r="AA37" s="41">
        <v>2.00176</v>
      </c>
      <c r="AB37" s="41">
        <v>1.99166</v>
      </c>
      <c r="AC37" s="41">
        <v>1.99902</v>
      </c>
      <c r="AD37" s="41">
        <v>1.9937</v>
      </c>
      <c r="AE37" s="41">
        <v>1.99638</v>
      </c>
      <c r="AF37" s="41">
        <v>1.9960800000000001</v>
      </c>
      <c r="AG37" s="76" t="s">
        <v>760</v>
      </c>
      <c r="AH37" s="41" t="s">
        <v>173</v>
      </c>
      <c r="AI37" s="41">
        <v>36.893501000000001</v>
      </c>
      <c r="AJ37" s="41">
        <v>33.533211999999999</v>
      </c>
      <c r="AK37" s="41">
        <v>5955700</v>
      </c>
      <c r="AL37" s="41">
        <v>1.6150000095367001</v>
      </c>
      <c r="AM37" s="41">
        <v>63.106498999999999</v>
      </c>
      <c r="AN37" s="41">
        <v>57.358708</v>
      </c>
      <c r="AO37" s="41">
        <v>273735011</v>
      </c>
      <c r="AP37" s="41">
        <v>4.0030000000000001</v>
      </c>
      <c r="AR37" s="113">
        <f t="shared" si="0"/>
        <v>56.832034691516114</v>
      </c>
      <c r="AS37" s="113">
        <f t="shared" si="1"/>
        <v>32.22853204917164</v>
      </c>
      <c r="AU37" s="106">
        <f t="shared" si="24"/>
        <v>46254</v>
      </c>
      <c r="AV37" s="107">
        <f t="shared" si="25"/>
        <v>0.1121875</v>
      </c>
      <c r="AW37" s="106">
        <f t="shared" si="26"/>
        <v>46254</v>
      </c>
      <c r="AX37" s="107">
        <f t="shared" si="27"/>
        <v>0.18347222222222223</v>
      </c>
      <c r="AY37" s="142">
        <v>46254</v>
      </c>
      <c r="AZ37" s="116">
        <v>0.11221064814814814</v>
      </c>
      <c r="BA37" s="41" t="s">
        <v>761</v>
      </c>
      <c r="BB37" s="41">
        <v>0</v>
      </c>
      <c r="BC37" s="41">
        <v>0</v>
      </c>
      <c r="BD37" s="41">
        <v>4.5414000000000003E-2</v>
      </c>
      <c r="BE37" s="41">
        <v>1.6066339999999999</v>
      </c>
      <c r="BF37" s="41">
        <v>0.29472100000000001</v>
      </c>
      <c r="BG37" s="41">
        <v>12.82362</v>
      </c>
      <c r="BH37" s="41">
        <v>7.5384169999999999</v>
      </c>
      <c r="BI37" s="41">
        <v>0</v>
      </c>
      <c r="BJ37" s="41">
        <v>17.796773999999999</v>
      </c>
      <c r="BK37" s="41">
        <v>8.017595</v>
      </c>
      <c r="BL37" s="41">
        <v>3.6866509999999999</v>
      </c>
      <c r="BM37" s="41">
        <v>0.720611</v>
      </c>
      <c r="BN37" s="41">
        <v>1.6566999999999998E-2</v>
      </c>
      <c r="BO37" s="41">
        <v>0.30486799999999997</v>
      </c>
      <c r="BP37" s="41">
        <v>0.66697899999999999</v>
      </c>
      <c r="BQ37" s="41">
        <v>0</v>
      </c>
      <c r="BR37" s="41">
        <v>16.073450000000001</v>
      </c>
      <c r="BS37" s="41">
        <v>13.773118</v>
      </c>
      <c r="BT37" s="41">
        <v>0.99667799999999995</v>
      </c>
      <c r="BU37" s="41">
        <v>0.96431699999999998</v>
      </c>
      <c r="BV37" s="41">
        <v>0</v>
      </c>
      <c r="BW37" s="41">
        <v>13.45172</v>
      </c>
      <c r="BX37" s="41">
        <v>0.39657700000000001</v>
      </c>
      <c r="BY37" s="41">
        <v>0</v>
      </c>
      <c r="BZ37" s="41">
        <v>0.17408799999999999</v>
      </c>
      <c r="CA37" s="41">
        <v>1.6695000000000002E-2</v>
      </c>
      <c r="CB37" s="41">
        <v>0</v>
      </c>
      <c r="CC37" s="41">
        <v>0</v>
      </c>
      <c r="CD37" s="41">
        <v>0</v>
      </c>
      <c r="CE37" s="41">
        <v>0</v>
      </c>
      <c r="CF37" s="41">
        <v>1.2992999999999999E-2</v>
      </c>
      <c r="CG37" s="41">
        <v>2.1333999999999999E-2</v>
      </c>
      <c r="CH37" s="41">
        <v>4.3454E-2</v>
      </c>
      <c r="CI37" s="41">
        <v>0.16128300000000001</v>
      </c>
      <c r="CJ37" s="41">
        <v>0.204927</v>
      </c>
      <c r="CK37" s="41">
        <v>0.20349800000000001</v>
      </c>
      <c r="CL37" s="41">
        <v>83.868804999999995</v>
      </c>
      <c r="CM37" s="41">
        <v>16.169186</v>
      </c>
      <c r="CN37" s="41">
        <v>41.702846999999998</v>
      </c>
      <c r="CO37" s="41">
        <v>40.347115000000002</v>
      </c>
      <c r="CP37" s="41">
        <v>89.045760999999999</v>
      </c>
      <c r="CQ37" s="41">
        <v>0.66606399999999999</v>
      </c>
    </row>
    <row r="38" spans="1:95">
      <c r="A38" s="76" t="s">
        <v>762</v>
      </c>
      <c r="B38" s="41">
        <v>5</v>
      </c>
      <c r="C38" s="41">
        <v>215</v>
      </c>
      <c r="D38" s="41">
        <v>215</v>
      </c>
      <c r="E38" s="41">
        <v>25.1736</v>
      </c>
      <c r="F38" s="41">
        <v>25.020299999999999</v>
      </c>
      <c r="G38" s="41">
        <v>1456.79</v>
      </c>
      <c r="H38" s="41">
        <v>1456.67</v>
      </c>
      <c r="I38" s="41">
        <v>1455.7</v>
      </c>
      <c r="J38" s="41">
        <v>1454.08</v>
      </c>
      <c r="K38" s="41">
        <v>1455.88</v>
      </c>
      <c r="L38" s="41">
        <v>1455.05</v>
      </c>
      <c r="M38" s="41">
        <v>1456.12</v>
      </c>
      <c r="N38" s="41">
        <v>1456.89</v>
      </c>
      <c r="O38" s="41">
        <v>0.93123500000000003</v>
      </c>
      <c r="P38" s="41">
        <v>2500.91</v>
      </c>
      <c r="Q38" s="41">
        <v>2499.25</v>
      </c>
      <c r="R38" s="41">
        <v>2499.9699999999998</v>
      </c>
      <c r="S38" s="41">
        <v>2499.73</v>
      </c>
      <c r="T38" s="41">
        <v>2499.9499999999998</v>
      </c>
      <c r="U38" s="41">
        <v>2499.8200000000002</v>
      </c>
      <c r="V38" s="41">
        <v>2500.14</v>
      </c>
      <c r="W38" s="41">
        <v>2499.1799999999998</v>
      </c>
      <c r="X38" s="41">
        <v>210.2</v>
      </c>
      <c r="Y38" s="41">
        <v>1.9987600000000001</v>
      </c>
      <c r="Z38" s="41">
        <v>1.9999400000000001</v>
      </c>
      <c r="AA38" s="41">
        <v>1.9982899999999999</v>
      </c>
      <c r="AB38" s="41">
        <v>1.98495</v>
      </c>
      <c r="AC38" s="41">
        <v>1.99959</v>
      </c>
      <c r="AD38" s="41">
        <v>2.0022799999999998</v>
      </c>
      <c r="AE38" s="41">
        <v>1.99979</v>
      </c>
      <c r="AF38" s="41">
        <v>2.0007100000000002</v>
      </c>
      <c r="AG38" s="76" t="s">
        <v>763</v>
      </c>
      <c r="AH38" s="41" t="s">
        <v>173</v>
      </c>
      <c r="AI38" s="41">
        <v>36.704037999999997</v>
      </c>
      <c r="AJ38" s="41">
        <v>33.052129999999998</v>
      </c>
      <c r="AK38" s="41">
        <v>5870257</v>
      </c>
      <c r="AL38" s="41">
        <v>1.6150000095367001</v>
      </c>
      <c r="AM38" s="41">
        <v>63.295962000000003</v>
      </c>
      <c r="AN38" s="41">
        <v>56.998260999999999</v>
      </c>
      <c r="AO38" s="41">
        <v>272014838</v>
      </c>
      <c r="AP38" s="41">
        <v>4.0069999999999997</v>
      </c>
      <c r="AR38" s="113">
        <f t="shared" si="0"/>
        <v>56.467288411713028</v>
      </c>
      <c r="AS38" s="113">
        <f t="shared" si="1"/>
        <v>31.751753539163769</v>
      </c>
      <c r="AU38" s="106">
        <f t="shared" si="24"/>
        <v>46254</v>
      </c>
      <c r="AV38" s="107">
        <f t="shared" si="25"/>
        <v>0.19831018518518517</v>
      </c>
      <c r="AW38" s="106">
        <f t="shared" si="26"/>
        <v>46254</v>
      </c>
      <c r="AX38" s="107">
        <f t="shared" si="27"/>
        <v>0.26954861111111111</v>
      </c>
      <c r="AY38" s="142">
        <v>46254</v>
      </c>
      <c r="AZ38" s="116">
        <v>0.19833333333333333</v>
      </c>
      <c r="BA38" s="41" t="s">
        <v>764</v>
      </c>
      <c r="BB38" s="41">
        <v>0</v>
      </c>
      <c r="BC38" s="41">
        <v>0</v>
      </c>
      <c r="BD38" s="41">
        <v>0.33291199999999999</v>
      </c>
      <c r="BE38" s="41">
        <v>1.8208690000000001</v>
      </c>
      <c r="BF38" s="41">
        <v>1.3522000000000001</v>
      </c>
      <c r="BG38" s="41">
        <v>12.768618999999999</v>
      </c>
      <c r="BH38" s="41">
        <v>8.0782159999999994</v>
      </c>
      <c r="BI38" s="41">
        <v>0</v>
      </c>
      <c r="BJ38" s="41">
        <v>17.269648</v>
      </c>
      <c r="BK38" s="41">
        <v>7.5638420000000002</v>
      </c>
      <c r="BL38" s="41">
        <v>4.053426</v>
      </c>
      <c r="BM38" s="41">
        <v>1.162771</v>
      </c>
      <c r="BN38" s="41">
        <v>0.12157800000000001</v>
      </c>
      <c r="BO38" s="41">
        <v>0.32471699999999998</v>
      </c>
      <c r="BP38" s="41">
        <v>0.667906</v>
      </c>
      <c r="BQ38" s="41">
        <v>0</v>
      </c>
      <c r="BR38" s="41">
        <v>14.883176000000001</v>
      </c>
      <c r="BS38" s="41">
        <v>12.717244000000001</v>
      </c>
      <c r="BT38" s="41">
        <v>2.7511709999999998</v>
      </c>
      <c r="BU38" s="41">
        <v>1.0796209999999999</v>
      </c>
      <c r="BV38" s="41">
        <v>0</v>
      </c>
      <c r="BW38" s="41">
        <v>11.706954</v>
      </c>
      <c r="BX38" s="41">
        <v>0.79685099999999998</v>
      </c>
      <c r="BY38" s="41">
        <v>0</v>
      </c>
      <c r="BZ38" s="41">
        <v>0.13556199999999999</v>
      </c>
      <c r="CA38" s="41">
        <v>2.2128999999999999E-2</v>
      </c>
      <c r="CB38" s="41">
        <v>0</v>
      </c>
      <c r="CC38" s="41">
        <v>0</v>
      </c>
      <c r="CD38" s="41">
        <v>0</v>
      </c>
      <c r="CE38" s="41">
        <v>0</v>
      </c>
      <c r="CF38" s="41">
        <v>1.4546E-2</v>
      </c>
      <c r="CG38" s="41">
        <v>4.5300000000000002E-3</v>
      </c>
      <c r="CH38" s="41">
        <v>0</v>
      </c>
      <c r="CI38" s="41">
        <v>8.0510999999999999E-2</v>
      </c>
      <c r="CJ38" s="41">
        <v>9.1023999999999994E-2</v>
      </c>
      <c r="CK38" s="41">
        <v>0.20097699999999999</v>
      </c>
      <c r="CL38" s="41">
        <v>83.766243000000003</v>
      </c>
      <c r="CM38" s="41">
        <v>16.228007999999999</v>
      </c>
      <c r="CN38" s="41">
        <v>46.202002999999998</v>
      </c>
      <c r="CO38" s="41">
        <v>44.206524000000002</v>
      </c>
      <c r="CP38" s="41">
        <v>87.697624000000005</v>
      </c>
      <c r="CQ38" s="41">
        <v>0.65660099999999999</v>
      </c>
    </row>
    <row r="39" spans="1:95">
      <c r="A39" s="76" t="s">
        <v>765</v>
      </c>
      <c r="B39" s="41">
        <v>6</v>
      </c>
      <c r="C39" s="41">
        <v>215.1</v>
      </c>
      <c r="D39" s="41">
        <v>215</v>
      </c>
      <c r="E39" s="41">
        <v>25.332799999999999</v>
      </c>
      <c r="F39" s="41">
        <v>25.015899999999998</v>
      </c>
      <c r="G39" s="41">
        <v>1444.81</v>
      </c>
      <c r="H39" s="41">
        <v>1445.45</v>
      </c>
      <c r="I39" s="41">
        <v>1445.28</v>
      </c>
      <c r="J39" s="41">
        <v>1445.5</v>
      </c>
      <c r="K39" s="41">
        <v>1445.65</v>
      </c>
      <c r="L39" s="41">
        <v>1446.05</v>
      </c>
      <c r="M39" s="41">
        <v>1445.76</v>
      </c>
      <c r="N39" s="41">
        <v>1444.91</v>
      </c>
      <c r="O39" s="41">
        <v>0.99119800000000002</v>
      </c>
      <c r="P39" s="41">
        <v>2500.0300000000002</v>
      </c>
      <c r="Q39" s="41">
        <v>2500.5100000000002</v>
      </c>
      <c r="R39" s="41">
        <v>2499.52</v>
      </c>
      <c r="S39" s="41">
        <v>2499.88</v>
      </c>
      <c r="T39" s="41">
        <v>2499.66</v>
      </c>
      <c r="U39" s="41">
        <v>2498.6</v>
      </c>
      <c r="V39" s="41">
        <v>2501.1</v>
      </c>
      <c r="W39" s="41">
        <v>2501.5300000000002</v>
      </c>
      <c r="X39" s="41">
        <v>210.1</v>
      </c>
      <c r="Y39" s="41">
        <v>1.99823</v>
      </c>
      <c r="Z39" s="41">
        <v>2.0039500000000001</v>
      </c>
      <c r="AA39" s="41">
        <v>2.0002599999999999</v>
      </c>
      <c r="AB39" s="41">
        <v>1.9987999999999999</v>
      </c>
      <c r="AC39" s="41">
        <v>1.99976</v>
      </c>
      <c r="AD39" s="41">
        <v>1.9983</v>
      </c>
      <c r="AE39" s="41">
        <v>1.9969399999999999</v>
      </c>
      <c r="AF39" s="41">
        <v>1.99817</v>
      </c>
      <c r="AG39" s="76" t="s">
        <v>766</v>
      </c>
      <c r="AH39" s="41" t="s">
        <v>173</v>
      </c>
      <c r="AI39" s="41">
        <v>35.219903000000002</v>
      </c>
      <c r="AJ39" s="41">
        <v>31.477014</v>
      </c>
      <c r="AK39" s="41">
        <v>5590507</v>
      </c>
      <c r="AL39" s="41">
        <v>1.6150000095367001</v>
      </c>
      <c r="AM39" s="41">
        <v>64.780096999999998</v>
      </c>
      <c r="AN39" s="41">
        <v>57.895788000000003</v>
      </c>
      <c r="AO39" s="41">
        <v>276298136</v>
      </c>
      <c r="AP39" s="41">
        <v>4.0049999999999999</v>
      </c>
      <c r="AR39" s="113">
        <f t="shared" si="0"/>
        <v>57.375520903903052</v>
      </c>
      <c r="AS39" s="113">
        <f t="shared" si="1"/>
        <v>30.190727028218451</v>
      </c>
      <c r="AU39" s="106">
        <f t="shared" si="24"/>
        <v>46254</v>
      </c>
      <c r="AV39" s="107">
        <f t="shared" si="25"/>
        <v>0.28443287037037035</v>
      </c>
      <c r="AW39" s="106">
        <f t="shared" si="26"/>
        <v>46254</v>
      </c>
      <c r="AX39" s="107">
        <f t="shared" si="27"/>
        <v>0.35574074074074075</v>
      </c>
      <c r="AY39" s="142">
        <v>46254</v>
      </c>
      <c r="AZ39" s="116">
        <v>0.28445601851851854</v>
      </c>
      <c r="BA39" s="41" t="s">
        <v>767</v>
      </c>
      <c r="BB39" s="41">
        <v>0</v>
      </c>
      <c r="BC39" s="41">
        <v>0</v>
      </c>
      <c r="BD39" s="41">
        <v>2.822444</v>
      </c>
      <c r="BE39" s="41">
        <v>2.8619859999999999</v>
      </c>
      <c r="BF39" s="41">
        <v>6.5347200000000001</v>
      </c>
      <c r="BG39" s="41">
        <v>12.658607999999999</v>
      </c>
      <c r="BH39" s="41">
        <v>9.4149030000000007</v>
      </c>
      <c r="BI39" s="41">
        <v>0</v>
      </c>
      <c r="BJ39" s="41">
        <v>15.890819</v>
      </c>
      <c r="BK39" s="41">
        <v>8.0035690000000006</v>
      </c>
      <c r="BL39" s="41">
        <v>4.5317280000000002</v>
      </c>
      <c r="BM39" s="41">
        <v>1.719462</v>
      </c>
      <c r="BN39" s="41">
        <v>0.13513600000000001</v>
      </c>
      <c r="BO39" s="41">
        <v>0.37496099999999999</v>
      </c>
      <c r="BP39" s="41">
        <v>0.643038</v>
      </c>
      <c r="BQ39" s="41">
        <v>0</v>
      </c>
      <c r="BR39" s="41">
        <v>10.943372999999999</v>
      </c>
      <c r="BS39" s="41">
        <v>12.346534999999999</v>
      </c>
      <c r="BT39" s="41">
        <v>3.3913449999999998</v>
      </c>
      <c r="BU39" s="41">
        <v>1.0901209999999999</v>
      </c>
      <c r="BV39" s="41">
        <v>0</v>
      </c>
      <c r="BW39" s="41">
        <v>5.625165</v>
      </c>
      <c r="BX39" s="41">
        <v>0.75644599999999995</v>
      </c>
      <c r="BY39" s="41">
        <v>0</v>
      </c>
      <c r="BZ39" s="41">
        <v>9.1699000000000003E-2</v>
      </c>
      <c r="CA39" s="41">
        <v>1.542E-3</v>
      </c>
      <c r="CB39" s="41">
        <v>0</v>
      </c>
      <c r="CC39" s="41">
        <v>0</v>
      </c>
      <c r="CD39" s="41">
        <v>0</v>
      </c>
      <c r="CE39" s="41">
        <v>0</v>
      </c>
      <c r="CF39" s="41">
        <v>1.2992999999999999E-2</v>
      </c>
      <c r="CG39" s="41">
        <v>0</v>
      </c>
      <c r="CH39" s="41">
        <v>0</v>
      </c>
      <c r="CI39" s="41">
        <v>4.0169999999999997E-3</v>
      </c>
      <c r="CJ39" s="41">
        <v>6.4778000000000002E-2</v>
      </c>
      <c r="CK39" s="41">
        <v>8.0563999999999997E-2</v>
      </c>
      <c r="CL39" s="41">
        <v>83.527618000000004</v>
      </c>
      <c r="CM39" s="41">
        <v>16.419079</v>
      </c>
      <c r="CN39" s="41">
        <v>56.754092999999997</v>
      </c>
      <c r="CO39" s="41">
        <v>55.036212999999996</v>
      </c>
      <c r="CP39" s="41">
        <v>81.284949999999995</v>
      </c>
      <c r="CQ39" s="41">
        <v>0.60817500000000002</v>
      </c>
    </row>
    <row r="40" spans="1:95">
      <c r="A40" s="76" t="s">
        <v>768</v>
      </c>
      <c r="B40" s="41">
        <v>7</v>
      </c>
      <c r="C40" s="41">
        <v>214.9</v>
      </c>
      <c r="D40" s="41">
        <v>215</v>
      </c>
      <c r="E40" s="41">
        <v>25.3733</v>
      </c>
      <c r="F40" s="41">
        <v>25.0289</v>
      </c>
      <c r="G40" s="41">
        <v>1420.61</v>
      </c>
      <c r="H40" s="41">
        <v>1420.37</v>
      </c>
      <c r="I40" s="41">
        <v>1421.42</v>
      </c>
      <c r="J40" s="41">
        <v>1420.79</v>
      </c>
      <c r="K40" s="41">
        <v>1420.62</v>
      </c>
      <c r="L40" s="41">
        <v>1421.33</v>
      </c>
      <c r="M40" s="41">
        <v>1420.64</v>
      </c>
      <c r="N40" s="41">
        <v>1420.75</v>
      </c>
      <c r="O40" s="41">
        <v>0.95695699999999995</v>
      </c>
      <c r="P40" s="41">
        <v>2499.8200000000002</v>
      </c>
      <c r="Q40" s="41">
        <v>2500.66</v>
      </c>
      <c r="R40" s="41">
        <v>2500.8000000000002</v>
      </c>
      <c r="S40" s="41">
        <v>2499.46</v>
      </c>
      <c r="T40" s="41">
        <v>2500.4499999999998</v>
      </c>
      <c r="U40" s="41">
        <v>2499.2399999999998</v>
      </c>
      <c r="V40" s="41">
        <v>2499.39</v>
      </c>
      <c r="W40" s="41">
        <v>2500.7600000000002</v>
      </c>
      <c r="X40" s="41">
        <v>210</v>
      </c>
      <c r="Y40" s="41">
        <v>1.9980599999999999</v>
      </c>
      <c r="Z40" s="41">
        <v>2.0004499999999998</v>
      </c>
      <c r="AA40" s="41">
        <v>1.99851</v>
      </c>
      <c r="AB40" s="41">
        <v>2.0058699999999998</v>
      </c>
      <c r="AC40" s="41">
        <v>2.0003899999999999</v>
      </c>
      <c r="AD40" s="41">
        <v>2.0024600000000001</v>
      </c>
      <c r="AE40" s="41">
        <v>2.0003700000000002</v>
      </c>
      <c r="AF40" s="41">
        <v>1.9995499999999999</v>
      </c>
      <c r="AG40" s="76" t="s">
        <v>769</v>
      </c>
      <c r="AH40" s="41" t="s">
        <v>173</v>
      </c>
      <c r="AI40" s="41">
        <v>34.309325000000001</v>
      </c>
      <c r="AJ40" s="41">
        <v>30.058042</v>
      </c>
      <c r="AK40" s="41">
        <v>5338489</v>
      </c>
      <c r="AL40" s="41">
        <v>1.6150000095367001</v>
      </c>
      <c r="AM40" s="41">
        <v>65.690674999999999</v>
      </c>
      <c r="AN40" s="41">
        <v>57.550915000000003</v>
      </c>
      <c r="AO40" s="41">
        <v>274652286</v>
      </c>
      <c r="AP40" s="41">
        <v>4.008</v>
      </c>
      <c r="AR40" s="113">
        <f t="shared" si="0"/>
        <v>57.026534107450658</v>
      </c>
      <c r="AS40" s="113">
        <f t="shared" si="1"/>
        <v>28.784447209682551</v>
      </c>
      <c r="AU40" s="106">
        <f t="shared" ref="AU40:AU50" si="28">DATEVALUE(SUBSTITUTE(LEFT(A40,10),".","/"))</f>
        <v>46254</v>
      </c>
      <c r="AV40" s="107">
        <f t="shared" ref="AV40:AV50" si="29">TIMEVALUE(RIGHT(A40,8))</f>
        <v>0.37056712962962962</v>
      </c>
      <c r="AW40" s="106">
        <f t="shared" ref="AW40:AW50" si="30">DATEVALUE(SUBSTITUTE(LEFT(AG40,10),".","/"))</f>
        <v>46254</v>
      </c>
      <c r="AX40" s="107">
        <f t="shared" ref="AX40:AX50" si="31">TIMEVALUE(RIGHT(AG40,8))</f>
        <v>0.44181712962962966</v>
      </c>
      <c r="AY40" s="142">
        <v>46254</v>
      </c>
      <c r="AZ40" s="116">
        <v>0.37059027777777775</v>
      </c>
      <c r="BA40" s="41" t="s">
        <v>770</v>
      </c>
      <c r="BB40" s="41">
        <v>0</v>
      </c>
      <c r="BC40" s="41">
        <v>0</v>
      </c>
      <c r="BD40" s="41">
        <v>9.2098619999999993</v>
      </c>
      <c r="BE40" s="41">
        <v>3.6785839999999999</v>
      </c>
      <c r="BF40" s="41">
        <v>17.678581000000001</v>
      </c>
      <c r="BG40" s="41">
        <v>12.122543</v>
      </c>
      <c r="BH40" s="41">
        <v>11.280911</v>
      </c>
      <c r="BI40" s="41">
        <v>0</v>
      </c>
      <c r="BJ40" s="41">
        <v>12.282844000000001</v>
      </c>
      <c r="BK40" s="41">
        <v>8.9621589999999998</v>
      </c>
      <c r="BL40" s="41">
        <v>5.4975500000000004</v>
      </c>
      <c r="BM40" s="41">
        <v>2.809736</v>
      </c>
      <c r="BN40" s="41">
        <v>0.58750500000000005</v>
      </c>
      <c r="BO40" s="41">
        <v>0.283775</v>
      </c>
      <c r="BP40" s="41">
        <v>0.58625099999999997</v>
      </c>
      <c r="BQ40" s="41">
        <v>0</v>
      </c>
      <c r="BR40" s="41">
        <v>4.1111209999999998</v>
      </c>
      <c r="BS40" s="41">
        <v>6.1523669999999999</v>
      </c>
      <c r="BT40" s="41">
        <v>2.608196</v>
      </c>
      <c r="BU40" s="41">
        <v>0.94391599999999998</v>
      </c>
      <c r="BV40" s="41">
        <v>0</v>
      </c>
      <c r="BW40" s="41">
        <v>0.37151699999999999</v>
      </c>
      <c r="BX40" s="41">
        <v>0.58148599999999995</v>
      </c>
      <c r="BY40" s="41">
        <v>0</v>
      </c>
      <c r="BZ40" s="41">
        <v>0.110583</v>
      </c>
      <c r="CA40" s="41">
        <v>1.9870000000000001E-3</v>
      </c>
      <c r="CB40" s="41">
        <v>0</v>
      </c>
      <c r="CC40" s="41">
        <v>0</v>
      </c>
      <c r="CD40" s="41">
        <v>0</v>
      </c>
      <c r="CE40" s="41">
        <v>0</v>
      </c>
      <c r="CF40" s="41">
        <v>1.4101000000000001E-2</v>
      </c>
      <c r="CG40" s="41">
        <v>0</v>
      </c>
      <c r="CH40" s="41">
        <v>0</v>
      </c>
      <c r="CI40" s="41">
        <v>0</v>
      </c>
      <c r="CJ40" s="41">
        <v>1.6865000000000002E-2</v>
      </c>
      <c r="CK40" s="41">
        <v>0.107583</v>
      </c>
      <c r="CL40" s="41">
        <v>83.200546000000003</v>
      </c>
      <c r="CM40" s="41">
        <v>16.739735</v>
      </c>
      <c r="CN40" s="41">
        <v>74.592674000000002</v>
      </c>
      <c r="CO40" s="41">
        <v>75.232285000000005</v>
      </c>
      <c r="CP40" s="41">
        <v>70.970200000000006</v>
      </c>
      <c r="CQ40" s="41">
        <v>0.56336799999999998</v>
      </c>
    </row>
    <row r="41" spans="1:95">
      <c r="A41" s="76" t="s">
        <v>771</v>
      </c>
      <c r="B41" s="41">
        <v>8</v>
      </c>
      <c r="C41" s="41">
        <v>215.1</v>
      </c>
      <c r="D41" s="41">
        <v>215</v>
      </c>
      <c r="E41" s="41">
        <v>25.245999999999999</v>
      </c>
      <c r="F41" s="41">
        <v>25.008700000000001</v>
      </c>
      <c r="G41" s="41">
        <v>1420.32</v>
      </c>
      <c r="H41" s="41">
        <v>1420.38</v>
      </c>
      <c r="I41" s="41">
        <v>1420.18</v>
      </c>
      <c r="J41" s="41">
        <v>1418.67</v>
      </c>
      <c r="K41" s="41">
        <v>1419.77</v>
      </c>
      <c r="L41" s="41">
        <v>1418.78</v>
      </c>
      <c r="M41" s="41">
        <v>1419.1</v>
      </c>
      <c r="N41" s="41">
        <v>1420.51</v>
      </c>
      <c r="O41" s="41">
        <v>0.89915100000000003</v>
      </c>
      <c r="P41" s="41">
        <v>2498.87</v>
      </c>
      <c r="Q41" s="41">
        <v>2500.06</v>
      </c>
      <c r="R41" s="41">
        <v>2499.89</v>
      </c>
      <c r="S41" s="41">
        <v>2500.81</v>
      </c>
      <c r="T41" s="41">
        <v>2499.69</v>
      </c>
      <c r="U41" s="41">
        <v>2500.7199999999998</v>
      </c>
      <c r="V41" s="41">
        <v>2499.75</v>
      </c>
      <c r="W41" s="41">
        <v>2500.31</v>
      </c>
      <c r="X41" s="41">
        <v>210.1</v>
      </c>
      <c r="Y41" s="41">
        <v>2.0013000000000001</v>
      </c>
      <c r="Z41" s="41">
        <v>2.0039099999999999</v>
      </c>
      <c r="AA41" s="41">
        <v>2.0005600000000001</v>
      </c>
      <c r="AB41" s="41">
        <v>2.0273400000000001</v>
      </c>
      <c r="AC41" s="41">
        <v>2.0036700000000001</v>
      </c>
      <c r="AD41" s="41">
        <v>2.00325</v>
      </c>
      <c r="AE41" s="41">
        <v>2.0028199999999998</v>
      </c>
      <c r="AF41" s="41">
        <v>1.9997100000000001</v>
      </c>
      <c r="AG41" s="76" t="s">
        <v>772</v>
      </c>
      <c r="AH41" s="41" t="s">
        <v>173</v>
      </c>
      <c r="AI41" s="41">
        <v>36.094169000000001</v>
      </c>
      <c r="AJ41" s="41">
        <v>32.698425999999998</v>
      </c>
      <c r="AK41" s="41">
        <v>5807437</v>
      </c>
      <c r="AL41" s="41">
        <v>1.6150000095367001</v>
      </c>
      <c r="AM41" s="41">
        <v>63.905830999999999</v>
      </c>
      <c r="AN41" s="41">
        <v>57.893563999999998</v>
      </c>
      <c r="AO41" s="41">
        <v>276287523</v>
      </c>
      <c r="AP41" s="41">
        <v>4.0069999999999997</v>
      </c>
      <c r="AR41" s="113">
        <f t="shared" si="0"/>
        <v>57.373270518466498</v>
      </c>
      <c r="AS41" s="113">
        <f t="shared" si="1"/>
        <v>31.40121310871664</v>
      </c>
      <c r="AU41" s="106">
        <f t="shared" si="28"/>
        <v>46254</v>
      </c>
      <c r="AV41" s="107">
        <f t="shared" si="29"/>
        <v>0.4566898148148148</v>
      </c>
      <c r="AW41" s="106">
        <f t="shared" si="30"/>
        <v>46254</v>
      </c>
      <c r="AX41" s="107">
        <f t="shared" si="31"/>
        <v>0.52799768518518519</v>
      </c>
      <c r="AY41" s="142">
        <v>46254</v>
      </c>
      <c r="AZ41" s="116">
        <v>0.45670138888888889</v>
      </c>
      <c r="BA41" s="41" t="s">
        <v>773</v>
      </c>
      <c r="BB41" s="41">
        <v>0</v>
      </c>
      <c r="BC41" s="41">
        <v>0</v>
      </c>
      <c r="BD41" s="41">
        <v>4.5904E-2</v>
      </c>
      <c r="BE41" s="41">
        <v>1.609477</v>
      </c>
      <c r="BF41" s="41">
        <v>0.296043</v>
      </c>
      <c r="BG41" s="41">
        <v>12.849126999999999</v>
      </c>
      <c r="BH41" s="41">
        <v>7.5525349999999998</v>
      </c>
      <c r="BI41" s="41">
        <v>0</v>
      </c>
      <c r="BJ41" s="41">
        <v>17.810338999999999</v>
      </c>
      <c r="BK41" s="41">
        <v>8.0262530000000005</v>
      </c>
      <c r="BL41" s="41">
        <v>3.6892369999999999</v>
      </c>
      <c r="BM41" s="41">
        <v>0.72140199999999999</v>
      </c>
      <c r="BN41" s="41">
        <v>1.6577000000000001E-2</v>
      </c>
      <c r="BO41" s="41">
        <v>0.306363</v>
      </c>
      <c r="BP41" s="41">
        <v>0.66839400000000004</v>
      </c>
      <c r="BQ41" s="41">
        <v>0</v>
      </c>
      <c r="BR41" s="41">
        <v>16.051983</v>
      </c>
      <c r="BS41" s="41">
        <v>13.759945</v>
      </c>
      <c r="BT41" s="41">
        <v>0.99949600000000005</v>
      </c>
      <c r="BU41" s="41">
        <v>0.96166499999999999</v>
      </c>
      <c r="BV41" s="41">
        <v>0</v>
      </c>
      <c r="BW41" s="41">
        <v>13.400995</v>
      </c>
      <c r="BX41" s="41">
        <v>0.39061099999999999</v>
      </c>
      <c r="BY41" s="41">
        <v>0</v>
      </c>
      <c r="BZ41" s="41">
        <v>0.17163100000000001</v>
      </c>
      <c r="CA41" s="41">
        <v>1.6584999999999999E-2</v>
      </c>
      <c r="CB41" s="41">
        <v>0</v>
      </c>
      <c r="CC41" s="41">
        <v>0</v>
      </c>
      <c r="CD41" s="41">
        <v>0</v>
      </c>
      <c r="CE41" s="41">
        <v>0</v>
      </c>
      <c r="CF41" s="41">
        <v>0</v>
      </c>
      <c r="CG41" s="41">
        <v>2.3123000000000001E-2</v>
      </c>
      <c r="CH41" s="41">
        <v>5.2604999999999999E-2</v>
      </c>
      <c r="CI41" s="41">
        <v>0.176343</v>
      </c>
      <c r="CJ41" s="41">
        <v>0.20286599999999999</v>
      </c>
      <c r="CK41" s="41">
        <v>0.200491</v>
      </c>
      <c r="CL41" s="41">
        <v>83.875716999999995</v>
      </c>
      <c r="CM41" s="41">
        <v>16.166435</v>
      </c>
      <c r="CN41" s="41">
        <v>41.734074</v>
      </c>
      <c r="CO41" s="41">
        <v>40.378712</v>
      </c>
      <c r="CP41" s="41">
        <v>89.026580999999993</v>
      </c>
      <c r="CQ41" s="41">
        <v>0.66627199999999998</v>
      </c>
    </row>
    <row r="42" spans="1:95">
      <c r="A42" s="76" t="s">
        <v>774</v>
      </c>
      <c r="B42" s="41">
        <v>1</v>
      </c>
      <c r="C42" s="41">
        <v>215</v>
      </c>
      <c r="D42" s="41">
        <v>215</v>
      </c>
      <c r="E42" s="41">
        <v>25.380500000000001</v>
      </c>
      <c r="F42" s="41">
        <v>25.014500000000002</v>
      </c>
      <c r="G42" s="41">
        <v>1413.59</v>
      </c>
      <c r="H42" s="41">
        <v>1413.78</v>
      </c>
      <c r="I42" s="41">
        <v>1414.28</v>
      </c>
      <c r="J42" s="41">
        <v>1413.65</v>
      </c>
      <c r="K42" s="41">
        <v>1413.71</v>
      </c>
      <c r="L42" s="41">
        <v>1413.83</v>
      </c>
      <c r="M42" s="41">
        <v>1414.41</v>
      </c>
      <c r="N42" s="41">
        <v>1414.42</v>
      </c>
      <c r="O42" s="41">
        <v>0.92651600000000001</v>
      </c>
      <c r="P42" s="41">
        <v>2499.5300000000002</v>
      </c>
      <c r="Q42" s="41">
        <v>2500.61</v>
      </c>
      <c r="R42" s="41">
        <v>2498.89</v>
      </c>
      <c r="S42" s="41">
        <v>2500.2199999999998</v>
      </c>
      <c r="T42" s="41">
        <v>2500.15</v>
      </c>
      <c r="U42" s="41">
        <v>2500.3000000000002</v>
      </c>
      <c r="V42" s="41">
        <v>2499.6999999999998</v>
      </c>
      <c r="W42" s="41">
        <v>2499.98</v>
      </c>
      <c r="X42" s="41">
        <v>209.9</v>
      </c>
      <c r="Y42" s="41">
        <v>1.99956</v>
      </c>
      <c r="Z42" s="41">
        <v>1.99794</v>
      </c>
      <c r="AA42" s="41">
        <v>1.99854</v>
      </c>
      <c r="AB42" s="41">
        <v>1.99105</v>
      </c>
      <c r="AC42" s="41">
        <v>1.99787</v>
      </c>
      <c r="AD42" s="41">
        <v>1.9996</v>
      </c>
      <c r="AE42" s="41">
        <v>1.99519</v>
      </c>
      <c r="AF42" s="41">
        <v>1.99895</v>
      </c>
      <c r="AG42" s="76" t="s">
        <v>775</v>
      </c>
      <c r="AH42" s="41" t="s">
        <v>173</v>
      </c>
      <c r="AI42" s="41">
        <v>37.358190999999998</v>
      </c>
      <c r="AJ42" s="41">
        <v>34.109211000000002</v>
      </c>
      <c r="AK42" s="41">
        <v>6058001</v>
      </c>
      <c r="AL42" s="41">
        <v>1.6166666746139999</v>
      </c>
      <c r="AM42" s="41">
        <v>62.641809000000002</v>
      </c>
      <c r="AN42" s="41">
        <v>57.193953999999998</v>
      </c>
      <c r="AO42" s="41">
        <v>272948751</v>
      </c>
      <c r="AP42" s="41">
        <v>4.0119999999999996</v>
      </c>
      <c r="AR42" s="113">
        <f t="shared" si="0"/>
        <v>56.665315756875252</v>
      </c>
      <c r="AS42" s="113">
        <f t="shared" si="1"/>
        <v>32.79937949544945</v>
      </c>
      <c r="AU42" s="106">
        <f t="shared" si="28"/>
        <v>46254</v>
      </c>
      <c r="AV42" s="107">
        <f t="shared" si="29"/>
        <v>0.54281250000000003</v>
      </c>
      <c r="AW42" s="106">
        <f t="shared" si="30"/>
        <v>46254</v>
      </c>
      <c r="AX42" s="107">
        <f t="shared" si="31"/>
        <v>0.61409722222222218</v>
      </c>
      <c r="AY42" s="142">
        <v>46254</v>
      </c>
      <c r="AZ42" s="116">
        <v>0.5428587962962963</v>
      </c>
      <c r="BA42" s="41" t="s">
        <v>776</v>
      </c>
      <c r="BB42" s="41">
        <v>0</v>
      </c>
      <c r="BC42" s="41">
        <v>0</v>
      </c>
      <c r="BD42" s="41">
        <v>0.199323</v>
      </c>
      <c r="BE42" s="41">
        <v>1.7276149999999999</v>
      </c>
      <c r="BF42" s="41">
        <v>0.85676600000000003</v>
      </c>
      <c r="BG42" s="41">
        <v>12.846728000000001</v>
      </c>
      <c r="BH42" s="41">
        <v>7.8290290000000002</v>
      </c>
      <c r="BI42" s="41">
        <v>0</v>
      </c>
      <c r="BJ42" s="41">
        <v>17.607956000000001</v>
      </c>
      <c r="BK42" s="41">
        <v>7.7352270000000001</v>
      </c>
      <c r="BL42" s="41">
        <v>3.9023189999999999</v>
      </c>
      <c r="BM42" s="41">
        <v>0.98668299999999998</v>
      </c>
      <c r="BN42" s="41">
        <v>5.7827999999999997E-2</v>
      </c>
      <c r="BO42" s="41">
        <v>0.34205799999999997</v>
      </c>
      <c r="BP42" s="41">
        <v>0.67704600000000004</v>
      </c>
      <c r="BQ42" s="41">
        <v>0</v>
      </c>
      <c r="BR42" s="41">
        <v>15.516939000000001</v>
      </c>
      <c r="BS42" s="41">
        <v>12.99057</v>
      </c>
      <c r="BT42" s="41">
        <v>2.096311</v>
      </c>
      <c r="BU42" s="41">
        <v>1.1000939999999999</v>
      </c>
      <c r="BV42" s="41">
        <v>0</v>
      </c>
      <c r="BW42" s="41">
        <v>12.521623</v>
      </c>
      <c r="BX42" s="41">
        <v>0.56168899999999999</v>
      </c>
      <c r="BY42" s="41">
        <v>0</v>
      </c>
      <c r="BZ42" s="41">
        <v>0.15062600000000001</v>
      </c>
      <c r="CA42" s="41">
        <v>2.1985999999999999E-2</v>
      </c>
      <c r="CB42" s="41">
        <v>0</v>
      </c>
      <c r="CC42" s="41">
        <v>0</v>
      </c>
      <c r="CD42" s="41">
        <v>0</v>
      </c>
      <c r="CE42" s="41">
        <v>0</v>
      </c>
      <c r="CF42" s="41">
        <v>1.272E-2</v>
      </c>
      <c r="CG42" s="41">
        <v>2.4229999999999998E-3</v>
      </c>
      <c r="CH42" s="41">
        <v>0</v>
      </c>
      <c r="CI42" s="41">
        <v>5.5495000000000003E-2</v>
      </c>
      <c r="CJ42" s="41">
        <v>6.2355000000000001E-2</v>
      </c>
      <c r="CK42" s="41">
        <v>0.13858699999999999</v>
      </c>
      <c r="CL42" s="41">
        <v>83.734924000000007</v>
      </c>
      <c r="CM42" s="41">
        <v>16.237701000000001</v>
      </c>
      <c r="CN42" s="41">
        <v>44.375729</v>
      </c>
      <c r="CO42" s="41">
        <v>42.599303999999997</v>
      </c>
      <c r="CP42" s="41">
        <v>88.219795000000005</v>
      </c>
      <c r="CQ42" s="41">
        <v>0.65956400000000004</v>
      </c>
    </row>
    <row r="43" spans="1:95">
      <c r="A43" s="76" t="s">
        <v>777</v>
      </c>
      <c r="B43" s="41">
        <v>2</v>
      </c>
      <c r="C43" s="41">
        <v>215</v>
      </c>
      <c r="D43" s="41">
        <v>215</v>
      </c>
      <c r="E43" s="41">
        <v>25.127300000000002</v>
      </c>
      <c r="F43" s="41">
        <v>25.044799999999999</v>
      </c>
      <c r="G43" s="41">
        <v>1443.84</v>
      </c>
      <c r="H43" s="41">
        <v>1443.48</v>
      </c>
      <c r="I43" s="41">
        <v>1443.56</v>
      </c>
      <c r="J43" s="41">
        <v>1444.52</v>
      </c>
      <c r="K43" s="41">
        <v>1443.47</v>
      </c>
      <c r="L43" s="41">
        <v>1443.53</v>
      </c>
      <c r="M43" s="41">
        <v>1443.46</v>
      </c>
      <c r="N43" s="41">
        <v>1443.82</v>
      </c>
      <c r="O43" s="41">
        <v>0.92760799999999999</v>
      </c>
      <c r="P43" s="41">
        <v>2500.37</v>
      </c>
      <c r="Q43" s="41">
        <v>2499.4699999999998</v>
      </c>
      <c r="R43" s="41">
        <v>2499.2600000000002</v>
      </c>
      <c r="S43" s="41">
        <v>2499.62</v>
      </c>
      <c r="T43" s="41">
        <v>2499.83</v>
      </c>
      <c r="U43" s="41">
        <v>2500.46</v>
      </c>
      <c r="V43" s="41">
        <v>2500</v>
      </c>
      <c r="W43" s="41">
        <v>2499.67</v>
      </c>
      <c r="X43" s="41">
        <v>209.9</v>
      </c>
      <c r="Y43" s="41">
        <v>1.99844</v>
      </c>
      <c r="Z43" s="41">
        <v>1.9981199999999999</v>
      </c>
      <c r="AA43" s="41">
        <v>2.0018699999999998</v>
      </c>
      <c r="AB43" s="41">
        <v>2.02291</v>
      </c>
      <c r="AC43" s="41">
        <v>1.9999199999999999</v>
      </c>
      <c r="AD43" s="41">
        <v>1.9990699999999999</v>
      </c>
      <c r="AE43" s="41">
        <v>1.9988300000000001</v>
      </c>
      <c r="AF43" s="41">
        <v>1.9978</v>
      </c>
      <c r="AG43" s="76" t="s">
        <v>778</v>
      </c>
      <c r="AH43" s="41" t="s">
        <v>173</v>
      </c>
      <c r="AI43" s="41">
        <v>34.818278999999997</v>
      </c>
      <c r="AJ43" s="41">
        <v>31.015245</v>
      </c>
      <c r="AK43" s="41">
        <v>5508494</v>
      </c>
      <c r="AL43" s="41">
        <v>1.6150000095367001</v>
      </c>
      <c r="AM43" s="41">
        <v>65.181720999999996</v>
      </c>
      <c r="AN43" s="41">
        <v>58.062232999999999</v>
      </c>
      <c r="AO43" s="41">
        <v>277092470</v>
      </c>
      <c r="AP43" s="41">
        <v>4.008</v>
      </c>
      <c r="AR43" s="113">
        <f t="shared" si="0"/>
        <v>57.543951853244252</v>
      </c>
      <c r="AS43" s="113">
        <f t="shared" si="1"/>
        <v>29.733088181955146</v>
      </c>
      <c r="AU43" s="106">
        <f t="shared" si="28"/>
        <v>46254</v>
      </c>
      <c r="AV43" s="107">
        <f t="shared" si="29"/>
        <v>0.62894675925925925</v>
      </c>
      <c r="AW43" s="106">
        <f t="shared" si="30"/>
        <v>46254</v>
      </c>
      <c r="AX43" s="107">
        <f t="shared" si="31"/>
        <v>0.70018518518518513</v>
      </c>
      <c r="AY43" s="142">
        <v>46254</v>
      </c>
      <c r="AZ43" s="116">
        <v>0.62898148148148147</v>
      </c>
      <c r="BA43" s="41" t="s">
        <v>779</v>
      </c>
      <c r="BB43" s="41">
        <v>0</v>
      </c>
      <c r="BC43" s="41">
        <v>0</v>
      </c>
      <c r="BD43" s="41">
        <v>2.8378109999999999</v>
      </c>
      <c r="BE43" s="41">
        <v>2.8482590000000001</v>
      </c>
      <c r="BF43" s="41">
        <v>6.5954699999999997</v>
      </c>
      <c r="BG43" s="41">
        <v>12.680899999999999</v>
      </c>
      <c r="BH43" s="41">
        <v>9.3730849999999997</v>
      </c>
      <c r="BI43" s="41">
        <v>0</v>
      </c>
      <c r="BJ43" s="41">
        <v>16.144863000000001</v>
      </c>
      <c r="BK43" s="41">
        <v>7.8139269999999996</v>
      </c>
      <c r="BL43" s="41">
        <v>4.4339019999999998</v>
      </c>
      <c r="BM43" s="41">
        <v>1.7403679999999999</v>
      </c>
      <c r="BN43" s="41">
        <v>0.12395299999999999</v>
      </c>
      <c r="BO43" s="41">
        <v>0.38784299999999999</v>
      </c>
      <c r="BP43" s="41">
        <v>0.63315900000000003</v>
      </c>
      <c r="BQ43" s="41">
        <v>0</v>
      </c>
      <c r="BR43" s="41">
        <v>11.513144</v>
      </c>
      <c r="BS43" s="41">
        <v>11.850049</v>
      </c>
      <c r="BT43" s="41">
        <v>3.2992050000000002</v>
      </c>
      <c r="BU43" s="41">
        <v>1.0950899999999999</v>
      </c>
      <c r="BV43" s="41">
        <v>0</v>
      </c>
      <c r="BW43" s="41">
        <v>5.6311369999999998</v>
      </c>
      <c r="BX43" s="41">
        <v>0.73624900000000004</v>
      </c>
      <c r="BY43" s="41">
        <v>0</v>
      </c>
      <c r="BZ43" s="41">
        <v>9.2573000000000003E-2</v>
      </c>
      <c r="CA43" s="41">
        <v>1.825E-3</v>
      </c>
      <c r="CB43" s="41">
        <v>0</v>
      </c>
      <c r="CC43" s="41">
        <v>0</v>
      </c>
      <c r="CD43" s="41">
        <v>0</v>
      </c>
      <c r="CE43" s="41">
        <v>0</v>
      </c>
      <c r="CF43" s="41">
        <v>1.3565000000000001E-2</v>
      </c>
      <c r="CG43" s="41">
        <v>0</v>
      </c>
      <c r="CH43" s="41">
        <v>0</v>
      </c>
      <c r="CI43" s="41">
        <v>4.6690000000000004E-3</v>
      </c>
      <c r="CJ43" s="41">
        <v>6.6245999999999999E-2</v>
      </c>
      <c r="CK43" s="41">
        <v>8.2681000000000004E-2</v>
      </c>
      <c r="CL43" s="41">
        <v>83.528312999999997</v>
      </c>
      <c r="CM43" s="41">
        <v>16.419225999999998</v>
      </c>
      <c r="CN43" s="41">
        <v>56.223391999999997</v>
      </c>
      <c r="CO43" s="41">
        <v>54.661957000000001</v>
      </c>
      <c r="CP43" s="41">
        <v>81.257026999999994</v>
      </c>
      <c r="CQ43" s="41">
        <v>0.60803799999999997</v>
      </c>
    </row>
    <row r="44" spans="1:95">
      <c r="A44" s="76" t="s">
        <v>780</v>
      </c>
      <c r="B44" s="41">
        <v>3</v>
      </c>
      <c r="C44" s="41">
        <v>215.1</v>
      </c>
      <c r="D44" s="41">
        <v>215</v>
      </c>
      <c r="E44" s="41">
        <v>25.289400000000001</v>
      </c>
      <c r="F44" s="41">
        <v>25.017399999999999</v>
      </c>
      <c r="G44" s="41">
        <v>1409.08</v>
      </c>
      <c r="H44" s="41">
        <v>1408.5</v>
      </c>
      <c r="I44" s="41">
        <v>1408.34</v>
      </c>
      <c r="J44" s="41">
        <v>1406.65</v>
      </c>
      <c r="K44" s="41">
        <v>1408.2</v>
      </c>
      <c r="L44" s="41">
        <v>1407.79</v>
      </c>
      <c r="M44" s="41">
        <v>1408.02</v>
      </c>
      <c r="N44" s="41">
        <v>1408.22</v>
      </c>
      <c r="O44" s="41">
        <v>0.93838999999999995</v>
      </c>
      <c r="P44" s="41">
        <v>2499.17</v>
      </c>
      <c r="Q44" s="41">
        <v>2499.92</v>
      </c>
      <c r="R44" s="41">
        <v>2499.4299999999998</v>
      </c>
      <c r="S44" s="41">
        <v>2500.5500000000002</v>
      </c>
      <c r="T44" s="41">
        <v>2499.9899999999998</v>
      </c>
      <c r="U44" s="41">
        <v>2499.59</v>
      </c>
      <c r="V44" s="41">
        <v>2499.61</v>
      </c>
      <c r="W44" s="41">
        <v>2498.79</v>
      </c>
      <c r="X44" s="41">
        <v>209.9</v>
      </c>
      <c r="Y44" s="41">
        <v>1.99868</v>
      </c>
      <c r="Z44" s="41">
        <v>2.0040300000000002</v>
      </c>
      <c r="AA44" s="41">
        <v>2.0016500000000002</v>
      </c>
      <c r="AB44" s="41">
        <v>1.9833799999999999</v>
      </c>
      <c r="AC44" s="41">
        <v>1.99977</v>
      </c>
      <c r="AD44" s="41">
        <v>2.0011399999999999</v>
      </c>
      <c r="AE44" s="41">
        <v>2.00101</v>
      </c>
      <c r="AF44" s="41">
        <v>1.9972399999999999</v>
      </c>
      <c r="AG44" s="76" t="s">
        <v>781</v>
      </c>
      <c r="AH44" s="41" t="s">
        <v>173</v>
      </c>
      <c r="AI44" s="41">
        <v>33.309787</v>
      </c>
      <c r="AJ44" s="41">
        <v>29.083886</v>
      </c>
      <c r="AK44" s="41">
        <v>5165473</v>
      </c>
      <c r="AL44" s="41">
        <v>1.6150000095367001</v>
      </c>
      <c r="AM44" s="41">
        <v>66.690213</v>
      </c>
      <c r="AN44" s="41">
        <v>58.22945</v>
      </c>
      <c r="AO44" s="41">
        <v>277890485</v>
      </c>
      <c r="AP44" s="41">
        <v>4.0129999999999999</v>
      </c>
      <c r="AR44" s="113">
        <f t="shared" si="0"/>
        <v>57.713163323530701</v>
      </c>
      <c r="AS44" s="113">
        <f t="shared" si="1"/>
        <v>27.819004625883746</v>
      </c>
      <c r="AU44" s="106">
        <f t="shared" si="28"/>
        <v>46254</v>
      </c>
      <c r="AV44" s="107">
        <f t="shared" si="29"/>
        <v>0.71506944444444442</v>
      </c>
      <c r="AW44" s="106">
        <f t="shared" si="30"/>
        <v>46254</v>
      </c>
      <c r="AX44" s="107">
        <f t="shared" si="31"/>
        <v>0.7863310185185185</v>
      </c>
      <c r="AY44" s="142">
        <v>46254</v>
      </c>
      <c r="AZ44" s="116">
        <v>0.71509259259259261</v>
      </c>
      <c r="BA44" s="41" t="s">
        <v>782</v>
      </c>
      <c r="BB44" s="41">
        <v>0</v>
      </c>
      <c r="BC44" s="41">
        <v>0</v>
      </c>
      <c r="BD44" s="41">
        <v>9.2251049999999992</v>
      </c>
      <c r="BE44" s="41">
        <v>3.6290290000000001</v>
      </c>
      <c r="BF44" s="41">
        <v>18.265266</v>
      </c>
      <c r="BG44" s="41">
        <v>12.12237</v>
      </c>
      <c r="BH44" s="41">
        <v>11.439116</v>
      </c>
      <c r="BI44" s="41">
        <v>0</v>
      </c>
      <c r="BJ44" s="41">
        <v>12.073672</v>
      </c>
      <c r="BK44" s="41">
        <v>9.0118399999999994</v>
      </c>
      <c r="BL44" s="41">
        <v>5.5181019999999998</v>
      </c>
      <c r="BM44" s="41">
        <v>2.8552759999999999</v>
      </c>
      <c r="BN44" s="41">
        <v>0.63664900000000002</v>
      </c>
      <c r="BO44" s="41">
        <v>0.26215500000000003</v>
      </c>
      <c r="BP44" s="41">
        <v>0.53820000000000001</v>
      </c>
      <c r="BQ44" s="41">
        <v>0</v>
      </c>
      <c r="BR44" s="41">
        <v>3.8308909999999998</v>
      </c>
      <c r="BS44" s="41">
        <v>5.8802849999999998</v>
      </c>
      <c r="BT44" s="41">
        <v>2.6004170000000002</v>
      </c>
      <c r="BU44" s="41">
        <v>0.89000500000000005</v>
      </c>
      <c r="BV44" s="41">
        <v>0</v>
      </c>
      <c r="BW44" s="41">
        <v>0.30650300000000003</v>
      </c>
      <c r="BX44" s="41">
        <v>0.60502100000000003</v>
      </c>
      <c r="BY44" s="41">
        <v>0</v>
      </c>
      <c r="BZ44" s="41">
        <v>0.12614400000000001</v>
      </c>
      <c r="CA44" s="41">
        <v>3.101E-3</v>
      </c>
      <c r="CB44" s="41">
        <v>0</v>
      </c>
      <c r="CC44" s="41">
        <v>0</v>
      </c>
      <c r="CD44" s="41">
        <v>0</v>
      </c>
      <c r="CE44" s="41">
        <v>0</v>
      </c>
      <c r="CF44" s="41">
        <v>1.2788000000000001E-2</v>
      </c>
      <c r="CG44" s="41">
        <v>0</v>
      </c>
      <c r="CH44" s="41">
        <v>0</v>
      </c>
      <c r="CI44" s="41">
        <v>0</v>
      </c>
      <c r="CJ44" s="41">
        <v>5.561E-3</v>
      </c>
      <c r="CK44" s="41">
        <v>0.16253200000000001</v>
      </c>
      <c r="CL44" s="41">
        <v>83.200951000000003</v>
      </c>
      <c r="CM44" s="41">
        <v>16.742666</v>
      </c>
      <c r="CN44" s="41">
        <v>75.179526999999993</v>
      </c>
      <c r="CO44" s="41">
        <v>75.883330999999998</v>
      </c>
      <c r="CP44" s="41">
        <v>70.751761999999999</v>
      </c>
      <c r="CQ44" s="41">
        <v>0.56028699999999998</v>
      </c>
    </row>
    <row r="45" spans="1:95">
      <c r="A45" s="76" t="s">
        <v>783</v>
      </c>
      <c r="B45" s="41">
        <v>4</v>
      </c>
      <c r="C45" s="41">
        <v>215</v>
      </c>
      <c r="D45" s="41">
        <v>215</v>
      </c>
      <c r="E45" s="41">
        <v>25.296600000000002</v>
      </c>
      <c r="F45" s="41">
        <v>24.995699999999999</v>
      </c>
      <c r="G45" s="41">
        <v>1431.7</v>
      </c>
      <c r="H45" s="41">
        <v>1432.1</v>
      </c>
      <c r="I45" s="41">
        <v>1432.1</v>
      </c>
      <c r="J45" s="41">
        <v>1432.1</v>
      </c>
      <c r="K45" s="41">
        <v>1431.96</v>
      </c>
      <c r="L45" s="41">
        <v>1432.38</v>
      </c>
      <c r="M45" s="41">
        <v>1432.16</v>
      </c>
      <c r="N45" s="41">
        <v>1431.92</v>
      </c>
      <c r="O45" s="41">
        <v>0.94208000000000003</v>
      </c>
      <c r="P45" s="41">
        <v>2500.09</v>
      </c>
      <c r="Q45" s="41">
        <v>2499.98</v>
      </c>
      <c r="R45" s="41">
        <v>2500.87</v>
      </c>
      <c r="S45" s="41">
        <v>2500.2399999999998</v>
      </c>
      <c r="T45" s="41">
        <v>2500.1</v>
      </c>
      <c r="U45" s="41">
        <v>2499.23</v>
      </c>
      <c r="V45" s="41">
        <v>2499.65</v>
      </c>
      <c r="W45" s="41">
        <v>2501.5300000000002</v>
      </c>
      <c r="X45" s="41">
        <v>210.1</v>
      </c>
      <c r="Y45" s="41">
        <v>2.0016600000000002</v>
      </c>
      <c r="Z45" s="41">
        <v>1.9997799999999999</v>
      </c>
      <c r="AA45" s="41">
        <v>2.0001199999999999</v>
      </c>
      <c r="AB45" s="41">
        <v>2.0051100000000002</v>
      </c>
      <c r="AC45" s="41">
        <v>1.9980100000000001</v>
      </c>
      <c r="AD45" s="41">
        <v>1.9966900000000001</v>
      </c>
      <c r="AE45" s="41">
        <v>1.99298</v>
      </c>
      <c r="AF45" s="41">
        <v>1.9989399999999999</v>
      </c>
      <c r="AG45" s="76" t="s">
        <v>784</v>
      </c>
      <c r="AH45" s="41" t="s">
        <v>173</v>
      </c>
      <c r="AI45" s="41">
        <v>36.892381999999998</v>
      </c>
      <c r="AJ45" s="41">
        <v>33.545952999999997</v>
      </c>
      <c r="AK45" s="41">
        <v>5957963</v>
      </c>
      <c r="AL45" s="41">
        <v>1.6166666746139999</v>
      </c>
      <c r="AM45" s="41">
        <v>63.107618000000002</v>
      </c>
      <c r="AN45" s="41">
        <v>57.383260999999997</v>
      </c>
      <c r="AO45" s="41">
        <v>273852187</v>
      </c>
      <c r="AP45" s="41">
        <v>4.0149999999999997</v>
      </c>
      <c r="AR45" s="113">
        <f t="shared" si="0"/>
        <v>56.856880744838776</v>
      </c>
      <c r="AS45" s="113">
        <f t="shared" si="1"/>
        <v>32.241159763181535</v>
      </c>
      <c r="AU45" s="106">
        <f t="shared" si="28"/>
        <v>46254</v>
      </c>
      <c r="AV45" s="107">
        <f t="shared" si="29"/>
        <v>0.80121527777777779</v>
      </c>
      <c r="AW45" s="106">
        <f t="shared" si="30"/>
        <v>46254</v>
      </c>
      <c r="AX45" s="107">
        <f t="shared" si="31"/>
        <v>0.87250000000000005</v>
      </c>
      <c r="AY45" s="142">
        <v>46254</v>
      </c>
      <c r="AZ45" s="116">
        <v>0.80122685185185183</v>
      </c>
      <c r="BA45" s="41" t="s">
        <v>785</v>
      </c>
      <c r="BB45" s="41">
        <v>0</v>
      </c>
      <c r="BC45" s="41">
        <v>0</v>
      </c>
      <c r="BD45" s="41">
        <v>4.4956000000000003E-2</v>
      </c>
      <c r="BE45" s="41">
        <v>1.6066180000000001</v>
      </c>
      <c r="BF45" s="41">
        <v>0.29488399999999998</v>
      </c>
      <c r="BG45" s="41">
        <v>12.839869999999999</v>
      </c>
      <c r="BH45" s="41">
        <v>7.5467190000000004</v>
      </c>
      <c r="BI45" s="41">
        <v>0</v>
      </c>
      <c r="BJ45" s="41">
        <v>17.808292000000002</v>
      </c>
      <c r="BK45" s="41">
        <v>8.0265199999999997</v>
      </c>
      <c r="BL45" s="41">
        <v>3.6890770000000002</v>
      </c>
      <c r="BM45" s="41">
        <v>0.72147399999999995</v>
      </c>
      <c r="BN45" s="41">
        <v>1.6805E-2</v>
      </c>
      <c r="BO45" s="41">
        <v>0.30641800000000002</v>
      </c>
      <c r="BP45" s="41">
        <v>0.66704300000000005</v>
      </c>
      <c r="BQ45" s="41">
        <v>0</v>
      </c>
      <c r="BR45" s="41">
        <v>16.062998</v>
      </c>
      <c r="BS45" s="41">
        <v>13.765981999999999</v>
      </c>
      <c r="BT45" s="41">
        <v>0.99798399999999998</v>
      </c>
      <c r="BU45" s="41">
        <v>0.96756399999999998</v>
      </c>
      <c r="BV45" s="41">
        <v>0</v>
      </c>
      <c r="BW45" s="41">
        <v>13.429537</v>
      </c>
      <c r="BX45" s="41">
        <v>0.395536</v>
      </c>
      <c r="BY45" s="41">
        <v>0</v>
      </c>
      <c r="BZ45" s="41">
        <v>0.17282600000000001</v>
      </c>
      <c r="CA45" s="41">
        <v>1.6847999999999998E-2</v>
      </c>
      <c r="CB45" s="41">
        <v>0</v>
      </c>
      <c r="CC45" s="41">
        <v>0</v>
      </c>
      <c r="CD45" s="41">
        <v>0</v>
      </c>
      <c r="CE45" s="41">
        <v>0</v>
      </c>
      <c r="CF45" s="41">
        <v>0</v>
      </c>
      <c r="CG45" s="41">
        <v>2.1070999999999999E-2</v>
      </c>
      <c r="CH45" s="41">
        <v>4.3888999999999997E-2</v>
      </c>
      <c r="CI45" s="41">
        <v>0.15606500000000001</v>
      </c>
      <c r="CJ45" s="41">
        <v>0.20180400000000001</v>
      </c>
      <c r="CK45" s="41">
        <v>0.199238</v>
      </c>
      <c r="CL45" s="41">
        <v>83.863517999999999</v>
      </c>
      <c r="CM45" s="41">
        <v>16.171396000000001</v>
      </c>
      <c r="CN45" s="41">
        <v>41.732140000000001</v>
      </c>
      <c r="CO45" s="41">
        <v>40.374904999999998</v>
      </c>
      <c r="CP45" s="41">
        <v>89.029494999999997</v>
      </c>
      <c r="CQ45" s="41">
        <v>0.66594200000000003</v>
      </c>
    </row>
    <row r="46" spans="1:95">
      <c r="A46" s="76" t="s">
        <v>786</v>
      </c>
      <c r="B46" s="41">
        <v>5</v>
      </c>
      <c r="C46" s="41">
        <v>214.9</v>
      </c>
      <c r="D46" s="41">
        <v>215</v>
      </c>
      <c r="E46" s="41">
        <v>25.2286</v>
      </c>
      <c r="F46" s="41">
        <v>24.995699999999999</v>
      </c>
      <c r="G46" s="41">
        <v>1434.6</v>
      </c>
      <c r="H46" s="41">
        <v>1434.47</v>
      </c>
      <c r="I46" s="41">
        <v>1434.62</v>
      </c>
      <c r="J46" s="41">
        <v>1433.16</v>
      </c>
      <c r="K46" s="41">
        <v>1434.06</v>
      </c>
      <c r="L46" s="41">
        <v>1434.19</v>
      </c>
      <c r="M46" s="41">
        <v>1434.2</v>
      </c>
      <c r="N46" s="41">
        <v>1434.38</v>
      </c>
      <c r="O46" s="41">
        <v>0.915933</v>
      </c>
      <c r="P46" s="41">
        <v>2499.5300000000002</v>
      </c>
      <c r="Q46" s="41">
        <v>2500.8000000000002</v>
      </c>
      <c r="R46" s="41">
        <v>2498.9699999999998</v>
      </c>
      <c r="S46" s="41">
        <v>2500.02</v>
      </c>
      <c r="T46" s="41">
        <v>2499.7800000000002</v>
      </c>
      <c r="U46" s="41">
        <v>2499.8200000000002</v>
      </c>
      <c r="V46" s="41">
        <v>2500.0500000000002</v>
      </c>
      <c r="W46" s="41">
        <v>2500.52</v>
      </c>
      <c r="X46" s="41">
        <v>209.9</v>
      </c>
      <c r="Y46" s="41">
        <v>2.0004200000000001</v>
      </c>
      <c r="Z46" s="41">
        <v>1.9981</v>
      </c>
      <c r="AA46" s="41">
        <v>2.0007299999999999</v>
      </c>
      <c r="AB46" s="41">
        <v>1.98909</v>
      </c>
      <c r="AC46" s="41">
        <v>1.9958499999999999</v>
      </c>
      <c r="AD46" s="41">
        <v>1.9975799999999999</v>
      </c>
      <c r="AE46" s="41">
        <v>1.9987900000000001</v>
      </c>
      <c r="AF46" s="41">
        <v>2.0004499999999998</v>
      </c>
      <c r="AG46" s="76" t="s">
        <v>787</v>
      </c>
      <c r="AH46" s="41" t="s">
        <v>173</v>
      </c>
      <c r="AI46" s="41">
        <v>36.699914</v>
      </c>
      <c r="AJ46" s="41">
        <v>33.093722</v>
      </c>
      <c r="AK46" s="41">
        <v>5877644</v>
      </c>
      <c r="AL46" s="41">
        <v>1.6166666746139999</v>
      </c>
      <c r="AM46" s="41">
        <v>63.300086</v>
      </c>
      <c r="AN46" s="41">
        <v>57.080119000000003</v>
      </c>
      <c r="AO46" s="41">
        <v>272405492</v>
      </c>
      <c r="AP46" s="41">
        <v>4.0170000000000003</v>
      </c>
      <c r="AR46" s="113">
        <f t="shared" si="0"/>
        <v>56.550122866846436</v>
      </c>
      <c r="AS46" s="113">
        <f t="shared" si="1"/>
        <v>31.792973567175757</v>
      </c>
      <c r="AU46" s="106">
        <f t="shared" si="28"/>
        <v>46254</v>
      </c>
      <c r="AV46" s="107">
        <f t="shared" si="29"/>
        <v>0.88733796296296297</v>
      </c>
      <c r="AW46" s="106">
        <f t="shared" si="30"/>
        <v>46254</v>
      </c>
      <c r="AX46" s="107">
        <f t="shared" si="31"/>
        <v>0.95861111111111108</v>
      </c>
      <c r="AY46" s="142">
        <v>46254</v>
      </c>
      <c r="AZ46" s="116">
        <v>0.88737268518518519</v>
      </c>
      <c r="BA46" s="41" t="s">
        <v>788</v>
      </c>
      <c r="BB46" s="41">
        <v>0</v>
      </c>
      <c r="BC46" s="41">
        <v>0</v>
      </c>
      <c r="BD46" s="41">
        <v>0.33854299999999998</v>
      </c>
      <c r="BE46" s="41">
        <v>1.8248770000000001</v>
      </c>
      <c r="BF46" s="41">
        <v>1.385491</v>
      </c>
      <c r="BG46" s="41">
        <v>12.783758000000001</v>
      </c>
      <c r="BH46" s="41">
        <v>8.0975579999999994</v>
      </c>
      <c r="BI46" s="41">
        <v>0</v>
      </c>
      <c r="BJ46" s="41">
        <v>17.328731999999999</v>
      </c>
      <c r="BK46" s="41">
        <v>7.5681200000000004</v>
      </c>
      <c r="BL46" s="41">
        <v>4.0542600000000002</v>
      </c>
      <c r="BM46" s="41">
        <v>1.1794370000000001</v>
      </c>
      <c r="BN46" s="41">
        <v>0.11806</v>
      </c>
      <c r="BO46" s="41">
        <v>0.325235</v>
      </c>
      <c r="BP46" s="41">
        <v>0.66961599999999999</v>
      </c>
      <c r="BQ46" s="41">
        <v>0</v>
      </c>
      <c r="BR46" s="41">
        <v>14.849214</v>
      </c>
      <c r="BS46" s="41">
        <v>12.662585999999999</v>
      </c>
      <c r="BT46" s="41">
        <v>2.7735409999999998</v>
      </c>
      <c r="BU46" s="41">
        <v>1.0740730000000001</v>
      </c>
      <c r="BV46" s="41">
        <v>0</v>
      </c>
      <c r="BW46" s="41">
        <v>11.660026</v>
      </c>
      <c r="BX46" s="41">
        <v>0.753085</v>
      </c>
      <c r="BY46" s="41">
        <v>0</v>
      </c>
      <c r="BZ46" s="41">
        <v>0.13645199999999999</v>
      </c>
      <c r="CA46" s="41">
        <v>2.2346000000000001E-2</v>
      </c>
      <c r="CB46" s="41">
        <v>0</v>
      </c>
      <c r="CC46" s="41">
        <v>0</v>
      </c>
      <c r="CD46" s="41">
        <v>0</v>
      </c>
      <c r="CE46" s="41">
        <v>0</v>
      </c>
      <c r="CF46" s="41">
        <v>1.387E-2</v>
      </c>
      <c r="CG46" s="41">
        <v>4.5209999999999998E-3</v>
      </c>
      <c r="CH46" s="41">
        <v>0</v>
      </c>
      <c r="CI46" s="41">
        <v>8.1046999999999994E-2</v>
      </c>
      <c r="CJ46" s="41">
        <v>8.5432999999999995E-2</v>
      </c>
      <c r="CK46" s="41">
        <v>0.20910500000000001</v>
      </c>
      <c r="CL46" s="41">
        <v>83.764640999999997</v>
      </c>
      <c r="CM46" s="41">
        <v>16.229561</v>
      </c>
      <c r="CN46" s="41">
        <v>46.223788999999996</v>
      </c>
      <c r="CO46" s="41">
        <v>44.234703000000003</v>
      </c>
      <c r="CP46" s="41">
        <v>87.644203000000005</v>
      </c>
      <c r="CQ46" s="41">
        <v>0.656331</v>
      </c>
    </row>
    <row r="47" spans="1:95">
      <c r="A47" s="76" t="s">
        <v>789</v>
      </c>
      <c r="B47" s="41">
        <v>6</v>
      </c>
      <c r="C47" s="41">
        <v>214.9</v>
      </c>
      <c r="D47" s="41">
        <v>215</v>
      </c>
      <c r="E47" s="41">
        <v>25.332799999999999</v>
      </c>
      <c r="F47" s="41">
        <v>25.005800000000001</v>
      </c>
      <c r="G47" s="41">
        <v>1454.77</v>
      </c>
      <c r="H47" s="41">
        <v>1454.37</v>
      </c>
      <c r="I47" s="41">
        <v>1453.54</v>
      </c>
      <c r="J47" s="41">
        <v>1453.7</v>
      </c>
      <c r="K47" s="41">
        <v>1453.67</v>
      </c>
      <c r="L47" s="41">
        <v>1453.71</v>
      </c>
      <c r="M47" s="41">
        <v>1453.67</v>
      </c>
      <c r="N47" s="41">
        <v>1454.53</v>
      </c>
      <c r="O47" s="41">
        <v>0.91816600000000004</v>
      </c>
      <c r="P47" s="41">
        <v>2501.0700000000002</v>
      </c>
      <c r="Q47" s="41">
        <v>2500.35</v>
      </c>
      <c r="R47" s="41">
        <v>2500.27</v>
      </c>
      <c r="S47" s="41">
        <v>2499.3000000000002</v>
      </c>
      <c r="T47" s="41">
        <v>2500.1999999999998</v>
      </c>
      <c r="U47" s="41">
        <v>2500.08</v>
      </c>
      <c r="V47" s="41">
        <v>2499.75</v>
      </c>
      <c r="W47" s="41">
        <v>2498.94</v>
      </c>
      <c r="X47" s="41">
        <v>209.9</v>
      </c>
      <c r="Y47" s="41">
        <v>1.9975400000000001</v>
      </c>
      <c r="Z47" s="41">
        <v>1.99376</v>
      </c>
      <c r="AA47" s="41">
        <v>1.9967200000000001</v>
      </c>
      <c r="AB47" s="41">
        <v>2.0270199999999998</v>
      </c>
      <c r="AC47" s="41">
        <v>1.9980800000000001</v>
      </c>
      <c r="AD47" s="41">
        <v>1.9981599999999999</v>
      </c>
      <c r="AE47" s="41">
        <v>1.9996499999999999</v>
      </c>
      <c r="AF47" s="41">
        <v>1.99925</v>
      </c>
      <c r="AG47" s="76" t="s">
        <v>790</v>
      </c>
      <c r="AH47" s="41" t="s">
        <v>173</v>
      </c>
      <c r="AI47" s="41">
        <v>35.096843</v>
      </c>
      <c r="AJ47" s="41">
        <v>31.397466999999999</v>
      </c>
      <c r="AK47" s="41">
        <v>5576379</v>
      </c>
      <c r="AL47" s="41">
        <v>1.6150000095367001</v>
      </c>
      <c r="AM47" s="41">
        <v>64.903156999999993</v>
      </c>
      <c r="AN47" s="41">
        <v>58.062052000000001</v>
      </c>
      <c r="AO47" s="41">
        <v>277091604</v>
      </c>
      <c r="AP47" s="41">
        <v>4.0179999999999998</v>
      </c>
      <c r="AR47" s="113">
        <f t="shared" si="0"/>
        <v>57.543768226203071</v>
      </c>
      <c r="AS47" s="113">
        <f t="shared" si="1"/>
        <v>30.111891701867652</v>
      </c>
      <c r="AU47" s="106">
        <f t="shared" si="28"/>
        <v>46254</v>
      </c>
      <c r="AV47" s="107">
        <f t="shared" si="29"/>
        <v>0.97344907407407411</v>
      </c>
      <c r="AW47" s="106">
        <f t="shared" si="30"/>
        <v>46255</v>
      </c>
      <c r="AX47" s="107">
        <f t="shared" si="31"/>
        <v>4.4756944444444446E-2</v>
      </c>
      <c r="AY47" s="142">
        <v>46254</v>
      </c>
      <c r="AZ47" s="116">
        <v>0.97348379629629633</v>
      </c>
      <c r="BA47" s="41" t="s">
        <v>791</v>
      </c>
      <c r="BB47" s="41">
        <v>0</v>
      </c>
      <c r="BC47" s="41">
        <v>0</v>
      </c>
      <c r="BD47" s="41">
        <v>2.8740269999999999</v>
      </c>
      <c r="BE47" s="41">
        <v>2.8730220000000002</v>
      </c>
      <c r="BF47" s="41">
        <v>6.6302430000000001</v>
      </c>
      <c r="BG47" s="41">
        <v>12.649039</v>
      </c>
      <c r="BH47" s="41">
        <v>9.4313090000000006</v>
      </c>
      <c r="BI47" s="41">
        <v>0</v>
      </c>
      <c r="BJ47" s="41">
        <v>15.875432</v>
      </c>
      <c r="BK47" s="41">
        <v>8.0058089999999993</v>
      </c>
      <c r="BL47" s="41">
        <v>4.5428709999999999</v>
      </c>
      <c r="BM47" s="41">
        <v>1.732472</v>
      </c>
      <c r="BN47" s="41">
        <v>0.13725599999999999</v>
      </c>
      <c r="BO47" s="41">
        <v>0.37529200000000001</v>
      </c>
      <c r="BP47" s="41">
        <v>0.64320500000000003</v>
      </c>
      <c r="BQ47" s="41">
        <v>0</v>
      </c>
      <c r="BR47" s="41">
        <v>10.899596000000001</v>
      </c>
      <c r="BS47" s="41">
        <v>12.318794</v>
      </c>
      <c r="BT47" s="41">
        <v>3.399095</v>
      </c>
      <c r="BU47" s="41">
        <v>1.0812870000000001</v>
      </c>
      <c r="BV47" s="41">
        <v>0</v>
      </c>
      <c r="BW47" s="41">
        <v>5.5414019999999997</v>
      </c>
      <c r="BX47" s="41">
        <v>0.75966699999999998</v>
      </c>
      <c r="BY47" s="41">
        <v>0</v>
      </c>
      <c r="BZ47" s="41">
        <v>9.1963000000000003E-2</v>
      </c>
      <c r="CA47" s="41">
        <v>1.609E-3</v>
      </c>
      <c r="CB47" s="41">
        <v>0</v>
      </c>
      <c r="CC47" s="41">
        <v>0</v>
      </c>
      <c r="CD47" s="41">
        <v>0</v>
      </c>
      <c r="CE47" s="41">
        <v>0</v>
      </c>
      <c r="CF47" s="41">
        <v>1.2671999999999999E-2</v>
      </c>
      <c r="CG47" s="41">
        <v>0</v>
      </c>
      <c r="CH47" s="41">
        <v>0</v>
      </c>
      <c r="CI47" s="41">
        <v>0</v>
      </c>
      <c r="CJ47" s="41">
        <v>6.5817000000000001E-2</v>
      </c>
      <c r="CK47" s="41">
        <v>5.8087E-2</v>
      </c>
      <c r="CL47" s="41">
        <v>83.516930000000002</v>
      </c>
      <c r="CM47" s="41">
        <v>16.426033</v>
      </c>
      <c r="CN47" s="41">
        <v>56.926459999999999</v>
      </c>
      <c r="CO47" s="41">
        <v>55.221187999999998</v>
      </c>
      <c r="CP47" s="41">
        <v>81.175690000000003</v>
      </c>
      <c r="CQ47" s="41">
        <v>0.60829299999999997</v>
      </c>
    </row>
    <row r="48" spans="1:95">
      <c r="A48" s="76" t="s">
        <v>792</v>
      </c>
      <c r="B48" s="144">
        <v>7</v>
      </c>
      <c r="C48" s="41">
        <v>215</v>
      </c>
      <c r="D48" s="41">
        <v>215</v>
      </c>
      <c r="E48" s="41">
        <v>25.406500000000001</v>
      </c>
      <c r="F48" s="41">
        <v>25.010100000000001</v>
      </c>
      <c r="G48" s="41">
        <v>1438.64</v>
      </c>
      <c r="H48" s="41">
        <v>1438.42</v>
      </c>
      <c r="I48" s="41">
        <v>1438.88</v>
      </c>
      <c r="J48" s="41">
        <v>1440.77</v>
      </c>
      <c r="K48" s="41">
        <v>1438.4</v>
      </c>
      <c r="L48" s="41">
        <v>1439.12</v>
      </c>
      <c r="M48" s="41">
        <v>1438.71</v>
      </c>
      <c r="N48" s="41">
        <v>1438.07</v>
      </c>
      <c r="O48" s="41">
        <v>0.98558299999999999</v>
      </c>
      <c r="P48" s="41">
        <v>2498.5700000000002</v>
      </c>
      <c r="Q48" s="41">
        <v>2500.06</v>
      </c>
      <c r="R48" s="41">
        <v>2499.9299999999998</v>
      </c>
      <c r="S48" s="41">
        <v>2500.11</v>
      </c>
      <c r="T48" s="41">
        <v>2499.52</v>
      </c>
      <c r="U48" s="41">
        <v>2500.5100000000002</v>
      </c>
      <c r="V48" s="41">
        <v>2499.79</v>
      </c>
      <c r="W48" s="41">
        <v>2500.2199999999998</v>
      </c>
      <c r="X48" s="41">
        <v>209.9</v>
      </c>
      <c r="Y48" s="41">
        <v>1.99532</v>
      </c>
      <c r="Z48" s="41">
        <v>1.9998899999999999</v>
      </c>
      <c r="AA48" s="41">
        <v>1.9975099999999999</v>
      </c>
      <c r="AB48" s="41">
        <v>2.0356700000000001</v>
      </c>
      <c r="AC48" s="41">
        <v>1.99718</v>
      </c>
      <c r="AD48" s="41">
        <v>1.9958400000000001</v>
      </c>
      <c r="AE48" s="41">
        <v>2.0009399999999999</v>
      </c>
      <c r="AF48" s="41">
        <v>1.9961899999999999</v>
      </c>
      <c r="AG48" s="76" t="s">
        <v>793</v>
      </c>
      <c r="AH48" s="41" t="s">
        <v>173</v>
      </c>
      <c r="AI48" s="41">
        <v>34.408921999999997</v>
      </c>
      <c r="AJ48" s="41">
        <v>30.122617999999999</v>
      </c>
      <c r="AK48" s="41">
        <v>5349958</v>
      </c>
      <c r="AL48" s="41">
        <v>1.6150000095367001</v>
      </c>
      <c r="AM48" s="41">
        <v>65.591077999999996</v>
      </c>
      <c r="AN48" s="41">
        <v>57.420426999999997</v>
      </c>
      <c r="AO48" s="41">
        <v>274029553</v>
      </c>
      <c r="AP48" s="41">
        <v>4.0179999999999998</v>
      </c>
      <c r="AR48" s="113">
        <f t="shared" si="0"/>
        <v>56.894489513644913</v>
      </c>
      <c r="AS48" s="113">
        <f t="shared" si="1"/>
        <v>28.848445111573639</v>
      </c>
      <c r="AU48" s="106">
        <f t="shared" si="28"/>
        <v>46255</v>
      </c>
      <c r="AV48" s="107">
        <f t="shared" si="29"/>
        <v>5.9594907407407409E-2</v>
      </c>
      <c r="AW48" s="106">
        <f t="shared" si="30"/>
        <v>46255</v>
      </c>
      <c r="AX48" s="107">
        <f t="shared" si="31"/>
        <v>0.13087962962962962</v>
      </c>
      <c r="AY48" s="142">
        <v>46255</v>
      </c>
      <c r="AZ48" s="116">
        <v>5.9618055555555556E-2</v>
      </c>
      <c r="BA48" s="41" t="s">
        <v>794</v>
      </c>
      <c r="BB48" s="41">
        <v>0</v>
      </c>
      <c r="BC48" s="41">
        <v>0</v>
      </c>
      <c r="BD48" s="41">
        <v>9.3341429999999992</v>
      </c>
      <c r="BE48" s="41">
        <v>3.684018</v>
      </c>
      <c r="BF48" s="41">
        <v>17.859715000000001</v>
      </c>
      <c r="BG48" s="41">
        <v>12.112004000000001</v>
      </c>
      <c r="BH48" s="41">
        <v>11.308165000000001</v>
      </c>
      <c r="BI48" s="41">
        <v>0</v>
      </c>
      <c r="BJ48" s="41">
        <v>12.194438999999999</v>
      </c>
      <c r="BK48" s="41">
        <v>8.9938470000000006</v>
      </c>
      <c r="BL48" s="41">
        <v>5.5194570000000001</v>
      </c>
      <c r="BM48" s="41">
        <v>2.8231130000000002</v>
      </c>
      <c r="BN48" s="41">
        <v>0.59941699999999998</v>
      </c>
      <c r="BO48" s="41">
        <v>0.28220600000000001</v>
      </c>
      <c r="BP48" s="41">
        <v>0.58424600000000004</v>
      </c>
      <c r="BQ48" s="41">
        <v>0</v>
      </c>
      <c r="BR48" s="41">
        <v>3.9841250000000001</v>
      </c>
      <c r="BS48" s="41">
        <v>6.0232140000000003</v>
      </c>
      <c r="BT48" s="41">
        <v>2.5740940000000001</v>
      </c>
      <c r="BU48" s="41">
        <v>0.94340900000000005</v>
      </c>
      <c r="BV48" s="41">
        <v>0</v>
      </c>
      <c r="BW48" s="41">
        <v>0.351794</v>
      </c>
      <c r="BX48" s="41">
        <v>0.57667599999999997</v>
      </c>
      <c r="BY48" s="41">
        <v>0</v>
      </c>
      <c r="BZ48" s="41">
        <v>0.111499</v>
      </c>
      <c r="CA48" s="41">
        <v>2.0929999999999998E-3</v>
      </c>
      <c r="CB48" s="41">
        <v>0</v>
      </c>
      <c r="CC48" s="41">
        <v>0</v>
      </c>
      <c r="CD48" s="41">
        <v>0</v>
      </c>
      <c r="CE48" s="41">
        <v>0</v>
      </c>
      <c r="CF48" s="41">
        <v>1.4618000000000001E-2</v>
      </c>
      <c r="CG48" s="41">
        <v>0</v>
      </c>
      <c r="CH48" s="41">
        <v>0</v>
      </c>
      <c r="CI48" s="41">
        <v>0</v>
      </c>
      <c r="CJ48" s="41">
        <v>1.5344E-2</v>
      </c>
      <c r="CK48" s="41">
        <v>0.108372</v>
      </c>
      <c r="CL48" s="41">
        <v>83.195083999999994</v>
      </c>
      <c r="CM48" s="41">
        <v>16.745089</v>
      </c>
      <c r="CN48" s="41">
        <v>74.884720000000002</v>
      </c>
      <c r="CO48" s="41">
        <v>75.571297000000001</v>
      </c>
      <c r="CP48" s="41">
        <v>70.819587999999996</v>
      </c>
      <c r="CQ48" s="41">
        <v>0.561971</v>
      </c>
    </row>
    <row r="49" spans="1:95">
      <c r="A49" s="76" t="s">
        <v>795</v>
      </c>
      <c r="B49" s="144">
        <v>8</v>
      </c>
      <c r="C49" s="41">
        <v>215</v>
      </c>
      <c r="D49" s="41">
        <v>215</v>
      </c>
      <c r="E49" s="41">
        <v>25.4268</v>
      </c>
      <c r="F49" s="41">
        <v>24.9971</v>
      </c>
      <c r="G49" s="41">
        <v>1445.46</v>
      </c>
      <c r="H49" s="41">
        <v>1445.68</v>
      </c>
      <c r="I49" s="41">
        <v>1445.05</v>
      </c>
      <c r="J49" s="41">
        <v>1445.24</v>
      </c>
      <c r="K49" s="41">
        <v>1445.75</v>
      </c>
      <c r="L49" s="41">
        <v>1444.51</v>
      </c>
      <c r="M49" s="41">
        <v>1445.27</v>
      </c>
      <c r="N49" s="41">
        <v>1445.95</v>
      </c>
      <c r="O49" s="41">
        <v>0.88315999999999995</v>
      </c>
      <c r="P49" s="41">
        <v>2500.5500000000002</v>
      </c>
      <c r="Q49" s="41">
        <v>2499.29</v>
      </c>
      <c r="R49" s="41">
        <v>2499.71</v>
      </c>
      <c r="S49" s="41">
        <v>2500.1799999999998</v>
      </c>
      <c r="T49" s="41">
        <v>2499.85</v>
      </c>
      <c r="U49" s="41">
        <v>2499.59</v>
      </c>
      <c r="V49" s="41">
        <v>2499.59</v>
      </c>
      <c r="W49" s="41">
        <v>2500.7600000000002</v>
      </c>
      <c r="X49" s="41">
        <v>209.9</v>
      </c>
      <c r="Y49" s="41">
        <v>1.9998400000000001</v>
      </c>
      <c r="Z49" s="41">
        <v>2.0026799999999998</v>
      </c>
      <c r="AA49" s="41">
        <v>2.0003500000000001</v>
      </c>
      <c r="AB49" s="41">
        <v>2.0097800000000001</v>
      </c>
      <c r="AC49" s="41">
        <v>2.0011700000000001</v>
      </c>
      <c r="AD49" s="41">
        <v>1.9981199999999999</v>
      </c>
      <c r="AE49" s="41">
        <v>2.0059999999999998</v>
      </c>
      <c r="AF49" s="41">
        <v>2.0007700000000002</v>
      </c>
      <c r="AG49" s="76" t="s">
        <v>796</v>
      </c>
      <c r="AH49" s="41" t="s">
        <v>173</v>
      </c>
      <c r="AI49" s="41">
        <v>36.119833</v>
      </c>
      <c r="AJ49" s="41">
        <v>32.671731999999999</v>
      </c>
      <c r="AK49" s="41">
        <v>5802696</v>
      </c>
      <c r="AL49" s="41">
        <v>1.6150000095367001</v>
      </c>
      <c r="AM49" s="41">
        <v>63.880167</v>
      </c>
      <c r="AN49" s="41">
        <v>57.781986000000003</v>
      </c>
      <c r="AO49" s="41">
        <v>275755034</v>
      </c>
      <c r="AP49" s="41">
        <v>4.0199999999999996</v>
      </c>
      <c r="AR49" s="113">
        <f t="shared" si="0"/>
        <v>57.260361304226961</v>
      </c>
      <c r="AS49" s="113">
        <f t="shared" si="1"/>
        <v>31.374757964164747</v>
      </c>
      <c r="AU49" s="106">
        <f t="shared" si="28"/>
        <v>46255</v>
      </c>
      <c r="AV49" s="107">
        <f t="shared" si="29"/>
        <v>0.14572916666666666</v>
      </c>
      <c r="AW49" s="106">
        <f t="shared" si="30"/>
        <v>46255</v>
      </c>
      <c r="AX49" s="107">
        <f t="shared" si="31"/>
        <v>0.2170138888888889</v>
      </c>
      <c r="AY49" s="142">
        <v>46255</v>
      </c>
      <c r="AZ49" s="116">
        <v>0.14574074074074075</v>
      </c>
      <c r="BA49" s="41" t="s">
        <v>797</v>
      </c>
      <c r="BB49" s="41">
        <v>0</v>
      </c>
      <c r="BC49" s="41">
        <v>0</v>
      </c>
      <c r="BD49" s="41">
        <v>4.8023999999999997E-2</v>
      </c>
      <c r="BE49" s="41">
        <v>1.6033790000000001</v>
      </c>
      <c r="BF49" s="41">
        <v>0.299257</v>
      </c>
      <c r="BG49" s="41">
        <v>12.827673000000001</v>
      </c>
      <c r="BH49" s="41">
        <v>7.5398779999999999</v>
      </c>
      <c r="BI49" s="41">
        <v>0</v>
      </c>
      <c r="BJ49" s="41">
        <v>17.806315999999999</v>
      </c>
      <c r="BK49" s="41">
        <v>8.0237870000000004</v>
      </c>
      <c r="BL49" s="41">
        <v>3.688815</v>
      </c>
      <c r="BM49" s="41">
        <v>0.72110300000000005</v>
      </c>
      <c r="BN49" s="41">
        <v>1.6833000000000001E-2</v>
      </c>
      <c r="BO49" s="41">
        <v>0.30577199999999999</v>
      </c>
      <c r="BP49" s="41">
        <v>0.66789699999999996</v>
      </c>
      <c r="BQ49" s="41">
        <v>0</v>
      </c>
      <c r="BR49" s="41">
        <v>16.069962</v>
      </c>
      <c r="BS49" s="41">
        <v>13.769354</v>
      </c>
      <c r="BT49" s="41">
        <v>0.99942500000000001</v>
      </c>
      <c r="BU49" s="41">
        <v>0.96420099999999997</v>
      </c>
      <c r="BV49" s="41">
        <v>0</v>
      </c>
      <c r="BW49" s="41">
        <v>13.436624</v>
      </c>
      <c r="BX49" s="41">
        <v>0.39619500000000002</v>
      </c>
      <c r="BY49" s="41">
        <v>0</v>
      </c>
      <c r="BZ49" s="41">
        <v>0.17275199999999999</v>
      </c>
      <c r="CA49" s="41">
        <v>1.6451E-2</v>
      </c>
      <c r="CB49" s="41">
        <v>0</v>
      </c>
      <c r="CC49" s="41">
        <v>0</v>
      </c>
      <c r="CD49" s="41">
        <v>0</v>
      </c>
      <c r="CE49" s="41">
        <v>0</v>
      </c>
      <c r="CF49" s="41">
        <v>0</v>
      </c>
      <c r="CG49" s="41">
        <v>2.1165E-2</v>
      </c>
      <c r="CH49" s="41">
        <v>4.3999999999999997E-2</v>
      </c>
      <c r="CI49" s="41">
        <v>0.15683900000000001</v>
      </c>
      <c r="CJ49" s="41">
        <v>0.20419999999999999</v>
      </c>
      <c r="CK49" s="41">
        <v>0.200095</v>
      </c>
      <c r="CL49" s="41">
        <v>83.864990000000006</v>
      </c>
      <c r="CM49" s="41">
        <v>16.170687000000001</v>
      </c>
      <c r="CN49" s="41">
        <v>41.719681000000001</v>
      </c>
      <c r="CO49" s="41">
        <v>40.365493999999998</v>
      </c>
      <c r="CP49" s="41">
        <v>89.034087999999997</v>
      </c>
      <c r="CQ49" s="41">
        <v>0.66588999999999998</v>
      </c>
    </row>
    <row r="50" spans="1:95">
      <c r="A50" s="76" t="s">
        <v>798</v>
      </c>
      <c r="B50" s="144">
        <v>1</v>
      </c>
      <c r="C50" s="41">
        <v>215</v>
      </c>
      <c r="D50" s="41">
        <v>215</v>
      </c>
      <c r="E50" s="41">
        <v>25.240200000000002</v>
      </c>
      <c r="F50" s="41">
        <v>25.0029</v>
      </c>
      <c r="G50" s="41">
        <v>1418.9</v>
      </c>
      <c r="H50" s="41">
        <v>1419.26</v>
      </c>
      <c r="I50" s="41">
        <v>1419.62</v>
      </c>
      <c r="J50" s="41">
        <v>1420.49</v>
      </c>
      <c r="K50" s="41">
        <v>1419.18</v>
      </c>
      <c r="L50" s="41">
        <v>1419.52</v>
      </c>
      <c r="M50" s="41">
        <v>1418.93</v>
      </c>
      <c r="N50" s="41">
        <v>1419.68</v>
      </c>
      <c r="O50" s="41">
        <v>1.02606</v>
      </c>
      <c r="P50" s="41">
        <v>2500.5100000000002</v>
      </c>
      <c r="Q50" s="41">
        <v>2499.4</v>
      </c>
      <c r="R50" s="41">
        <v>2499.5300000000002</v>
      </c>
      <c r="S50" s="41">
        <v>2501</v>
      </c>
      <c r="T50" s="41">
        <v>2499.38</v>
      </c>
      <c r="U50" s="41">
        <v>2499.44</v>
      </c>
      <c r="V50" s="41">
        <v>2500.7199999999998</v>
      </c>
      <c r="W50" s="41">
        <v>2500.66</v>
      </c>
      <c r="X50" s="41">
        <v>209.9</v>
      </c>
      <c r="Y50" s="41">
        <v>2.0020199999999999</v>
      </c>
      <c r="Z50" s="41">
        <v>1.99814</v>
      </c>
      <c r="AA50" s="41">
        <v>1.99987</v>
      </c>
      <c r="AB50" s="41">
        <v>2.0262699999999998</v>
      </c>
      <c r="AC50" s="41">
        <v>2.0004400000000002</v>
      </c>
      <c r="AD50" s="41">
        <v>2.0000599999999999</v>
      </c>
      <c r="AE50" s="41">
        <v>2.0026899999999999</v>
      </c>
      <c r="AF50" s="41">
        <v>2.0005600000000001</v>
      </c>
      <c r="AG50" s="76" t="s">
        <v>799</v>
      </c>
      <c r="AH50" s="41" t="s">
        <v>173</v>
      </c>
      <c r="AI50" s="41">
        <v>37.265298999999999</v>
      </c>
      <c r="AJ50" s="41">
        <v>34.015543000000001</v>
      </c>
      <c r="AK50" s="41">
        <v>6041365</v>
      </c>
      <c r="AL50" s="41">
        <v>1.6166666746139999</v>
      </c>
      <c r="AM50" s="41">
        <v>62.734701000000001</v>
      </c>
      <c r="AN50" s="41">
        <v>57.263862000000003</v>
      </c>
      <c r="AO50" s="41">
        <v>273282375</v>
      </c>
      <c r="AP50" s="41">
        <v>4.0229999999999997</v>
      </c>
      <c r="AR50" s="113">
        <f t="shared" si="0"/>
        <v>56.736057544389084</v>
      </c>
      <c r="AS50" s="113">
        <f t="shared" si="1"/>
        <v>32.70654933624985</v>
      </c>
      <c r="AU50" s="106">
        <f t="shared" si="28"/>
        <v>46255</v>
      </c>
      <c r="AV50" s="107">
        <f t="shared" si="29"/>
        <v>0.23184027777777777</v>
      </c>
      <c r="AW50" s="106">
        <f t="shared" si="30"/>
        <v>46255</v>
      </c>
      <c r="AX50" s="107">
        <f t="shared" si="31"/>
        <v>0.30310185185185184</v>
      </c>
      <c r="AY50" s="142">
        <v>46255</v>
      </c>
      <c r="AZ50" s="116">
        <v>0.231875</v>
      </c>
      <c r="BA50" s="41" t="s">
        <v>800</v>
      </c>
      <c r="BB50" s="41">
        <v>0</v>
      </c>
      <c r="BC50" s="41">
        <v>0</v>
      </c>
      <c r="BD50" s="41">
        <v>0.19844000000000001</v>
      </c>
      <c r="BE50" s="41">
        <v>1.722799</v>
      </c>
      <c r="BF50" s="41">
        <v>0.85979499999999998</v>
      </c>
      <c r="BG50" s="41">
        <v>12.836833</v>
      </c>
      <c r="BH50" s="41">
        <v>7.8237379999999996</v>
      </c>
      <c r="BI50" s="41">
        <v>0</v>
      </c>
      <c r="BJ50" s="41">
        <v>17.610229</v>
      </c>
      <c r="BK50" s="41">
        <v>7.7265040000000003</v>
      </c>
      <c r="BL50" s="41">
        <v>3.9039820000000001</v>
      </c>
      <c r="BM50" s="41">
        <v>0.99134800000000001</v>
      </c>
      <c r="BN50" s="41">
        <v>5.8273999999999999E-2</v>
      </c>
      <c r="BO50" s="41">
        <v>0.34183599999999997</v>
      </c>
      <c r="BP50" s="41">
        <v>0.67888700000000002</v>
      </c>
      <c r="BQ50" s="41">
        <v>0</v>
      </c>
      <c r="BR50" s="41">
        <v>15.517382</v>
      </c>
      <c r="BS50" s="41">
        <v>12.970174999999999</v>
      </c>
      <c r="BT50" s="41">
        <v>2.1217410000000001</v>
      </c>
      <c r="BU50" s="41">
        <v>1.096938</v>
      </c>
      <c r="BV50" s="41">
        <v>0</v>
      </c>
      <c r="BW50" s="41">
        <v>12.536552</v>
      </c>
      <c r="BX50" s="41">
        <v>0.56228500000000003</v>
      </c>
      <c r="BY50" s="41">
        <v>0</v>
      </c>
      <c r="BZ50" s="41">
        <v>0.150889</v>
      </c>
      <c r="CA50" s="41">
        <v>2.0729000000000001E-2</v>
      </c>
      <c r="CB50" s="41">
        <v>0</v>
      </c>
      <c r="CC50" s="41">
        <v>0</v>
      </c>
      <c r="CD50" s="41">
        <v>0</v>
      </c>
      <c r="CE50" s="41">
        <v>0</v>
      </c>
      <c r="CF50" s="41">
        <v>1.2319E-2</v>
      </c>
      <c r="CG50" s="41">
        <v>2.2829999999999999E-3</v>
      </c>
      <c r="CH50" s="41">
        <v>0</v>
      </c>
      <c r="CI50" s="41">
        <v>5.6654999999999997E-2</v>
      </c>
      <c r="CJ50" s="41">
        <v>6.2692999999999999E-2</v>
      </c>
      <c r="CK50" s="41">
        <v>0.136686</v>
      </c>
      <c r="CL50" s="41">
        <v>83.735152999999997</v>
      </c>
      <c r="CM50" s="41">
        <v>16.237722000000002</v>
      </c>
      <c r="CN50" s="41">
        <v>44.382717</v>
      </c>
      <c r="CO50" s="41">
        <v>42.601185000000001</v>
      </c>
      <c r="CP50" s="41">
        <v>88.227074000000002</v>
      </c>
      <c r="CQ50" s="41">
        <v>0.65961800000000004</v>
      </c>
    </row>
    <row r="51" spans="1:95">
      <c r="A51" s="76" t="s">
        <v>801</v>
      </c>
      <c r="B51" s="144">
        <v>2</v>
      </c>
      <c r="C51" s="41">
        <v>215</v>
      </c>
      <c r="D51" s="41">
        <v>215</v>
      </c>
      <c r="E51" s="41">
        <v>25.218499999999999</v>
      </c>
      <c r="F51" s="41">
        <v>24.9971</v>
      </c>
      <c r="G51" s="41">
        <v>1426.12</v>
      </c>
      <c r="H51" s="41">
        <v>1425.89</v>
      </c>
      <c r="I51" s="41">
        <v>1425.43</v>
      </c>
      <c r="J51" s="41">
        <v>1424.73</v>
      </c>
      <c r="K51" s="41">
        <v>1425.34</v>
      </c>
      <c r="L51" s="41">
        <v>1424.76</v>
      </c>
      <c r="M51" s="41">
        <v>1425.64</v>
      </c>
      <c r="N51" s="41">
        <v>1425.45</v>
      </c>
      <c r="O51" s="41">
        <v>0.99158199999999996</v>
      </c>
      <c r="P51" s="41">
        <v>2500.84</v>
      </c>
      <c r="Q51" s="41">
        <v>2500.48</v>
      </c>
      <c r="R51" s="41">
        <v>2499.79</v>
      </c>
      <c r="S51" s="41">
        <v>2500.08</v>
      </c>
      <c r="T51" s="41">
        <v>2499.7399999999998</v>
      </c>
      <c r="U51" s="41">
        <v>2498.73</v>
      </c>
      <c r="V51" s="41">
        <v>2500.73</v>
      </c>
      <c r="W51" s="41">
        <v>2498.13</v>
      </c>
      <c r="X51" s="41">
        <v>209.9</v>
      </c>
      <c r="Y51" s="41">
        <v>1.9990600000000001</v>
      </c>
      <c r="Z51" s="41">
        <v>1.9993799999999999</v>
      </c>
      <c r="AA51" s="41">
        <v>2.0013399999999999</v>
      </c>
      <c r="AB51" s="41">
        <v>1.9786300000000001</v>
      </c>
      <c r="AC51" s="41">
        <v>2.00013</v>
      </c>
      <c r="AD51" s="41">
        <v>2.0003700000000002</v>
      </c>
      <c r="AE51" s="41">
        <v>2.0004599999999999</v>
      </c>
      <c r="AF51" s="41">
        <v>2.0020099999999998</v>
      </c>
      <c r="AG51" s="76" t="s">
        <v>802</v>
      </c>
      <c r="AH51" s="41" t="s">
        <v>173</v>
      </c>
      <c r="AI51" s="41">
        <v>34.440356000000001</v>
      </c>
      <c r="AJ51" s="41">
        <v>30.733318000000001</v>
      </c>
      <c r="AK51" s="41">
        <v>5458422</v>
      </c>
      <c r="AL51" s="41">
        <v>1.6150000095367001</v>
      </c>
      <c r="AM51" s="41">
        <v>65.559644000000006</v>
      </c>
      <c r="AN51" s="41">
        <v>58.503036000000002</v>
      </c>
      <c r="AO51" s="41">
        <v>279196127</v>
      </c>
      <c r="AP51" s="41">
        <v>4.0229999999999997</v>
      </c>
      <c r="AR51" s="113">
        <f t="shared" si="0"/>
        <v>57.990012258059181</v>
      </c>
      <c r="AS51" s="113">
        <f t="shared" si="1"/>
        <v>29.453682571745837</v>
      </c>
      <c r="AU51" s="106">
        <f t="shared" ref="AU51:AU63" si="32">DATEVALUE(SUBSTITUTE(LEFT(A51,10),".","/"))</f>
        <v>46255</v>
      </c>
      <c r="AV51" s="107">
        <f t="shared" ref="AV51:AV63" si="33">TIMEVALUE(RIGHT(A51,8))</f>
        <v>0.31797453703703704</v>
      </c>
      <c r="AW51" s="106">
        <f t="shared" ref="AW51:AW63" si="34">DATEVALUE(SUBSTITUTE(LEFT(AG51,10),".","/"))</f>
        <v>46255</v>
      </c>
      <c r="AX51" s="107">
        <f t="shared" ref="AX51:AX63" si="35">TIMEVALUE(RIGHT(AG51,8))</f>
        <v>0.38921296296296298</v>
      </c>
      <c r="AY51" s="142">
        <v>46255</v>
      </c>
      <c r="AZ51" s="116">
        <v>0.31798611111111114</v>
      </c>
      <c r="BA51" s="41" t="s">
        <v>803</v>
      </c>
      <c r="BB51" s="41">
        <v>0</v>
      </c>
      <c r="BC51" s="41">
        <v>0</v>
      </c>
      <c r="BD51" s="41">
        <v>2.82707</v>
      </c>
      <c r="BE51" s="41">
        <v>2.8394309999999998</v>
      </c>
      <c r="BF51" s="41">
        <v>6.5719630000000002</v>
      </c>
      <c r="BG51" s="41">
        <v>12.684281</v>
      </c>
      <c r="BH51" s="41">
        <v>9.3640150000000002</v>
      </c>
      <c r="BI51" s="41">
        <v>0</v>
      </c>
      <c r="BJ51" s="41">
        <v>16.188631000000001</v>
      </c>
      <c r="BK51" s="41">
        <v>7.8242620000000001</v>
      </c>
      <c r="BL51" s="41">
        <v>4.4407170000000002</v>
      </c>
      <c r="BM51" s="41">
        <v>1.7453799999999999</v>
      </c>
      <c r="BN51" s="41">
        <v>0.12431399999999999</v>
      </c>
      <c r="BO51" s="41">
        <v>0.38812400000000002</v>
      </c>
      <c r="BP51" s="41">
        <v>0.632552</v>
      </c>
      <c r="BQ51" s="41">
        <v>0</v>
      </c>
      <c r="BR51" s="41">
        <v>11.52045</v>
      </c>
      <c r="BS51" s="41">
        <v>11.858104000000001</v>
      </c>
      <c r="BT51" s="41">
        <v>3.308141</v>
      </c>
      <c r="BU51" s="41">
        <v>1.0850660000000001</v>
      </c>
      <c r="BV51" s="41">
        <v>0</v>
      </c>
      <c r="BW51" s="41">
        <v>5.6248889999999996</v>
      </c>
      <c r="BX51" s="41">
        <v>0.73759799999999998</v>
      </c>
      <c r="BY51" s="41">
        <v>0</v>
      </c>
      <c r="BZ51" s="41">
        <v>9.3062000000000006E-2</v>
      </c>
      <c r="CA51" s="41">
        <v>1.4989999999999999E-3</v>
      </c>
      <c r="CB51" s="41">
        <v>0</v>
      </c>
      <c r="CC51" s="41">
        <v>0</v>
      </c>
      <c r="CD51" s="41">
        <v>0</v>
      </c>
      <c r="CE51" s="41">
        <v>0</v>
      </c>
      <c r="CF51" s="41">
        <v>1.3091999999999999E-2</v>
      </c>
      <c r="CG51" s="41">
        <v>0</v>
      </c>
      <c r="CH51" s="41">
        <v>0</v>
      </c>
      <c r="CI51" s="41">
        <v>0</v>
      </c>
      <c r="CJ51" s="41">
        <v>6.5943000000000002E-2</v>
      </c>
      <c r="CK51" s="41">
        <v>6.2432000000000001E-2</v>
      </c>
      <c r="CL51" s="41">
        <v>83.520508000000007</v>
      </c>
      <c r="CM51" s="41">
        <v>16.423044000000001</v>
      </c>
      <c r="CN51" s="41">
        <v>56.201205999999999</v>
      </c>
      <c r="CO51" s="41">
        <v>54.634132000000001</v>
      </c>
      <c r="CP51" s="41">
        <v>81.269919999999999</v>
      </c>
      <c r="CQ51" s="41">
        <v>0.61296799999999996</v>
      </c>
    </row>
    <row r="52" spans="1:95">
      <c r="A52" s="76" t="s">
        <v>804</v>
      </c>
      <c r="B52" s="144">
        <v>3</v>
      </c>
      <c r="C52" s="41">
        <v>215</v>
      </c>
      <c r="D52" s="41">
        <v>215</v>
      </c>
      <c r="E52" s="41">
        <v>25.260400000000001</v>
      </c>
      <c r="F52" s="41">
        <v>24.989899999999999</v>
      </c>
      <c r="G52" s="41">
        <v>1454.82</v>
      </c>
      <c r="H52" s="41">
        <v>1454.24</v>
      </c>
      <c r="I52" s="41">
        <v>1454.82</v>
      </c>
      <c r="J52" s="41">
        <v>1453.96</v>
      </c>
      <c r="K52" s="41">
        <v>1453.96</v>
      </c>
      <c r="L52" s="41">
        <v>1454.01</v>
      </c>
      <c r="M52" s="41">
        <v>1455.26</v>
      </c>
      <c r="N52" s="41">
        <v>1454.67</v>
      </c>
      <c r="O52" s="41">
        <v>0.89206300000000005</v>
      </c>
      <c r="P52" s="41">
        <v>2500.29</v>
      </c>
      <c r="Q52" s="41">
        <v>2499.9899999999998</v>
      </c>
      <c r="R52" s="41">
        <v>2499.63</v>
      </c>
      <c r="S52" s="41">
        <v>2500.02</v>
      </c>
      <c r="T52" s="41">
        <v>2500.21</v>
      </c>
      <c r="U52" s="41">
        <v>2500.9</v>
      </c>
      <c r="V52" s="41">
        <v>2500.02</v>
      </c>
      <c r="W52" s="41">
        <v>2500.84</v>
      </c>
      <c r="X52" s="41">
        <v>210</v>
      </c>
      <c r="Y52" s="41">
        <v>1.9986600000000001</v>
      </c>
      <c r="Z52" s="41">
        <v>2.0013899999999998</v>
      </c>
      <c r="AA52" s="41">
        <v>2.0003299999999999</v>
      </c>
      <c r="AB52" s="41">
        <v>1.98729</v>
      </c>
      <c r="AC52" s="41">
        <v>1.9971699999999999</v>
      </c>
      <c r="AD52" s="41">
        <v>1.99827</v>
      </c>
      <c r="AE52" s="41">
        <v>1.99518</v>
      </c>
      <c r="AF52" s="41">
        <v>2.00081</v>
      </c>
      <c r="AG52" s="76" t="s">
        <v>805</v>
      </c>
      <c r="AH52" s="41" t="s">
        <v>173</v>
      </c>
      <c r="AI52" s="41">
        <v>33.396686000000003</v>
      </c>
      <c r="AJ52" s="41">
        <v>29.237400000000001</v>
      </c>
      <c r="AK52" s="41">
        <v>5192738</v>
      </c>
      <c r="AL52" s="41">
        <v>1.6150000095367001</v>
      </c>
      <c r="AM52" s="41">
        <v>66.603313999999997</v>
      </c>
      <c r="AN52" s="41">
        <v>58.308411</v>
      </c>
      <c r="AO52" s="41">
        <v>278267314</v>
      </c>
      <c r="AP52" s="41">
        <v>4.0229999999999997</v>
      </c>
      <c r="AR52" s="113">
        <f t="shared" si="0"/>
        <v>57.793066319259573</v>
      </c>
      <c r="AS52" s="113">
        <f t="shared" si="1"/>
        <v>27.97114542238392</v>
      </c>
      <c r="AU52" s="106">
        <f t="shared" si="32"/>
        <v>46255</v>
      </c>
      <c r="AV52" s="107">
        <f t="shared" si="33"/>
        <v>0.40409722222222222</v>
      </c>
      <c r="AW52" s="106">
        <f t="shared" si="34"/>
        <v>46255</v>
      </c>
      <c r="AX52" s="107">
        <f t="shared" si="35"/>
        <v>0.47540509259259262</v>
      </c>
      <c r="AY52" s="142">
        <v>46255</v>
      </c>
      <c r="AZ52" s="116">
        <v>0.40413194444444445</v>
      </c>
      <c r="BA52" s="41" t="s">
        <v>806</v>
      </c>
      <c r="BB52" s="41">
        <v>0</v>
      </c>
      <c r="BC52" s="41">
        <v>0</v>
      </c>
      <c r="BD52" s="41">
        <v>9.1774660000000008</v>
      </c>
      <c r="BE52" s="41">
        <v>3.6197360000000001</v>
      </c>
      <c r="BF52" s="41">
        <v>18.218029000000001</v>
      </c>
      <c r="BG52" s="41">
        <v>12.103301999999999</v>
      </c>
      <c r="BH52" s="41">
        <v>11.416169</v>
      </c>
      <c r="BI52" s="41">
        <v>0</v>
      </c>
      <c r="BJ52" s="41">
        <v>12.098523</v>
      </c>
      <c r="BK52" s="41">
        <v>9.0001560000000005</v>
      </c>
      <c r="BL52" s="41">
        <v>5.5089240000000004</v>
      </c>
      <c r="BM52" s="41">
        <v>2.8512789999999999</v>
      </c>
      <c r="BN52" s="41">
        <v>0.63423700000000005</v>
      </c>
      <c r="BO52" s="41">
        <v>0.26195299999999999</v>
      </c>
      <c r="BP52" s="41">
        <v>0.53695800000000005</v>
      </c>
      <c r="BQ52" s="41">
        <v>0</v>
      </c>
      <c r="BR52" s="41">
        <v>3.8685179999999999</v>
      </c>
      <c r="BS52" s="41">
        <v>5.9292470000000002</v>
      </c>
      <c r="BT52" s="41">
        <v>2.6223339999999999</v>
      </c>
      <c r="BU52" s="41">
        <v>0.88954500000000003</v>
      </c>
      <c r="BV52" s="41">
        <v>0</v>
      </c>
      <c r="BW52" s="41">
        <v>0.32949899999999999</v>
      </c>
      <c r="BX52" s="41">
        <v>0.609985</v>
      </c>
      <c r="BY52" s="41">
        <v>0</v>
      </c>
      <c r="BZ52" s="41">
        <v>0.12690399999999999</v>
      </c>
      <c r="CA52" s="41">
        <v>3.199E-3</v>
      </c>
      <c r="CB52" s="41">
        <v>0</v>
      </c>
      <c r="CC52" s="41">
        <v>0</v>
      </c>
      <c r="CD52" s="41">
        <v>0</v>
      </c>
      <c r="CE52" s="41">
        <v>0</v>
      </c>
      <c r="CF52" s="41">
        <v>1.2463E-2</v>
      </c>
      <c r="CG52" s="41">
        <v>0</v>
      </c>
      <c r="CH52" s="41">
        <v>0</v>
      </c>
      <c r="CI52" s="41">
        <v>0</v>
      </c>
      <c r="CJ52" s="41">
        <v>1.482E-2</v>
      </c>
      <c r="CK52" s="41">
        <v>0.166768</v>
      </c>
      <c r="CL52" s="41">
        <v>83.207145999999995</v>
      </c>
      <c r="CM52" s="41">
        <v>16.738406999999999</v>
      </c>
      <c r="CN52" s="41">
        <v>75.078201000000007</v>
      </c>
      <c r="CO52" s="41">
        <v>75.758658999999994</v>
      </c>
      <c r="CP52" s="41">
        <v>70.814980000000006</v>
      </c>
      <c r="CQ52" s="41">
        <v>0.56001599999999996</v>
      </c>
    </row>
    <row r="53" spans="1:95">
      <c r="A53" s="76" t="s">
        <v>807</v>
      </c>
      <c r="B53" s="144">
        <v>4</v>
      </c>
      <c r="C53" s="41">
        <v>210</v>
      </c>
      <c r="D53" s="41">
        <v>210</v>
      </c>
      <c r="E53" s="41">
        <v>25.0014</v>
      </c>
      <c r="F53" s="41">
        <v>25.063700000000001</v>
      </c>
      <c r="G53" s="41">
        <v>1463.08</v>
      </c>
      <c r="H53" s="41">
        <v>1463.16</v>
      </c>
      <c r="I53" s="41">
        <v>1462.45</v>
      </c>
      <c r="J53" s="41">
        <v>1461.06</v>
      </c>
      <c r="K53" s="41">
        <v>1462.82</v>
      </c>
      <c r="L53" s="41">
        <v>1463.27</v>
      </c>
      <c r="M53" s="41">
        <v>1463.08</v>
      </c>
      <c r="N53" s="41">
        <v>1464.06</v>
      </c>
      <c r="O53" s="41">
        <v>0.89514800000000005</v>
      </c>
      <c r="P53" s="41">
        <v>2500.36</v>
      </c>
      <c r="Q53" s="41">
        <v>2499.0500000000002</v>
      </c>
      <c r="R53" s="41">
        <v>2500.1999999999998</v>
      </c>
      <c r="S53" s="41">
        <v>2499.71</v>
      </c>
      <c r="T53" s="41">
        <v>2499.6</v>
      </c>
      <c r="U53" s="41">
        <v>2499.4699999999998</v>
      </c>
      <c r="V53" s="41">
        <v>2499.4899999999998</v>
      </c>
      <c r="W53" s="41">
        <v>2499.17</v>
      </c>
      <c r="X53" s="41">
        <v>210</v>
      </c>
      <c r="Y53" s="41">
        <v>1.99929</v>
      </c>
      <c r="Z53" s="41">
        <v>1.9990600000000001</v>
      </c>
      <c r="AA53" s="41">
        <v>2.0022199999999999</v>
      </c>
      <c r="AB53" s="41">
        <v>1.988</v>
      </c>
      <c r="AC53" s="41">
        <v>2.0014799999999999</v>
      </c>
      <c r="AD53" s="41">
        <v>2.0003799999999998</v>
      </c>
      <c r="AE53" s="41">
        <v>2.0012599999999998</v>
      </c>
      <c r="AF53" s="41">
        <v>2.0018699999999998</v>
      </c>
      <c r="AG53" s="76" t="s">
        <v>808</v>
      </c>
      <c r="AH53" s="41" t="s">
        <v>173</v>
      </c>
      <c r="AI53" s="41">
        <v>37.211933000000002</v>
      </c>
      <c r="AJ53" s="41">
        <v>33.626435000000001</v>
      </c>
      <c r="AK53" s="41">
        <v>5972257</v>
      </c>
      <c r="AL53" s="41">
        <v>1.6166666746139999</v>
      </c>
      <c r="AM53" s="41">
        <v>62.788066999999998</v>
      </c>
      <c r="AN53" s="41">
        <v>56.738221000000003</v>
      </c>
      <c r="AO53" s="41">
        <v>270773839</v>
      </c>
      <c r="AP53" s="41">
        <v>4.0279999999999996</v>
      </c>
      <c r="AR53" s="113">
        <f t="shared" si="0"/>
        <v>56.20414640885091</v>
      </c>
      <c r="AS53" s="113">
        <f t="shared" si="1"/>
        <v>32.320921382296646</v>
      </c>
      <c r="AU53" s="106">
        <f t="shared" si="32"/>
        <v>46255</v>
      </c>
      <c r="AV53" s="107">
        <f t="shared" si="33"/>
        <v>0.49023148148148149</v>
      </c>
      <c r="AW53" s="106">
        <f t="shared" si="34"/>
        <v>46255</v>
      </c>
      <c r="AX53" s="107">
        <f t="shared" si="35"/>
        <v>0.56149305555555551</v>
      </c>
      <c r="AY53" s="142">
        <v>46255</v>
      </c>
      <c r="AZ53" s="116">
        <v>0.49025462962962962</v>
      </c>
      <c r="BA53" s="41" t="s">
        <v>809</v>
      </c>
      <c r="BB53" s="41">
        <v>0</v>
      </c>
      <c r="BC53" s="41">
        <v>0</v>
      </c>
      <c r="BD53" s="41">
        <v>4.4523E-2</v>
      </c>
      <c r="BE53" s="41">
        <v>1.5986750000000001</v>
      </c>
      <c r="BF53" s="41">
        <v>0.29281400000000002</v>
      </c>
      <c r="BG53" s="41">
        <v>12.795241000000001</v>
      </c>
      <c r="BH53" s="41">
        <v>7.522405</v>
      </c>
      <c r="BI53" s="41">
        <v>0</v>
      </c>
      <c r="BJ53" s="41">
        <v>17.794916000000001</v>
      </c>
      <c r="BK53" s="41">
        <v>8.0081220000000002</v>
      </c>
      <c r="BL53" s="41">
        <v>3.682153</v>
      </c>
      <c r="BM53" s="41">
        <v>0.71931400000000001</v>
      </c>
      <c r="BN53" s="41">
        <v>1.6726000000000001E-2</v>
      </c>
      <c r="BO53" s="41">
        <v>0.30624499999999999</v>
      </c>
      <c r="BP53" s="41">
        <v>0.66791199999999995</v>
      </c>
      <c r="BQ53" s="41">
        <v>0</v>
      </c>
      <c r="BR53" s="41">
        <v>16.123142000000001</v>
      </c>
      <c r="BS53" s="41">
        <v>13.805918999999999</v>
      </c>
      <c r="BT53" s="41">
        <v>1.0000469999999999</v>
      </c>
      <c r="BU53" s="41">
        <v>0.96342899999999998</v>
      </c>
      <c r="BV53" s="41">
        <v>0</v>
      </c>
      <c r="BW53" s="41">
        <v>13.445397</v>
      </c>
      <c r="BX53" s="41">
        <v>0.39761800000000003</v>
      </c>
      <c r="BY53" s="41">
        <v>0</v>
      </c>
      <c r="BZ53" s="41">
        <v>0.17419200000000001</v>
      </c>
      <c r="CA53" s="41">
        <v>1.6695999999999999E-2</v>
      </c>
      <c r="CB53" s="41">
        <v>0</v>
      </c>
      <c r="CC53" s="41">
        <v>0</v>
      </c>
      <c r="CD53" s="41">
        <v>0</v>
      </c>
      <c r="CE53" s="41">
        <v>0</v>
      </c>
      <c r="CF53" s="41">
        <v>0</v>
      </c>
      <c r="CG53" s="41">
        <v>2.1663999999999999E-2</v>
      </c>
      <c r="CH53" s="41">
        <v>4.3117000000000003E-2</v>
      </c>
      <c r="CI53" s="41">
        <v>0.15699199999999999</v>
      </c>
      <c r="CJ53" s="41">
        <v>0.202931</v>
      </c>
      <c r="CK53" s="41">
        <v>0.199825</v>
      </c>
      <c r="CL53" s="41">
        <v>83.865402000000003</v>
      </c>
      <c r="CM53" s="41">
        <v>16.170276999999999</v>
      </c>
      <c r="CN53" s="41">
        <v>41.673133999999997</v>
      </c>
      <c r="CO53" s="41">
        <v>40.318382</v>
      </c>
      <c r="CP53" s="41">
        <v>89.064728000000002</v>
      </c>
      <c r="CQ53" s="41">
        <v>0.66656000000000004</v>
      </c>
    </row>
    <row r="54" spans="1:95">
      <c r="A54" s="76" t="s">
        <v>810</v>
      </c>
      <c r="B54" s="144">
        <v>5</v>
      </c>
      <c r="C54" s="41">
        <v>210</v>
      </c>
      <c r="D54" s="41">
        <v>210</v>
      </c>
      <c r="E54" s="41">
        <v>25.036200000000001</v>
      </c>
      <c r="F54" s="41">
        <v>25.062200000000001</v>
      </c>
      <c r="G54" s="41">
        <v>1429.2</v>
      </c>
      <c r="H54" s="41">
        <v>1429.25</v>
      </c>
      <c r="I54" s="41">
        <v>1428.93</v>
      </c>
      <c r="J54" s="41">
        <v>1429.52</v>
      </c>
      <c r="K54" s="41">
        <v>1428.79</v>
      </c>
      <c r="L54" s="41">
        <v>1428.88</v>
      </c>
      <c r="M54" s="41">
        <v>1428.77</v>
      </c>
      <c r="N54" s="41">
        <v>1429.38</v>
      </c>
      <c r="O54" s="41">
        <v>0.93023299999999998</v>
      </c>
      <c r="P54" s="41">
        <v>2500.9899999999998</v>
      </c>
      <c r="Q54" s="41">
        <v>2500.17</v>
      </c>
      <c r="R54" s="41">
        <v>2499.48</v>
      </c>
      <c r="S54" s="41">
        <v>2500.83</v>
      </c>
      <c r="T54" s="41">
        <v>2499.92</v>
      </c>
      <c r="U54" s="41">
        <v>2499.77</v>
      </c>
      <c r="V54" s="41">
        <v>2499.4899999999998</v>
      </c>
      <c r="W54" s="41">
        <v>2500.83</v>
      </c>
      <c r="X54" s="41">
        <v>210</v>
      </c>
      <c r="Y54" s="41">
        <v>1.9983200000000001</v>
      </c>
      <c r="Z54" s="41">
        <v>1.9969399999999999</v>
      </c>
      <c r="AA54" s="41">
        <v>1.99804</v>
      </c>
      <c r="AB54" s="41">
        <v>1.9824200000000001</v>
      </c>
      <c r="AC54" s="41">
        <v>1.99854</v>
      </c>
      <c r="AD54" s="41">
        <v>1.9994799999999999</v>
      </c>
      <c r="AE54" s="41">
        <v>1.99573</v>
      </c>
      <c r="AF54" s="41">
        <v>1.9961500000000001</v>
      </c>
      <c r="AG54" s="76" t="s">
        <v>811</v>
      </c>
      <c r="AH54" s="41" t="s">
        <v>173</v>
      </c>
      <c r="AI54" s="41">
        <v>36.86186</v>
      </c>
      <c r="AJ54" s="41">
        <v>33.199140999999997</v>
      </c>
      <c r="AK54" s="41">
        <v>5896367</v>
      </c>
      <c r="AL54" s="41">
        <v>1.6166666746139999</v>
      </c>
      <c r="AM54" s="41">
        <v>63.13814</v>
      </c>
      <c r="AN54" s="41">
        <v>56.864519999999999</v>
      </c>
      <c r="AO54" s="41">
        <v>271376578</v>
      </c>
      <c r="AP54" s="41">
        <v>4.0279999999999996</v>
      </c>
      <c r="AR54" s="113">
        <f t="shared" si="0"/>
        <v>56.331951465634283</v>
      </c>
      <c r="AS54" s="113">
        <f t="shared" si="1"/>
        <v>31.897449346852</v>
      </c>
      <c r="AU54" s="106">
        <f t="shared" si="32"/>
        <v>46255</v>
      </c>
      <c r="AV54" s="107">
        <f t="shared" si="33"/>
        <v>0.57636574074074076</v>
      </c>
      <c r="AW54" s="106">
        <f t="shared" si="34"/>
        <v>46255</v>
      </c>
      <c r="AX54" s="107">
        <f t="shared" si="35"/>
        <v>0.64760416666666665</v>
      </c>
      <c r="AY54" s="142">
        <v>46255</v>
      </c>
      <c r="AZ54" s="116">
        <v>0.5763773148148148</v>
      </c>
      <c r="BA54" s="41" t="s">
        <v>812</v>
      </c>
      <c r="BB54" s="41">
        <v>0</v>
      </c>
      <c r="BC54" s="41">
        <v>0</v>
      </c>
      <c r="BD54" s="41">
        <v>0.23330400000000001</v>
      </c>
      <c r="BE54" s="41">
        <v>1.7401489999999999</v>
      </c>
      <c r="BF54" s="41">
        <v>1.0304930000000001</v>
      </c>
      <c r="BG54" s="41">
        <v>12.771127</v>
      </c>
      <c r="BH54" s="41">
        <v>7.8990119999999999</v>
      </c>
      <c r="BI54" s="41">
        <v>0</v>
      </c>
      <c r="BJ54" s="41">
        <v>17.494005000000001</v>
      </c>
      <c r="BK54" s="41">
        <v>7.6528970000000003</v>
      </c>
      <c r="BL54" s="41">
        <v>3.9632679999999998</v>
      </c>
      <c r="BM54" s="41">
        <v>1.0685439999999999</v>
      </c>
      <c r="BN54" s="41">
        <v>8.4889999999999993E-2</v>
      </c>
      <c r="BO54" s="41">
        <v>0.337754</v>
      </c>
      <c r="BP54" s="41">
        <v>0.67130400000000001</v>
      </c>
      <c r="BQ54" s="41">
        <v>0</v>
      </c>
      <c r="BR54" s="41">
        <v>15.297739</v>
      </c>
      <c r="BS54" s="41">
        <v>12.864409999999999</v>
      </c>
      <c r="BT54" s="41">
        <v>2.40225</v>
      </c>
      <c r="BU54" s="41">
        <v>1.0881000000000001</v>
      </c>
      <c r="BV54" s="41">
        <v>0</v>
      </c>
      <c r="BW54" s="41">
        <v>12.22833</v>
      </c>
      <c r="BX54" s="41">
        <v>0.64837800000000001</v>
      </c>
      <c r="BY54" s="41">
        <v>0</v>
      </c>
      <c r="BZ54" s="41">
        <v>0.143734</v>
      </c>
      <c r="CA54" s="41">
        <v>2.3848000000000001E-2</v>
      </c>
      <c r="CB54" s="41">
        <v>0</v>
      </c>
      <c r="CC54" s="41">
        <v>0</v>
      </c>
      <c r="CD54" s="41">
        <v>0</v>
      </c>
      <c r="CE54" s="41">
        <v>0</v>
      </c>
      <c r="CF54" s="41">
        <v>1.1727E-2</v>
      </c>
      <c r="CG54" s="41">
        <v>3.5699999999999998E-3</v>
      </c>
      <c r="CH54" s="41">
        <v>0</v>
      </c>
      <c r="CI54" s="41">
        <v>7.5217000000000006E-2</v>
      </c>
      <c r="CJ54" s="41">
        <v>7.3413999999999993E-2</v>
      </c>
      <c r="CK54" s="41">
        <v>0.19253899999999999</v>
      </c>
      <c r="CL54" s="41">
        <v>83.761154000000005</v>
      </c>
      <c r="CM54" s="41">
        <v>16.226500000000001</v>
      </c>
      <c r="CN54" s="41">
        <v>45.045155000000001</v>
      </c>
      <c r="CO54" s="41">
        <v>43.171337000000001</v>
      </c>
      <c r="CP54" s="41">
        <v>88.088607999999994</v>
      </c>
      <c r="CQ54" s="41">
        <v>0.66159199999999996</v>
      </c>
    </row>
    <row r="55" spans="1:95">
      <c r="A55" s="76" t="s">
        <v>813</v>
      </c>
      <c r="B55" s="144">
        <v>6</v>
      </c>
      <c r="C55" s="41">
        <v>210</v>
      </c>
      <c r="D55" s="41">
        <v>209.9</v>
      </c>
      <c r="E55" s="41">
        <v>25.264800000000001</v>
      </c>
      <c r="F55" s="41">
        <v>25.0593</v>
      </c>
      <c r="G55" s="41">
        <v>1397.71</v>
      </c>
      <c r="H55" s="41">
        <v>1398.13</v>
      </c>
      <c r="I55" s="41">
        <v>1397.7</v>
      </c>
      <c r="J55" s="41">
        <v>1399.13</v>
      </c>
      <c r="K55" s="41">
        <v>1398.31</v>
      </c>
      <c r="L55" s="41">
        <v>1396.49</v>
      </c>
      <c r="M55" s="41">
        <v>1398.04</v>
      </c>
      <c r="N55" s="41">
        <v>1398.01</v>
      </c>
      <c r="O55" s="41">
        <v>0.94793700000000003</v>
      </c>
      <c r="P55" s="41">
        <v>2500.11</v>
      </c>
      <c r="Q55" s="41">
        <v>2500.0500000000002</v>
      </c>
      <c r="R55" s="41">
        <v>2500</v>
      </c>
      <c r="S55" s="41">
        <v>2499.8000000000002</v>
      </c>
      <c r="T55" s="41">
        <v>2499.66</v>
      </c>
      <c r="U55" s="41">
        <v>2500.81</v>
      </c>
      <c r="V55" s="41">
        <v>2500.06</v>
      </c>
      <c r="W55" s="41">
        <v>2500.2399999999998</v>
      </c>
      <c r="X55" s="41">
        <v>210</v>
      </c>
      <c r="Y55" s="41">
        <v>2.0004900000000001</v>
      </c>
      <c r="Z55" s="41">
        <v>1.998</v>
      </c>
      <c r="AA55" s="41">
        <v>2.0022099999999998</v>
      </c>
      <c r="AB55" s="41">
        <v>1.9784999999999999</v>
      </c>
      <c r="AC55" s="41">
        <v>2.00027</v>
      </c>
      <c r="AD55" s="41">
        <v>2.0015800000000001</v>
      </c>
      <c r="AE55" s="41">
        <v>2.00318</v>
      </c>
      <c r="AF55" s="41">
        <v>2.0008400000000002</v>
      </c>
      <c r="AG55" s="76" t="s">
        <v>814</v>
      </c>
      <c r="AH55" s="41" t="s">
        <v>173</v>
      </c>
      <c r="AI55" s="41">
        <v>35.311785</v>
      </c>
      <c r="AJ55" s="41">
        <v>31.566082000000002</v>
      </c>
      <c r="AK55" s="41">
        <v>5606326</v>
      </c>
      <c r="AL55" s="41">
        <v>1.6166666746139999</v>
      </c>
      <c r="AM55" s="41">
        <v>64.688215</v>
      </c>
      <c r="AN55" s="41">
        <v>57.826402000000002</v>
      </c>
      <c r="AO55" s="41">
        <v>275967005</v>
      </c>
      <c r="AP55" s="41">
        <v>4.0279999999999996</v>
      </c>
      <c r="AR55" s="113">
        <f t="shared" si="0"/>
        <v>57.305307733264122</v>
      </c>
      <c r="AS55" s="113">
        <f t="shared" si="1"/>
        <v>30.278998264596087</v>
      </c>
      <c r="AU55" s="106">
        <f t="shared" si="32"/>
        <v>46255</v>
      </c>
      <c r="AV55" s="107">
        <f t="shared" si="33"/>
        <v>0.66248842592592594</v>
      </c>
      <c r="AW55" s="106">
        <f t="shared" si="34"/>
        <v>46255</v>
      </c>
      <c r="AX55" s="107">
        <f t="shared" si="35"/>
        <v>0.73371527777777779</v>
      </c>
      <c r="AY55" s="142">
        <v>46255</v>
      </c>
      <c r="AZ55" s="116">
        <v>0.66251157407407413</v>
      </c>
      <c r="BA55" s="41" t="s">
        <v>815</v>
      </c>
      <c r="BB55" s="41">
        <v>0</v>
      </c>
      <c r="BC55" s="41">
        <v>0</v>
      </c>
      <c r="BD55" s="41">
        <v>1.965883</v>
      </c>
      <c r="BE55" s="41">
        <v>2.5307819999999999</v>
      </c>
      <c r="BF55" s="41">
        <v>4.8979309999999998</v>
      </c>
      <c r="BG55" s="41">
        <v>12.646138000000001</v>
      </c>
      <c r="BH55" s="41">
        <v>8.9254660000000001</v>
      </c>
      <c r="BI55" s="41">
        <v>0</v>
      </c>
      <c r="BJ55" s="41">
        <v>16.479835999999999</v>
      </c>
      <c r="BK55" s="41">
        <v>7.8819540000000003</v>
      </c>
      <c r="BL55" s="41">
        <v>4.317126</v>
      </c>
      <c r="BM55" s="41">
        <v>1.5082059999999999</v>
      </c>
      <c r="BN55" s="41">
        <v>9.3865000000000004E-2</v>
      </c>
      <c r="BO55" s="41">
        <v>0.38471100000000003</v>
      </c>
      <c r="BP55" s="41">
        <v>0.64280800000000005</v>
      </c>
      <c r="BQ55" s="41">
        <v>0</v>
      </c>
      <c r="BR55" s="41">
        <v>12.392016999999999</v>
      </c>
      <c r="BS55" s="41">
        <v>12.693038</v>
      </c>
      <c r="BT55" s="41">
        <v>3.2208320000000001</v>
      </c>
      <c r="BU55" s="41">
        <v>1.105272</v>
      </c>
      <c r="BV55" s="41">
        <v>0</v>
      </c>
      <c r="BW55" s="41">
        <v>7.3452140000000004</v>
      </c>
      <c r="BX55" s="41">
        <v>0.74582999999999999</v>
      </c>
      <c r="BY55" s="41">
        <v>0</v>
      </c>
      <c r="BZ55" s="41">
        <v>9.5912999999999998E-2</v>
      </c>
      <c r="CA55" s="41">
        <v>3.565E-3</v>
      </c>
      <c r="CB55" s="41">
        <v>0</v>
      </c>
      <c r="CC55" s="41">
        <v>0</v>
      </c>
      <c r="CD55" s="41">
        <v>0</v>
      </c>
      <c r="CE55" s="41">
        <v>0</v>
      </c>
      <c r="CF55" s="41">
        <v>1.0135999999999999E-2</v>
      </c>
      <c r="CG55" s="41">
        <v>0</v>
      </c>
      <c r="CH55" s="41">
        <v>0</v>
      </c>
      <c r="CI55" s="41">
        <v>6.7419999999999997E-3</v>
      </c>
      <c r="CJ55" s="41">
        <v>7.1693999999999994E-2</v>
      </c>
      <c r="CK55" s="41">
        <v>6.4387E-2</v>
      </c>
      <c r="CL55" s="41">
        <v>83.576735999999997</v>
      </c>
      <c r="CM55" s="41">
        <v>16.370047</v>
      </c>
      <c r="CN55" s="41">
        <v>53.225867999999998</v>
      </c>
      <c r="CO55" s="41">
        <v>51.406573999999999</v>
      </c>
      <c r="CP55" s="41">
        <v>83.251746999999995</v>
      </c>
      <c r="CQ55" s="41">
        <v>0.65032500000000004</v>
      </c>
    </row>
    <row r="56" spans="1:95">
      <c r="A56" s="76" t="s">
        <v>816</v>
      </c>
      <c r="B56" s="144">
        <v>7</v>
      </c>
      <c r="C56" s="41">
        <v>210</v>
      </c>
      <c r="D56" s="41">
        <v>210</v>
      </c>
      <c r="E56" s="41">
        <v>25.319700000000001</v>
      </c>
      <c r="F56" s="41">
        <v>25.063700000000001</v>
      </c>
      <c r="G56" s="41">
        <v>1427.2</v>
      </c>
      <c r="H56" s="41">
        <v>1426.9</v>
      </c>
      <c r="I56" s="41">
        <v>1426.74</v>
      </c>
      <c r="J56" s="41">
        <v>1427.25</v>
      </c>
      <c r="K56" s="41">
        <v>1426.69</v>
      </c>
      <c r="L56" s="41">
        <v>1427.15</v>
      </c>
      <c r="M56" s="41">
        <v>1426.76</v>
      </c>
      <c r="N56" s="41">
        <v>1426.82</v>
      </c>
      <c r="O56" s="41">
        <v>0.91855799999999999</v>
      </c>
      <c r="P56" s="41">
        <v>2500.38</v>
      </c>
      <c r="Q56" s="41">
        <v>2499.9</v>
      </c>
      <c r="R56" s="41">
        <v>2499.85</v>
      </c>
      <c r="S56" s="41">
        <v>2499.23</v>
      </c>
      <c r="T56" s="41">
        <v>2499.38</v>
      </c>
      <c r="U56" s="41">
        <v>2499.14</v>
      </c>
      <c r="V56" s="41">
        <v>2499.0100000000002</v>
      </c>
      <c r="W56" s="41">
        <v>2500.8000000000002</v>
      </c>
      <c r="X56" s="41">
        <v>210.2</v>
      </c>
      <c r="Y56" s="41">
        <v>2.0024700000000002</v>
      </c>
      <c r="Z56" s="41">
        <v>2.0023300000000002</v>
      </c>
      <c r="AA56" s="41">
        <v>1.9997499999999999</v>
      </c>
      <c r="AB56" s="41">
        <v>1.9806699999999999</v>
      </c>
      <c r="AC56" s="41">
        <v>2.00176</v>
      </c>
      <c r="AD56" s="41">
        <v>2.00075</v>
      </c>
      <c r="AE56" s="41">
        <v>2.0015000000000001</v>
      </c>
      <c r="AF56" s="41">
        <v>1.9988699999999999</v>
      </c>
      <c r="AG56" s="76" t="s">
        <v>817</v>
      </c>
      <c r="AH56" s="41" t="s">
        <v>173</v>
      </c>
      <c r="AI56" s="41">
        <v>34.486414000000003</v>
      </c>
      <c r="AJ56" s="41">
        <v>30.095631000000001</v>
      </c>
      <c r="AK56" s="41">
        <v>5345165</v>
      </c>
      <c r="AL56" s="41">
        <v>1.6150000095367001</v>
      </c>
      <c r="AM56" s="41">
        <v>65.513586000000004</v>
      </c>
      <c r="AN56" s="41">
        <v>57.172446999999998</v>
      </c>
      <c r="AO56" s="41">
        <v>272846110</v>
      </c>
      <c r="AP56" s="41">
        <v>4.032</v>
      </c>
      <c r="AR56" s="113">
        <f t="shared" si="0"/>
        <v>56.643551711686037</v>
      </c>
      <c r="AS56" s="113">
        <f t="shared" si="1"/>
        <v>28.821699803023286</v>
      </c>
      <c r="AU56" s="106">
        <f t="shared" si="32"/>
        <v>46255</v>
      </c>
      <c r="AV56" s="107">
        <f t="shared" si="33"/>
        <v>0.74861111111111112</v>
      </c>
      <c r="AW56" s="106">
        <f t="shared" si="34"/>
        <v>46255</v>
      </c>
      <c r="AX56" s="107">
        <f t="shared" si="35"/>
        <v>0.819849537037037</v>
      </c>
      <c r="AY56" s="142">
        <v>46255</v>
      </c>
      <c r="AZ56" s="116">
        <v>0.74864583333333334</v>
      </c>
      <c r="BA56" s="41" t="s">
        <v>818</v>
      </c>
      <c r="BB56" s="41">
        <v>0</v>
      </c>
      <c r="BC56" s="41">
        <v>0</v>
      </c>
      <c r="BD56" s="41">
        <v>7.7680730000000002</v>
      </c>
      <c r="BE56" s="41">
        <v>3.5241069999999999</v>
      </c>
      <c r="BF56" s="41">
        <v>15.788277000000001</v>
      </c>
      <c r="BG56" s="41">
        <v>12.247002</v>
      </c>
      <c r="BH56" s="41">
        <v>10.941051</v>
      </c>
      <c r="BI56" s="41">
        <v>0</v>
      </c>
      <c r="BJ56" s="41">
        <v>13.255003</v>
      </c>
      <c r="BK56" s="41">
        <v>8.5485030000000002</v>
      </c>
      <c r="BL56" s="41">
        <v>5.2155560000000003</v>
      </c>
      <c r="BM56" s="41">
        <v>2.6749369999999999</v>
      </c>
      <c r="BN56" s="41">
        <v>0.48102699999999998</v>
      </c>
      <c r="BO56" s="41">
        <v>0.30187900000000001</v>
      </c>
      <c r="BP56" s="41">
        <v>0.57813800000000004</v>
      </c>
      <c r="BQ56" s="41">
        <v>0</v>
      </c>
      <c r="BR56" s="41">
        <v>5.5435689999999997</v>
      </c>
      <c r="BS56" s="41">
        <v>7.5232739999999998</v>
      </c>
      <c r="BT56" s="41">
        <v>3.0499689999999999</v>
      </c>
      <c r="BU56" s="41">
        <v>0.96228199999999997</v>
      </c>
      <c r="BV56" s="41">
        <v>0</v>
      </c>
      <c r="BW56" s="41">
        <v>0.675701</v>
      </c>
      <c r="BX56" s="41">
        <v>0.64193500000000003</v>
      </c>
      <c r="BY56" s="41">
        <v>0</v>
      </c>
      <c r="BZ56" s="41">
        <v>0.11669300000000001</v>
      </c>
      <c r="CA56" s="41">
        <v>2.398E-3</v>
      </c>
      <c r="CB56" s="41">
        <v>0</v>
      </c>
      <c r="CC56" s="41">
        <v>0</v>
      </c>
      <c r="CD56" s="41">
        <v>0</v>
      </c>
      <c r="CE56" s="41">
        <v>0</v>
      </c>
      <c r="CF56" s="41">
        <v>1.0710000000000001E-2</v>
      </c>
      <c r="CG56" s="41">
        <v>0</v>
      </c>
      <c r="CH56" s="41">
        <v>0</v>
      </c>
      <c r="CI56" s="41">
        <v>0</v>
      </c>
      <c r="CJ56" s="41">
        <v>2.3876000000000001E-2</v>
      </c>
      <c r="CK56" s="41">
        <v>0.12603900000000001</v>
      </c>
      <c r="CL56" s="41">
        <v>83.267036000000004</v>
      </c>
      <c r="CM56" s="41">
        <v>16.675523999999999</v>
      </c>
      <c r="CN56" s="41">
        <v>71.307022000000003</v>
      </c>
      <c r="CO56" s="41">
        <v>71.397735999999995</v>
      </c>
      <c r="CP56" s="41">
        <v>72.744147999999996</v>
      </c>
      <c r="CQ56" s="41">
        <v>0.620583</v>
      </c>
    </row>
    <row r="57" spans="1:95">
      <c r="A57" s="76" t="s">
        <v>819</v>
      </c>
      <c r="B57" s="144">
        <v>8</v>
      </c>
      <c r="C57" s="41">
        <v>209.9</v>
      </c>
      <c r="D57" s="41">
        <v>209.9</v>
      </c>
      <c r="E57" s="41">
        <v>25.302399999999999</v>
      </c>
      <c r="F57" s="41">
        <v>25.075199999999999</v>
      </c>
      <c r="G57" s="41">
        <v>1451.48</v>
      </c>
      <c r="H57" s="41">
        <v>1450.63</v>
      </c>
      <c r="I57" s="41">
        <v>1450.91</v>
      </c>
      <c r="J57" s="41">
        <v>1451.24</v>
      </c>
      <c r="K57" s="41">
        <v>1451.08</v>
      </c>
      <c r="L57" s="41">
        <v>1452.08</v>
      </c>
      <c r="M57" s="41">
        <v>1450.74</v>
      </c>
      <c r="N57" s="41">
        <v>1451.16</v>
      </c>
      <c r="O57" s="41">
        <v>0.95090300000000005</v>
      </c>
      <c r="P57" s="41">
        <v>2501.34</v>
      </c>
      <c r="Q57" s="41">
        <v>2499.63</v>
      </c>
      <c r="R57" s="41">
        <v>2500.79</v>
      </c>
      <c r="S57" s="41">
        <v>2498.98</v>
      </c>
      <c r="T57" s="41">
        <v>2499.5500000000002</v>
      </c>
      <c r="U57" s="41">
        <v>2499.7399999999998</v>
      </c>
      <c r="V57" s="41">
        <v>2499.9699999999998</v>
      </c>
      <c r="W57" s="41">
        <v>2499.13</v>
      </c>
      <c r="X57" s="41">
        <v>210.2</v>
      </c>
      <c r="Y57" s="41">
        <v>2.0029599999999999</v>
      </c>
      <c r="Z57" s="41">
        <v>1.99783</v>
      </c>
      <c r="AA57" s="41">
        <v>2.0020899999999999</v>
      </c>
      <c r="AB57" s="41">
        <v>2.0020799999999999</v>
      </c>
      <c r="AC57" s="41">
        <v>2.0015999999999998</v>
      </c>
      <c r="AD57" s="41">
        <v>2.0028600000000001</v>
      </c>
      <c r="AE57" s="41">
        <v>2.0020500000000001</v>
      </c>
      <c r="AF57" s="41">
        <v>2.0008900000000001</v>
      </c>
      <c r="AG57" s="76" t="s">
        <v>820</v>
      </c>
      <c r="AH57" s="41" t="s">
        <v>173</v>
      </c>
      <c r="AI57" s="41">
        <v>36.009222999999999</v>
      </c>
      <c r="AJ57" s="41">
        <v>32.596525999999997</v>
      </c>
      <c r="AK57" s="41">
        <v>5789339</v>
      </c>
      <c r="AL57" s="41">
        <v>1.6166666746139999</v>
      </c>
      <c r="AM57" s="41">
        <v>63.990777000000001</v>
      </c>
      <c r="AN57" s="41">
        <v>57.926189000000001</v>
      </c>
      <c r="AO57" s="41">
        <v>276443222</v>
      </c>
      <c r="AP57" s="41">
        <v>4.0279999999999996</v>
      </c>
      <c r="AR57" s="113">
        <f t="shared" si="0"/>
        <v>57.40628500655523</v>
      </c>
      <c r="AS57" s="113">
        <f t="shared" si="1"/>
        <v>31.300224877098806</v>
      </c>
      <c r="AU57" s="106">
        <f t="shared" si="32"/>
        <v>46255</v>
      </c>
      <c r="AV57" s="107">
        <f t="shared" si="33"/>
        <v>0.83473379629629629</v>
      </c>
      <c r="AW57" s="106">
        <f t="shared" si="34"/>
        <v>46255</v>
      </c>
      <c r="AX57" s="107">
        <f t="shared" si="35"/>
        <v>0.90604166666666663</v>
      </c>
      <c r="AY57" s="142">
        <v>46255</v>
      </c>
      <c r="AZ57" s="116">
        <v>0.83476851851851852</v>
      </c>
      <c r="BA57" s="41" t="s">
        <v>821</v>
      </c>
      <c r="BB57" s="41">
        <v>0</v>
      </c>
      <c r="BC57" s="41">
        <v>0</v>
      </c>
      <c r="BD57" s="41">
        <v>4.2222000000000003E-2</v>
      </c>
      <c r="BE57" s="41">
        <v>1.570303</v>
      </c>
      <c r="BF57" s="41">
        <v>0.28562399999999999</v>
      </c>
      <c r="BG57" s="41">
        <v>12.806910999999999</v>
      </c>
      <c r="BH57" s="41">
        <v>7.507733</v>
      </c>
      <c r="BI57" s="41">
        <v>0</v>
      </c>
      <c r="BJ57" s="41">
        <v>17.827577999999999</v>
      </c>
      <c r="BK57" s="41">
        <v>8.0280869999999993</v>
      </c>
      <c r="BL57" s="41">
        <v>3.6914199999999999</v>
      </c>
      <c r="BM57" s="41">
        <v>0.72086600000000001</v>
      </c>
      <c r="BN57" s="41">
        <v>1.6716999999999999E-2</v>
      </c>
      <c r="BO57" s="41">
        <v>0.30649500000000002</v>
      </c>
      <c r="BP57" s="41">
        <v>0.66830199999999995</v>
      </c>
      <c r="BQ57" s="41">
        <v>0</v>
      </c>
      <c r="BR57" s="41">
        <v>16.094439999999999</v>
      </c>
      <c r="BS57" s="41">
        <v>13.789849999999999</v>
      </c>
      <c r="BT57" s="41">
        <v>0.99842200000000003</v>
      </c>
      <c r="BU57" s="41">
        <v>0.96801899999999996</v>
      </c>
      <c r="BV57" s="41">
        <v>0</v>
      </c>
      <c r="BW57" s="41">
        <v>13.453212000000001</v>
      </c>
      <c r="BX57" s="41">
        <v>0.396069</v>
      </c>
      <c r="BY57" s="41">
        <v>0</v>
      </c>
      <c r="BZ57" s="41">
        <v>0.173461</v>
      </c>
      <c r="CA57" s="41">
        <v>1.6722000000000001E-2</v>
      </c>
      <c r="CB57" s="41">
        <v>0</v>
      </c>
      <c r="CC57" s="41">
        <v>0</v>
      </c>
      <c r="CD57" s="41">
        <v>0</v>
      </c>
      <c r="CE57" s="41">
        <v>0</v>
      </c>
      <c r="CF57" s="41">
        <v>0</v>
      </c>
      <c r="CG57" s="41">
        <v>2.0382999999999998E-2</v>
      </c>
      <c r="CH57" s="41">
        <v>5.0361000000000003E-2</v>
      </c>
      <c r="CI57" s="41">
        <v>0.154443</v>
      </c>
      <c r="CJ57" s="41">
        <v>0.21004500000000001</v>
      </c>
      <c r="CK57" s="41">
        <v>0.202321</v>
      </c>
      <c r="CL57" s="41">
        <v>83.867194999999995</v>
      </c>
      <c r="CM57" s="41">
        <v>16.167764999999999</v>
      </c>
      <c r="CN57" s="41">
        <v>41.648434000000002</v>
      </c>
      <c r="CO57" s="41">
        <v>40.304264000000003</v>
      </c>
      <c r="CP57" s="41">
        <v>89.0839</v>
      </c>
      <c r="CQ57" s="41">
        <v>0.66695400000000005</v>
      </c>
    </row>
    <row r="58" spans="1:95">
      <c r="A58" s="76" t="s">
        <v>822</v>
      </c>
      <c r="B58" s="144">
        <v>1</v>
      </c>
      <c r="C58" s="41">
        <v>210</v>
      </c>
      <c r="D58" s="41">
        <v>210</v>
      </c>
      <c r="E58" s="41">
        <v>25.1982</v>
      </c>
      <c r="F58" s="41">
        <v>25.068000000000001</v>
      </c>
      <c r="G58" s="41">
        <v>1415.8</v>
      </c>
      <c r="H58" s="41">
        <v>1415.52</v>
      </c>
      <c r="I58" s="41">
        <v>1415.98</v>
      </c>
      <c r="J58" s="41">
        <v>1415.9</v>
      </c>
      <c r="K58" s="41">
        <v>1416.35</v>
      </c>
      <c r="L58" s="41">
        <v>1416.73</v>
      </c>
      <c r="M58" s="41">
        <v>1415.64</v>
      </c>
      <c r="N58" s="41">
        <v>1415.75</v>
      </c>
      <c r="O58" s="41">
        <v>0.95868799999999998</v>
      </c>
      <c r="P58" s="41">
        <v>2497.88</v>
      </c>
      <c r="Q58" s="41">
        <v>2500.5300000000002</v>
      </c>
      <c r="R58" s="41">
        <v>2499.56</v>
      </c>
      <c r="S58" s="41">
        <v>2500.31</v>
      </c>
      <c r="T58" s="41">
        <v>2500.11</v>
      </c>
      <c r="U58" s="41">
        <v>2499.0500000000002</v>
      </c>
      <c r="V58" s="41">
        <v>2498.6</v>
      </c>
      <c r="W58" s="41">
        <v>2499.42</v>
      </c>
      <c r="X58" s="41">
        <v>210</v>
      </c>
      <c r="Y58" s="41">
        <v>1.99899</v>
      </c>
      <c r="Z58" s="41">
        <v>1.9995799999999999</v>
      </c>
      <c r="AA58" s="41">
        <v>2.0022700000000002</v>
      </c>
      <c r="AB58" s="41">
        <v>1.9874700000000001</v>
      </c>
      <c r="AC58" s="41">
        <v>2.0001899999999999</v>
      </c>
      <c r="AD58" s="41">
        <v>2.00074</v>
      </c>
      <c r="AE58" s="41">
        <v>2.0006300000000001</v>
      </c>
      <c r="AF58" s="41">
        <v>2.0011199999999998</v>
      </c>
      <c r="AG58" s="76" t="s">
        <v>823</v>
      </c>
      <c r="AH58" s="41" t="s">
        <v>173</v>
      </c>
      <c r="AI58" s="41">
        <v>37.316431000000001</v>
      </c>
      <c r="AJ58" s="41">
        <v>34.145347000000001</v>
      </c>
      <c r="AK58" s="41">
        <v>6064419</v>
      </c>
      <c r="AL58" s="41">
        <v>1.6150000095367001</v>
      </c>
      <c r="AM58" s="41">
        <v>62.683568999999999</v>
      </c>
      <c r="AN58" s="41">
        <v>57.356831999999997</v>
      </c>
      <c r="AO58" s="41">
        <v>273726056</v>
      </c>
      <c r="AP58" s="41">
        <v>4.03</v>
      </c>
      <c r="AR58" s="113">
        <f t="shared" si="0"/>
        <v>56.830135869167641</v>
      </c>
      <c r="AS58" s="113">
        <f t="shared" si="1"/>
        <v>32.835192428951672</v>
      </c>
      <c r="AU58" s="106">
        <f t="shared" si="32"/>
        <v>46255</v>
      </c>
      <c r="AV58" s="107">
        <f t="shared" si="33"/>
        <v>0.92087962962962966</v>
      </c>
      <c r="AW58" s="106">
        <f t="shared" si="34"/>
        <v>46255</v>
      </c>
      <c r="AX58" s="107">
        <f t="shared" si="35"/>
        <v>0.99216435185185181</v>
      </c>
      <c r="AY58" s="142">
        <v>46255</v>
      </c>
      <c r="AZ58" s="116">
        <v>0.92091435185185189</v>
      </c>
      <c r="BA58" s="41" t="s">
        <v>824</v>
      </c>
      <c r="BB58" s="41">
        <v>0</v>
      </c>
      <c r="BC58" s="41">
        <v>0</v>
      </c>
      <c r="BD58" s="41">
        <v>0.14174900000000001</v>
      </c>
      <c r="BE58" s="41">
        <v>1.645691</v>
      </c>
      <c r="BF58" s="41">
        <v>0.65792799999999996</v>
      </c>
      <c r="BG58" s="41">
        <v>12.769761000000001</v>
      </c>
      <c r="BH58" s="41">
        <v>7.6705220000000001</v>
      </c>
      <c r="BI58" s="41">
        <v>0</v>
      </c>
      <c r="BJ58" s="41">
        <v>17.680426000000001</v>
      </c>
      <c r="BK58" s="41">
        <v>7.7918279999999998</v>
      </c>
      <c r="BL58" s="41">
        <v>3.8495240000000002</v>
      </c>
      <c r="BM58" s="41">
        <v>0.91436099999999998</v>
      </c>
      <c r="BN58" s="41">
        <v>4.6292E-2</v>
      </c>
      <c r="BO58" s="41">
        <v>0.34815200000000002</v>
      </c>
      <c r="BP58" s="41">
        <v>0.67912600000000001</v>
      </c>
      <c r="BQ58" s="41">
        <v>0</v>
      </c>
      <c r="BR58" s="41">
        <v>15.772957</v>
      </c>
      <c r="BS58" s="41">
        <v>13.2126</v>
      </c>
      <c r="BT58" s="41">
        <v>1.85324</v>
      </c>
      <c r="BU58" s="41">
        <v>1.1097220000000001</v>
      </c>
      <c r="BV58" s="41">
        <v>0</v>
      </c>
      <c r="BW58" s="41">
        <v>12.876481999999999</v>
      </c>
      <c r="BX58" s="41">
        <v>0.53129800000000005</v>
      </c>
      <c r="BY58" s="41">
        <v>0</v>
      </c>
      <c r="BZ58" s="41">
        <v>0.15962399999999999</v>
      </c>
      <c r="CA58" s="41">
        <v>2.0413000000000001E-2</v>
      </c>
      <c r="CB58" s="41">
        <v>0</v>
      </c>
      <c r="CC58" s="41">
        <v>0</v>
      </c>
      <c r="CD58" s="41">
        <v>0</v>
      </c>
      <c r="CE58" s="41">
        <v>0</v>
      </c>
      <c r="CF58" s="41">
        <v>8.4320000000000003E-3</v>
      </c>
      <c r="CG58" s="41">
        <v>2.16E-3</v>
      </c>
      <c r="CH58" s="41">
        <v>0</v>
      </c>
      <c r="CI58" s="41">
        <v>4.8883999999999997E-2</v>
      </c>
      <c r="CJ58" s="41">
        <v>6.0474E-2</v>
      </c>
      <c r="CK58" s="41">
        <v>0.148372</v>
      </c>
      <c r="CL58" s="41">
        <v>83.738456999999997</v>
      </c>
      <c r="CM58" s="41">
        <v>16.231327</v>
      </c>
      <c r="CN58" s="41">
        <v>43.624980999999998</v>
      </c>
      <c r="CO58" s="41">
        <v>41.942050999999999</v>
      </c>
      <c r="CP58" s="41">
        <v>88.538155000000003</v>
      </c>
      <c r="CQ58" s="41">
        <v>0.66387300000000005</v>
      </c>
    </row>
    <row r="59" spans="1:95" ht="15.75" customHeight="1">
      <c r="A59" s="76" t="s">
        <v>825</v>
      </c>
      <c r="B59" s="144">
        <v>2</v>
      </c>
      <c r="C59" s="41">
        <v>210</v>
      </c>
      <c r="D59" s="41">
        <v>209.9</v>
      </c>
      <c r="E59" s="41">
        <v>25.271999999999998</v>
      </c>
      <c r="F59" s="41">
        <v>25.068000000000001</v>
      </c>
      <c r="G59" s="41">
        <v>1454.89</v>
      </c>
      <c r="H59" s="41">
        <v>1453.83</v>
      </c>
      <c r="I59" s="41">
        <v>1454.46</v>
      </c>
      <c r="J59" s="41">
        <v>1452.44</v>
      </c>
      <c r="K59" s="41">
        <v>1454.19</v>
      </c>
      <c r="L59" s="41">
        <v>1454.74</v>
      </c>
      <c r="M59" s="41">
        <v>1454.49</v>
      </c>
      <c r="N59" s="41">
        <v>1454.22</v>
      </c>
      <c r="O59" s="41">
        <v>0.94362100000000004</v>
      </c>
      <c r="P59" s="41">
        <v>2499.7199999999998</v>
      </c>
      <c r="Q59" s="41">
        <v>2500.41</v>
      </c>
      <c r="R59" s="41">
        <v>2498.98</v>
      </c>
      <c r="S59" s="41">
        <v>2500.09</v>
      </c>
      <c r="T59" s="41">
        <v>2499.92</v>
      </c>
      <c r="U59" s="41">
        <v>2500.37</v>
      </c>
      <c r="V59" s="41">
        <v>2500.1999999999998</v>
      </c>
      <c r="W59" s="41">
        <v>2500.34</v>
      </c>
      <c r="X59" s="41">
        <v>210.1</v>
      </c>
      <c r="Y59" s="41">
        <v>1.99946</v>
      </c>
      <c r="Z59" s="41">
        <v>1.9948600000000001</v>
      </c>
      <c r="AA59" s="41">
        <v>1.99895</v>
      </c>
      <c r="AB59" s="41">
        <v>1.9968399999999999</v>
      </c>
      <c r="AC59" s="41">
        <v>1.9991000000000001</v>
      </c>
      <c r="AD59" s="41">
        <v>1.9963900000000001</v>
      </c>
      <c r="AE59" s="41">
        <v>2.0008300000000001</v>
      </c>
      <c r="AF59" s="41">
        <v>1.9961</v>
      </c>
      <c r="AG59" s="76" t="s">
        <v>826</v>
      </c>
      <c r="AH59" s="41" t="s">
        <v>173</v>
      </c>
      <c r="AI59" s="41">
        <v>34.924715999999997</v>
      </c>
      <c r="AJ59" s="41">
        <v>31.303788000000001</v>
      </c>
      <c r="AK59" s="41">
        <v>5559741</v>
      </c>
      <c r="AL59" s="41">
        <v>1.6150000095367001</v>
      </c>
      <c r="AM59" s="41">
        <v>65.075283999999996</v>
      </c>
      <c r="AN59" s="41">
        <v>58.328403999999999</v>
      </c>
      <c r="AO59" s="41">
        <v>278362724</v>
      </c>
      <c r="AP59" s="41">
        <v>4.03</v>
      </c>
      <c r="AR59" s="113">
        <f t="shared" si="0"/>
        <v>57.813297099858971</v>
      </c>
      <c r="AS59" s="113">
        <f t="shared" si="1"/>
        <v>30.019050382514273</v>
      </c>
      <c r="AU59" s="106">
        <f t="shared" si="32"/>
        <v>46256</v>
      </c>
      <c r="AV59" s="107">
        <f t="shared" si="33"/>
        <v>7.0023148148148145E-3</v>
      </c>
      <c r="AW59" s="106">
        <f t="shared" si="34"/>
        <v>46256</v>
      </c>
      <c r="AX59" s="107">
        <f t="shared" si="35"/>
        <v>7.8275462962962963E-2</v>
      </c>
      <c r="AY59" s="142">
        <v>46256</v>
      </c>
      <c r="AZ59" s="116">
        <v>7.0254629629629634E-3</v>
      </c>
      <c r="BA59" s="41" t="s">
        <v>827</v>
      </c>
      <c r="BB59" s="41">
        <v>0</v>
      </c>
      <c r="BC59" s="41">
        <v>0</v>
      </c>
      <c r="BD59" s="41">
        <v>1.9113180000000001</v>
      </c>
      <c r="BE59" s="41">
        <v>2.4961319999999998</v>
      </c>
      <c r="BF59" s="41">
        <v>4.8176569999999996</v>
      </c>
      <c r="BG59" s="41">
        <v>12.689608</v>
      </c>
      <c r="BH59" s="41">
        <v>8.8782010000000007</v>
      </c>
      <c r="BI59" s="41">
        <v>0</v>
      </c>
      <c r="BJ59" s="41">
        <v>16.714818999999999</v>
      </c>
      <c r="BK59" s="41">
        <v>7.7590779999999997</v>
      </c>
      <c r="BL59" s="41">
        <v>4.2482410000000002</v>
      </c>
      <c r="BM59" s="41">
        <v>1.516445</v>
      </c>
      <c r="BN59" s="41">
        <v>8.4598000000000007E-2</v>
      </c>
      <c r="BO59" s="41">
        <v>0.39451900000000001</v>
      </c>
      <c r="BP59" s="41">
        <v>0.634293</v>
      </c>
      <c r="BQ59" s="41">
        <v>0</v>
      </c>
      <c r="BR59" s="41">
        <v>12.888361</v>
      </c>
      <c r="BS59" s="41">
        <v>12.292310000000001</v>
      </c>
      <c r="BT59" s="41">
        <v>3.163306</v>
      </c>
      <c r="BU59" s="41">
        <v>1.1093569999999999</v>
      </c>
      <c r="BV59" s="41">
        <v>0</v>
      </c>
      <c r="BW59" s="41">
        <v>7.442234</v>
      </c>
      <c r="BX59" s="41">
        <v>0.71564700000000003</v>
      </c>
      <c r="BY59" s="41">
        <v>0</v>
      </c>
      <c r="BZ59" s="41">
        <v>9.6514000000000003E-2</v>
      </c>
      <c r="CA59" s="41">
        <v>3.447E-3</v>
      </c>
      <c r="CB59" s="41">
        <v>0</v>
      </c>
      <c r="CC59" s="41">
        <v>0</v>
      </c>
      <c r="CD59" s="41">
        <v>0</v>
      </c>
      <c r="CE59" s="41">
        <v>0</v>
      </c>
      <c r="CF59" s="41">
        <v>8.7410000000000005E-3</v>
      </c>
      <c r="CG59" s="41">
        <v>0</v>
      </c>
      <c r="CH59" s="41">
        <v>0</v>
      </c>
      <c r="CI59" s="41">
        <v>6.1469999999999997E-3</v>
      </c>
      <c r="CJ59" s="41">
        <v>6.6229999999999997E-2</v>
      </c>
      <c r="CK59" s="41">
        <v>6.2819E-2</v>
      </c>
      <c r="CL59" s="41">
        <v>83.576042000000001</v>
      </c>
      <c r="CM59" s="41">
        <v>16.369125</v>
      </c>
      <c r="CN59" s="41">
        <v>52.603386</v>
      </c>
      <c r="CO59" s="41">
        <v>50.890472000000003</v>
      </c>
      <c r="CP59" s="41">
        <v>83.360016000000002</v>
      </c>
      <c r="CQ59" s="41">
        <v>0.65030299999999996</v>
      </c>
    </row>
    <row r="60" spans="1:95">
      <c r="A60" s="76" t="s">
        <v>828</v>
      </c>
      <c r="B60" s="144">
        <v>3</v>
      </c>
      <c r="C60" s="41">
        <v>210</v>
      </c>
      <c r="D60" s="41">
        <v>209.9</v>
      </c>
      <c r="E60" s="41">
        <v>25.221399999999999</v>
      </c>
      <c r="F60" s="41">
        <v>25.069400000000002</v>
      </c>
      <c r="G60" s="41">
        <v>1433.22</v>
      </c>
      <c r="H60" s="41">
        <v>1433.12</v>
      </c>
      <c r="I60" s="41">
        <v>1433.15</v>
      </c>
      <c r="J60" s="41">
        <v>1431.71</v>
      </c>
      <c r="K60" s="41">
        <v>1432.11</v>
      </c>
      <c r="L60" s="41">
        <v>1433.38</v>
      </c>
      <c r="M60" s="41">
        <v>1432.54</v>
      </c>
      <c r="N60" s="41">
        <v>1432.83</v>
      </c>
      <c r="O60" s="41">
        <v>0.92800800000000006</v>
      </c>
      <c r="P60" s="41">
        <v>2499.66</v>
      </c>
      <c r="Q60" s="41">
        <v>2500.9</v>
      </c>
      <c r="R60" s="41">
        <v>2500.0700000000002</v>
      </c>
      <c r="S60" s="41">
        <v>2499.61</v>
      </c>
      <c r="T60" s="41">
        <v>2500.12</v>
      </c>
      <c r="U60" s="41">
        <v>2500.15</v>
      </c>
      <c r="V60" s="41">
        <v>2498.9699999999998</v>
      </c>
      <c r="W60" s="41">
        <v>2498.0500000000002</v>
      </c>
      <c r="X60" s="41">
        <v>210.2</v>
      </c>
      <c r="Y60" s="41">
        <v>2.00013</v>
      </c>
      <c r="Z60" s="41">
        <v>2.0008699999999999</v>
      </c>
      <c r="AA60" s="41">
        <v>1.9985599999999999</v>
      </c>
      <c r="AB60" s="41">
        <v>2.0251800000000002</v>
      </c>
      <c r="AC60" s="41">
        <v>1.99952</v>
      </c>
      <c r="AD60" s="41">
        <v>1.99912</v>
      </c>
      <c r="AE60" s="41">
        <v>2.0009199999999998</v>
      </c>
      <c r="AF60" s="41">
        <v>1.9994000000000001</v>
      </c>
      <c r="AG60" s="76" t="s">
        <v>829</v>
      </c>
      <c r="AH60" s="41" t="s">
        <v>173</v>
      </c>
      <c r="AI60" s="41">
        <v>33.595708000000002</v>
      </c>
      <c r="AJ60" s="41">
        <v>29.553943</v>
      </c>
      <c r="AK60" s="41">
        <v>5248958</v>
      </c>
      <c r="AL60" s="41">
        <v>1.6150000095367001</v>
      </c>
      <c r="AM60" s="41">
        <v>66.404291999999998</v>
      </c>
      <c r="AN60" s="41">
        <v>58.415458000000001</v>
      </c>
      <c r="AO60" s="41">
        <v>278778177</v>
      </c>
      <c r="AP60" s="41">
        <v>4.0330000000000004</v>
      </c>
      <c r="AR60" s="113">
        <f t="shared" si="0"/>
        <v>57.901389946440702</v>
      </c>
      <c r="AS60" s="113">
        <f t="shared" si="1"/>
        <v>28.28485734533422</v>
      </c>
      <c r="AU60" s="106">
        <f t="shared" si="32"/>
        <v>46256</v>
      </c>
      <c r="AV60" s="107">
        <f t="shared" si="33"/>
        <v>9.3113425925925933E-2</v>
      </c>
      <c r="AW60" s="106">
        <f t="shared" si="34"/>
        <v>46256</v>
      </c>
      <c r="AX60" s="107">
        <f t="shared" si="35"/>
        <v>0.16440972222222222</v>
      </c>
      <c r="AY60" s="142">
        <v>46256</v>
      </c>
      <c r="AZ60" s="116">
        <v>9.3148148148148147E-2</v>
      </c>
      <c r="BA60" s="41" t="s">
        <v>830</v>
      </c>
      <c r="BB60" s="41">
        <v>0</v>
      </c>
      <c r="BC60" s="41">
        <v>0</v>
      </c>
      <c r="BD60" s="41">
        <v>7.5914950000000001</v>
      </c>
      <c r="BE60" s="41">
        <v>3.4574039999999999</v>
      </c>
      <c r="BF60" s="41">
        <v>16.028065000000002</v>
      </c>
      <c r="BG60" s="41">
        <v>12.257020000000001</v>
      </c>
      <c r="BH60" s="41">
        <v>11.001996</v>
      </c>
      <c r="BI60" s="41">
        <v>0</v>
      </c>
      <c r="BJ60" s="41">
        <v>13.227259</v>
      </c>
      <c r="BK60" s="41">
        <v>8.5526309999999999</v>
      </c>
      <c r="BL60" s="41">
        <v>5.20364</v>
      </c>
      <c r="BM60" s="41">
        <v>2.7004250000000001</v>
      </c>
      <c r="BN60" s="41">
        <v>0.50086699999999995</v>
      </c>
      <c r="BO60" s="41">
        <v>0.287273</v>
      </c>
      <c r="BP60" s="41">
        <v>0.54053899999999999</v>
      </c>
      <c r="BQ60" s="41">
        <v>0</v>
      </c>
      <c r="BR60" s="41">
        <v>5.4518820000000003</v>
      </c>
      <c r="BS60" s="41">
        <v>7.4954939999999999</v>
      </c>
      <c r="BT60" s="41">
        <v>3.1327189999999998</v>
      </c>
      <c r="BU60" s="41">
        <v>0.92362999999999995</v>
      </c>
      <c r="BV60" s="41">
        <v>0</v>
      </c>
      <c r="BW60" s="41">
        <v>0.63063999999999998</v>
      </c>
      <c r="BX60" s="41">
        <v>0.67277900000000002</v>
      </c>
      <c r="BY60" s="41">
        <v>0</v>
      </c>
      <c r="BZ60" s="41">
        <v>0.13037499999999999</v>
      </c>
      <c r="CA60" s="41">
        <v>3.4989999999999999E-3</v>
      </c>
      <c r="CB60" s="41">
        <v>0</v>
      </c>
      <c r="CC60" s="41">
        <v>0</v>
      </c>
      <c r="CD60" s="41">
        <v>0</v>
      </c>
      <c r="CE60" s="41">
        <v>0</v>
      </c>
      <c r="CF60" s="41">
        <v>8.9899999999999997E-3</v>
      </c>
      <c r="CG60" s="41">
        <v>0</v>
      </c>
      <c r="CH60" s="41">
        <v>0</v>
      </c>
      <c r="CI60" s="41">
        <v>0</v>
      </c>
      <c r="CJ60" s="41">
        <v>2.1343000000000001E-2</v>
      </c>
      <c r="CK60" s="41">
        <v>0.18002499999999999</v>
      </c>
      <c r="CL60" s="41">
        <v>83.279831000000001</v>
      </c>
      <c r="CM60" s="41">
        <v>16.667366000000001</v>
      </c>
      <c r="CN60" s="41">
        <v>71.401336999999998</v>
      </c>
      <c r="CO60" s="41">
        <v>71.458838999999998</v>
      </c>
      <c r="CP60" s="41">
        <v>72.796195999999995</v>
      </c>
      <c r="CQ60" s="41">
        <v>0.61988600000000005</v>
      </c>
    </row>
    <row r="61" spans="1:95" ht="18" customHeight="1">
      <c r="A61" s="76" t="s">
        <v>831</v>
      </c>
      <c r="B61" s="144">
        <v>4</v>
      </c>
      <c r="C61" s="41">
        <v>210.1</v>
      </c>
      <c r="D61" s="41">
        <v>210.1</v>
      </c>
      <c r="E61" s="41">
        <v>25.316800000000001</v>
      </c>
      <c r="F61" s="41">
        <v>25.044799999999999</v>
      </c>
      <c r="G61" s="41">
        <v>1437.1</v>
      </c>
      <c r="H61" s="41">
        <v>1436.48</v>
      </c>
      <c r="I61" s="41">
        <v>1435.54</v>
      </c>
      <c r="J61" s="41">
        <v>1434.66</v>
      </c>
      <c r="K61" s="41">
        <v>1436.89</v>
      </c>
      <c r="L61" s="41">
        <v>1436.64</v>
      </c>
      <c r="M61" s="41">
        <v>1436.99</v>
      </c>
      <c r="N61" s="41">
        <v>1436.73</v>
      </c>
      <c r="O61" s="41">
        <v>0.91920900000000005</v>
      </c>
      <c r="P61" s="41">
        <v>2499.12</v>
      </c>
      <c r="Q61" s="41">
        <v>2499.91</v>
      </c>
      <c r="R61" s="41">
        <v>2500</v>
      </c>
      <c r="S61" s="41">
        <v>2499.56</v>
      </c>
      <c r="T61" s="41">
        <v>2499.9</v>
      </c>
      <c r="U61" s="41">
        <v>2500.59</v>
      </c>
      <c r="V61" s="41">
        <v>2500.23</v>
      </c>
      <c r="W61" s="41">
        <v>2500.66</v>
      </c>
      <c r="X61" s="41">
        <v>210.1</v>
      </c>
      <c r="Y61" s="41">
        <v>1.99916</v>
      </c>
      <c r="Z61" s="41">
        <v>2.00163</v>
      </c>
      <c r="AA61" s="41">
        <v>2.00027</v>
      </c>
      <c r="AB61" s="41">
        <v>1.9974099999999999</v>
      </c>
      <c r="AC61" s="41">
        <v>1.99814</v>
      </c>
      <c r="AD61" s="41">
        <v>2.0036200000000002</v>
      </c>
      <c r="AE61" s="41">
        <v>1.9978499999999999</v>
      </c>
      <c r="AF61" s="41">
        <v>1.99868</v>
      </c>
      <c r="AG61" s="76" t="s">
        <v>832</v>
      </c>
      <c r="AH61" s="41" t="s">
        <v>173</v>
      </c>
      <c r="AI61" s="41">
        <v>36.779077000000001</v>
      </c>
      <c r="AJ61" s="41">
        <v>33.443474000000002</v>
      </c>
      <c r="AK61" s="41">
        <v>5939762</v>
      </c>
      <c r="AL61" s="41">
        <v>1.6166666746139999</v>
      </c>
      <c r="AM61" s="41">
        <v>63.220922999999999</v>
      </c>
      <c r="AN61" s="41">
        <v>57.487231000000001</v>
      </c>
      <c r="AO61" s="41">
        <v>274348368</v>
      </c>
      <c r="AP61" s="41">
        <v>4.0350000000000001</v>
      </c>
      <c r="AR61" s="113">
        <f t="shared" si="0"/>
        <v>56.962091193938356</v>
      </c>
      <c r="AS61" s="113">
        <f t="shared" si="1"/>
        <v>32.139596783643675</v>
      </c>
      <c r="AU61" s="106">
        <f t="shared" si="32"/>
        <v>46256</v>
      </c>
      <c r="AV61" s="107">
        <f t="shared" si="33"/>
        <v>0.17924768518518519</v>
      </c>
      <c r="AW61" s="106">
        <f t="shared" si="34"/>
        <v>46256</v>
      </c>
      <c r="AX61" s="107">
        <f t="shared" si="35"/>
        <v>0.25049768518518517</v>
      </c>
      <c r="AY61" s="142">
        <v>46256</v>
      </c>
      <c r="AZ61" s="116">
        <v>0.17927083333333332</v>
      </c>
      <c r="BA61" s="41" t="s">
        <v>833</v>
      </c>
      <c r="BB61" s="41">
        <v>0</v>
      </c>
      <c r="BC61" s="41">
        <v>0</v>
      </c>
      <c r="BD61" s="41">
        <v>4.1374000000000001E-2</v>
      </c>
      <c r="BE61" s="41">
        <v>1.5685389999999999</v>
      </c>
      <c r="BF61" s="41">
        <v>0.28455599999999998</v>
      </c>
      <c r="BG61" s="41">
        <v>12.779975</v>
      </c>
      <c r="BH61" s="41">
        <v>7.4934640000000003</v>
      </c>
      <c r="BI61" s="41">
        <v>0</v>
      </c>
      <c r="BJ61" s="41">
        <v>17.822127999999999</v>
      </c>
      <c r="BK61" s="41">
        <v>8.0240379999999991</v>
      </c>
      <c r="BL61" s="41">
        <v>3.6887799999999999</v>
      </c>
      <c r="BM61" s="41">
        <v>0.72012799999999999</v>
      </c>
      <c r="BN61" s="41">
        <v>1.6761000000000002E-2</v>
      </c>
      <c r="BO61" s="41">
        <v>0.30702099999999999</v>
      </c>
      <c r="BP61" s="41">
        <v>0.66898100000000005</v>
      </c>
      <c r="BQ61" s="41">
        <v>0</v>
      </c>
      <c r="BR61" s="41">
        <v>16.124341999999999</v>
      </c>
      <c r="BS61" s="41">
        <v>13.803901</v>
      </c>
      <c r="BT61" s="41">
        <v>1.0000610000000001</v>
      </c>
      <c r="BU61" s="41">
        <v>0.96723199999999998</v>
      </c>
      <c r="BV61" s="41">
        <v>0</v>
      </c>
      <c r="BW61" s="41">
        <v>13.473094</v>
      </c>
      <c r="BX61" s="41">
        <v>0.39686199999999999</v>
      </c>
      <c r="BY61" s="41">
        <v>0</v>
      </c>
      <c r="BZ61" s="41">
        <v>0.17379600000000001</v>
      </c>
      <c r="CA61" s="41">
        <v>1.7042000000000002E-2</v>
      </c>
      <c r="CB61" s="41">
        <v>0</v>
      </c>
      <c r="CC61" s="41">
        <v>0</v>
      </c>
      <c r="CD61" s="41">
        <v>0</v>
      </c>
      <c r="CE61" s="41">
        <v>0</v>
      </c>
      <c r="CF61" s="41">
        <v>0</v>
      </c>
      <c r="CG61" s="41">
        <v>1.9175999999999999E-2</v>
      </c>
      <c r="CH61" s="41">
        <v>4.3623000000000002E-2</v>
      </c>
      <c r="CI61" s="41">
        <v>0.15632299999999999</v>
      </c>
      <c r="CJ61" s="41">
        <v>0.20691100000000001</v>
      </c>
      <c r="CK61" s="41">
        <v>0.20186000000000001</v>
      </c>
      <c r="CL61" s="41">
        <v>83.867103999999998</v>
      </c>
      <c r="CM61" s="41">
        <v>16.168879</v>
      </c>
      <c r="CN61" s="41">
        <v>41.623832999999998</v>
      </c>
      <c r="CO61" s="41">
        <v>40.280845999999997</v>
      </c>
      <c r="CP61" s="41">
        <v>89.100127999999998</v>
      </c>
      <c r="CQ61" s="41">
        <v>0.66498299999999999</v>
      </c>
    </row>
    <row r="62" spans="1:95">
      <c r="A62" s="76" t="s">
        <v>834</v>
      </c>
      <c r="B62" s="144">
        <v>5</v>
      </c>
      <c r="C62" s="41">
        <v>210</v>
      </c>
      <c r="D62" s="41">
        <v>210</v>
      </c>
      <c r="E62" s="41">
        <v>25.3429</v>
      </c>
      <c r="F62" s="41">
        <v>25.044799999999999</v>
      </c>
      <c r="G62" s="41">
        <v>1429.59</v>
      </c>
      <c r="H62" s="41">
        <v>1430.37</v>
      </c>
      <c r="I62" s="41">
        <v>1429.49</v>
      </c>
      <c r="J62" s="41">
        <v>1430.4</v>
      </c>
      <c r="K62" s="41">
        <v>1429.82</v>
      </c>
      <c r="L62" s="41">
        <v>1429.3</v>
      </c>
      <c r="M62" s="41">
        <v>1430</v>
      </c>
      <c r="N62" s="41">
        <v>1429.9</v>
      </c>
      <c r="O62" s="41">
        <v>0.98609599999999997</v>
      </c>
      <c r="P62" s="41">
        <v>2499.65</v>
      </c>
      <c r="Q62" s="41">
        <v>2499.21</v>
      </c>
      <c r="R62" s="41">
        <v>2499.52</v>
      </c>
      <c r="S62" s="41">
        <v>2500.39</v>
      </c>
      <c r="T62" s="41">
        <v>2500.16</v>
      </c>
      <c r="U62" s="41">
        <v>2500.5</v>
      </c>
      <c r="V62" s="41">
        <v>2501.3000000000002</v>
      </c>
      <c r="W62" s="41">
        <v>2499.4899999999998</v>
      </c>
      <c r="X62" s="41">
        <v>209.9</v>
      </c>
      <c r="Y62" s="41">
        <v>1.998</v>
      </c>
      <c r="Z62" s="41">
        <v>2.00325</v>
      </c>
      <c r="AA62" s="41">
        <v>2.0000399999999998</v>
      </c>
      <c r="AB62" s="41">
        <v>2.01885</v>
      </c>
      <c r="AC62" s="41">
        <v>1.9974799999999999</v>
      </c>
      <c r="AD62" s="41">
        <v>1.9967699999999999</v>
      </c>
      <c r="AE62" s="41">
        <v>1.9999400000000001</v>
      </c>
      <c r="AF62" s="41">
        <v>2.0013200000000002</v>
      </c>
      <c r="AG62" s="76" t="s">
        <v>835</v>
      </c>
      <c r="AH62" s="41" t="s">
        <v>173</v>
      </c>
      <c r="AI62" s="41">
        <v>36.777245999999998</v>
      </c>
      <c r="AJ62" s="41">
        <v>33.197778</v>
      </c>
      <c r="AK62" s="41">
        <v>5896125</v>
      </c>
      <c r="AL62" s="41">
        <v>1.6166666746139999</v>
      </c>
      <c r="AM62" s="41">
        <v>63.222754000000002</v>
      </c>
      <c r="AN62" s="41">
        <v>57.069389000000001</v>
      </c>
      <c r="AO62" s="41">
        <v>272354285</v>
      </c>
      <c r="AP62" s="41">
        <v>4.0350000000000001</v>
      </c>
      <c r="AR62" s="113">
        <f t="shared" si="0"/>
        <v>56.539264910844409</v>
      </c>
      <c r="AS62" s="113">
        <f t="shared" si="1"/>
        <v>31.896098968243784</v>
      </c>
      <c r="AU62" s="106">
        <f t="shared" si="32"/>
        <v>46256</v>
      </c>
      <c r="AV62" s="107">
        <f t="shared" si="33"/>
        <v>0.26538194444444446</v>
      </c>
      <c r="AW62" s="106">
        <f t="shared" si="34"/>
        <v>46256</v>
      </c>
      <c r="AX62" s="107">
        <f t="shared" si="35"/>
        <v>0.33662037037037035</v>
      </c>
      <c r="AY62" s="142">
        <v>46256</v>
      </c>
      <c r="AZ62" s="116">
        <v>0.2654050925925926</v>
      </c>
      <c r="BA62" s="41" t="s">
        <v>836</v>
      </c>
      <c r="BB62" s="41">
        <v>0</v>
      </c>
      <c r="BC62" s="41">
        <v>0</v>
      </c>
      <c r="BD62" s="41">
        <v>0.23669899999999999</v>
      </c>
      <c r="BE62" s="41">
        <v>1.7166650000000001</v>
      </c>
      <c r="BF62" s="41">
        <v>1.0431330000000001</v>
      </c>
      <c r="BG62" s="41">
        <v>12.755369999999999</v>
      </c>
      <c r="BH62" s="41">
        <v>7.8782909999999999</v>
      </c>
      <c r="BI62" s="41">
        <v>0</v>
      </c>
      <c r="BJ62" s="41">
        <v>17.510548</v>
      </c>
      <c r="BK62" s="41">
        <v>7.6447839999999996</v>
      </c>
      <c r="BL62" s="41">
        <v>3.9730919999999998</v>
      </c>
      <c r="BM62" s="41">
        <v>1.080382</v>
      </c>
      <c r="BN62" s="41">
        <v>8.6036000000000001E-2</v>
      </c>
      <c r="BO62" s="41">
        <v>0.33707199999999998</v>
      </c>
      <c r="BP62" s="41">
        <v>0.67126699999999995</v>
      </c>
      <c r="BQ62" s="41">
        <v>0</v>
      </c>
      <c r="BR62" s="41">
        <v>15.311999999999999</v>
      </c>
      <c r="BS62" s="41">
        <v>12.831538</v>
      </c>
      <c r="BT62" s="41">
        <v>2.446237</v>
      </c>
      <c r="BU62" s="41">
        <v>1.0877190000000001</v>
      </c>
      <c r="BV62" s="41">
        <v>0</v>
      </c>
      <c r="BW62" s="41">
        <v>12.248986</v>
      </c>
      <c r="BX62" s="41">
        <v>0.63131099999999996</v>
      </c>
      <c r="BY62" s="41">
        <v>0</v>
      </c>
      <c r="BZ62" s="41">
        <v>0.14385300000000001</v>
      </c>
      <c r="CA62" s="41">
        <v>2.3331000000000001E-2</v>
      </c>
      <c r="CB62" s="41">
        <v>0</v>
      </c>
      <c r="CC62" s="41">
        <v>0</v>
      </c>
      <c r="CD62" s="41">
        <v>0</v>
      </c>
      <c r="CE62" s="41">
        <v>0</v>
      </c>
      <c r="CF62" s="41">
        <v>9.9889999999999996E-3</v>
      </c>
      <c r="CG62" s="41">
        <v>3.787E-3</v>
      </c>
      <c r="CH62" s="41">
        <v>0</v>
      </c>
      <c r="CI62" s="41">
        <v>7.6153999999999999E-2</v>
      </c>
      <c r="CJ62" s="41">
        <v>7.2080000000000005E-2</v>
      </c>
      <c r="CK62" s="41">
        <v>0.180697</v>
      </c>
      <c r="CL62" s="41">
        <v>83.757544999999993</v>
      </c>
      <c r="CM62" s="41">
        <v>16.228778999999999</v>
      </c>
      <c r="CN62" s="41">
        <v>45.043059999999997</v>
      </c>
      <c r="CO62" s="41">
        <v>43.165585</v>
      </c>
      <c r="CP62" s="41">
        <v>88.095398000000003</v>
      </c>
      <c r="CQ62" s="41">
        <v>0.66295099999999996</v>
      </c>
    </row>
    <row r="63" spans="1:95">
      <c r="A63" s="76" t="s">
        <v>837</v>
      </c>
      <c r="B63" s="144">
        <v>6</v>
      </c>
      <c r="C63" s="41">
        <v>210</v>
      </c>
      <c r="D63" s="41">
        <v>210</v>
      </c>
      <c r="E63" s="41">
        <v>25.121500000000001</v>
      </c>
      <c r="F63" s="41">
        <v>25.078099999999999</v>
      </c>
      <c r="G63" s="41">
        <v>1452.18</v>
      </c>
      <c r="H63" s="41">
        <v>1452.8</v>
      </c>
      <c r="I63" s="41">
        <v>1453.3</v>
      </c>
      <c r="J63" s="41">
        <v>1453.29</v>
      </c>
      <c r="K63" s="41">
        <v>1453.63</v>
      </c>
      <c r="L63" s="41">
        <v>1453.57</v>
      </c>
      <c r="M63" s="41">
        <v>1453.56</v>
      </c>
      <c r="N63" s="41">
        <v>1452.02</v>
      </c>
      <c r="O63" s="41">
        <v>0.93220499999999995</v>
      </c>
      <c r="P63" s="41">
        <v>2499.85</v>
      </c>
      <c r="Q63" s="41">
        <v>2499.75</v>
      </c>
      <c r="R63" s="41">
        <v>2500.25</v>
      </c>
      <c r="S63" s="41">
        <v>2500.3000000000002</v>
      </c>
      <c r="T63" s="41">
        <v>2499.9</v>
      </c>
      <c r="U63" s="41">
        <v>2500.08</v>
      </c>
      <c r="V63" s="41">
        <v>2500.31</v>
      </c>
      <c r="W63" s="41">
        <v>2500.4899999999998</v>
      </c>
      <c r="X63" s="41">
        <v>209.9</v>
      </c>
      <c r="Y63" s="41">
        <v>1.9975700000000001</v>
      </c>
      <c r="Z63" s="41">
        <v>2.0021399999999998</v>
      </c>
      <c r="AA63" s="41">
        <v>1.99797</v>
      </c>
      <c r="AB63" s="41">
        <v>1.99322</v>
      </c>
      <c r="AC63" s="41">
        <v>2.00264</v>
      </c>
      <c r="AD63" s="41">
        <v>1.99641</v>
      </c>
      <c r="AE63" s="41">
        <v>2.0039099999999999</v>
      </c>
      <c r="AF63" s="41">
        <v>2.0011199999999998</v>
      </c>
      <c r="AG63" s="76" t="s">
        <v>838</v>
      </c>
      <c r="AH63" s="41" t="s">
        <v>173</v>
      </c>
      <c r="AI63" s="41">
        <v>35.388618000000001</v>
      </c>
      <c r="AJ63" s="41">
        <v>31.770630000000001</v>
      </c>
      <c r="AK63" s="41">
        <v>5642655</v>
      </c>
      <c r="AL63" s="41">
        <v>1.6166666746139999</v>
      </c>
      <c r="AM63" s="41">
        <v>64.611382000000006</v>
      </c>
      <c r="AN63" s="41">
        <v>58.005778999999997</v>
      </c>
      <c r="AO63" s="41">
        <v>276823052</v>
      </c>
      <c r="AP63" s="41">
        <v>4.0350000000000001</v>
      </c>
      <c r="AR63" s="113">
        <f t="shared" si="0"/>
        <v>57.486824335714338</v>
      </c>
      <c r="AS63" s="113">
        <f t="shared" si="1"/>
        <v>30.481716878058581</v>
      </c>
      <c r="AU63" s="106">
        <f t="shared" si="32"/>
        <v>46256</v>
      </c>
      <c r="AV63" s="107">
        <f t="shared" si="33"/>
        <v>0.35151620370370368</v>
      </c>
      <c r="AW63" s="106">
        <f t="shared" si="34"/>
        <v>46256</v>
      </c>
      <c r="AX63" s="107">
        <f t="shared" si="35"/>
        <v>0.42274305555555558</v>
      </c>
      <c r="AY63" s="142">
        <v>46256</v>
      </c>
      <c r="AZ63" s="116">
        <v>0.35153935185185187</v>
      </c>
      <c r="BA63" s="41" t="s">
        <v>839</v>
      </c>
      <c r="BB63" s="41">
        <v>0</v>
      </c>
      <c r="BC63" s="41">
        <v>0</v>
      </c>
      <c r="BD63" s="41">
        <v>1.9908459999999999</v>
      </c>
      <c r="BE63" s="41">
        <v>2.5370300000000001</v>
      </c>
      <c r="BF63" s="41">
        <v>4.9482229999999996</v>
      </c>
      <c r="BG63" s="41">
        <v>12.671756999999999</v>
      </c>
      <c r="BH63" s="41">
        <v>8.9522840000000006</v>
      </c>
      <c r="BI63" s="41">
        <v>0</v>
      </c>
      <c r="BJ63" s="41">
        <v>16.490480000000002</v>
      </c>
      <c r="BK63" s="41">
        <v>7.8985240000000001</v>
      </c>
      <c r="BL63" s="41">
        <v>4.3314620000000001</v>
      </c>
      <c r="BM63" s="41">
        <v>1.5189330000000001</v>
      </c>
      <c r="BN63" s="41">
        <v>9.5418000000000003E-2</v>
      </c>
      <c r="BO63" s="41">
        <v>0.38506699999999999</v>
      </c>
      <c r="BP63" s="41">
        <v>0.64236300000000002</v>
      </c>
      <c r="BQ63" s="41">
        <v>0</v>
      </c>
      <c r="BR63" s="41">
        <v>12.326718</v>
      </c>
      <c r="BS63" s="41">
        <v>12.654619</v>
      </c>
      <c r="BT63" s="41">
        <v>3.2275450000000001</v>
      </c>
      <c r="BU63" s="41">
        <v>1.107378</v>
      </c>
      <c r="BV63" s="41">
        <v>0</v>
      </c>
      <c r="BW63" s="41">
        <v>7.2568099999999998</v>
      </c>
      <c r="BX63" s="41">
        <v>0.74454900000000002</v>
      </c>
      <c r="BY63" s="41">
        <v>0</v>
      </c>
      <c r="BZ63" s="41">
        <v>9.4504000000000005E-2</v>
      </c>
      <c r="CA63" s="41">
        <v>3.2599999999999999E-3</v>
      </c>
      <c r="CB63" s="41">
        <v>0</v>
      </c>
      <c r="CC63" s="41">
        <v>0</v>
      </c>
      <c r="CD63" s="41">
        <v>0</v>
      </c>
      <c r="CE63" s="41">
        <v>0</v>
      </c>
      <c r="CF63" s="41">
        <v>9.2230000000000003E-3</v>
      </c>
      <c r="CG63" s="41">
        <v>0</v>
      </c>
      <c r="CH63" s="41">
        <v>0</v>
      </c>
      <c r="CI63" s="41">
        <v>6.1240000000000001E-3</v>
      </c>
      <c r="CJ63" s="41">
        <v>6.8165000000000003E-2</v>
      </c>
      <c r="CK63" s="41">
        <v>3.8727999999999999E-2</v>
      </c>
      <c r="CL63" s="41">
        <v>83.566299000000001</v>
      </c>
      <c r="CM63" s="41">
        <v>16.376871000000001</v>
      </c>
      <c r="CN63" s="41">
        <v>53.368015</v>
      </c>
      <c r="CO63" s="41">
        <v>51.551124999999999</v>
      </c>
      <c r="CP63" s="41">
        <v>83.168921999999995</v>
      </c>
      <c r="CQ63" s="41">
        <v>0.64800599999999997</v>
      </c>
    </row>
    <row r="64" spans="1:95">
      <c r="A64" s="76" t="s">
        <v>840</v>
      </c>
      <c r="B64" s="41">
        <v>7</v>
      </c>
      <c r="C64" s="41">
        <v>210</v>
      </c>
      <c r="D64" s="41">
        <v>210</v>
      </c>
      <c r="E64" s="41">
        <v>25.1997</v>
      </c>
      <c r="F64" s="41">
        <v>25.052099999999999</v>
      </c>
      <c r="G64" s="41">
        <v>1471.39</v>
      </c>
      <c r="H64" s="41">
        <v>1471.67</v>
      </c>
      <c r="I64" s="41">
        <v>1470.57</v>
      </c>
      <c r="J64" s="41">
        <v>1469.07</v>
      </c>
      <c r="K64" s="41">
        <v>1470.51</v>
      </c>
      <c r="L64" s="41">
        <v>1470.94</v>
      </c>
      <c r="M64" s="41">
        <v>1470.77</v>
      </c>
      <c r="N64" s="41">
        <v>1470.86</v>
      </c>
      <c r="O64" s="41">
        <v>0.87655099999999997</v>
      </c>
      <c r="P64" s="41">
        <v>2500.25</v>
      </c>
      <c r="Q64" s="41">
        <v>2499.54</v>
      </c>
      <c r="R64" s="41">
        <v>2498.21</v>
      </c>
      <c r="S64" s="41">
        <v>2499.81</v>
      </c>
      <c r="T64" s="41">
        <v>2500.08</v>
      </c>
      <c r="U64" s="41">
        <v>2499.4899999999998</v>
      </c>
      <c r="V64" s="41">
        <v>2500.4</v>
      </c>
      <c r="W64" s="41">
        <v>2500.16</v>
      </c>
      <c r="X64" s="41">
        <v>210</v>
      </c>
      <c r="Y64" s="41">
        <v>2.0037400000000001</v>
      </c>
      <c r="Z64" s="41">
        <v>1.99868</v>
      </c>
      <c r="AA64" s="41">
        <v>2.00014</v>
      </c>
      <c r="AB64" s="41">
        <v>2.0238200000000002</v>
      </c>
      <c r="AC64" s="41">
        <v>2.0005899999999999</v>
      </c>
      <c r="AD64" s="41">
        <v>2.0019999999999998</v>
      </c>
      <c r="AE64" s="41">
        <v>1.99997</v>
      </c>
      <c r="AF64" s="41">
        <v>1.99926</v>
      </c>
      <c r="AG64" s="76" t="s">
        <v>841</v>
      </c>
      <c r="AH64" s="41" t="s">
        <v>173</v>
      </c>
      <c r="AI64" s="41">
        <v>34.602637999999999</v>
      </c>
      <c r="AJ64" s="41">
        <v>30.236307</v>
      </c>
      <c r="AK64" s="41">
        <v>5370150</v>
      </c>
      <c r="AL64" s="41">
        <v>1.6133333444594999</v>
      </c>
      <c r="AM64" s="41">
        <v>65.397362000000001</v>
      </c>
      <c r="AN64" s="41">
        <v>57.145203000000002</v>
      </c>
      <c r="AO64" s="41">
        <v>272716094</v>
      </c>
      <c r="AP64" s="41">
        <v>4.0369999999999999</v>
      </c>
      <c r="AR64" s="113">
        <f t="shared" si="0"/>
        <v>56.615983058815146</v>
      </c>
      <c r="AS64" s="113">
        <f t="shared" si="1"/>
        <v>28.961118024206375</v>
      </c>
      <c r="AU64" s="106">
        <f t="shared" ref="AU64:AU73" si="36">DATEVALUE(SUBSTITUTE(LEFT(A64,10),".","/"))</f>
        <v>46256</v>
      </c>
      <c r="AV64" s="107">
        <f t="shared" ref="AV64:AV73" si="37">TIMEVALUE(RIGHT(A64,8))</f>
        <v>0.43762731481481482</v>
      </c>
      <c r="AW64" s="106">
        <f t="shared" ref="AW64:AW73" si="38">DATEVALUE(SUBSTITUTE(LEFT(AG64,10),".","/"))</f>
        <v>46256</v>
      </c>
      <c r="AX64" s="107">
        <f t="shared" ref="AX64:AX73" si="39">TIMEVALUE(RIGHT(AG64,8))</f>
        <v>0.50886574074074076</v>
      </c>
      <c r="AY64" s="142">
        <v>46256</v>
      </c>
      <c r="AZ64" s="116">
        <v>0.43766203703703704</v>
      </c>
      <c r="BA64" s="41" t="s">
        <v>842</v>
      </c>
      <c r="BB64" s="41">
        <v>0</v>
      </c>
      <c r="BC64" s="41">
        <v>0</v>
      </c>
      <c r="BD64" s="41">
        <v>7.786232</v>
      </c>
      <c r="BE64" s="41">
        <v>3.5153449999999999</v>
      </c>
      <c r="BF64" s="41">
        <v>15.804872</v>
      </c>
      <c r="BG64" s="41">
        <v>12.231612</v>
      </c>
      <c r="BH64" s="41">
        <v>10.933021</v>
      </c>
      <c r="BI64" s="41">
        <v>0</v>
      </c>
      <c r="BJ64" s="41">
        <v>13.255858</v>
      </c>
      <c r="BK64" s="41">
        <v>8.5680689999999995</v>
      </c>
      <c r="BL64" s="41">
        <v>5.2295199999999999</v>
      </c>
      <c r="BM64" s="41">
        <v>2.6810619999999998</v>
      </c>
      <c r="BN64" s="41">
        <v>0.48330299999999998</v>
      </c>
      <c r="BO64" s="41">
        <v>0.30132799999999998</v>
      </c>
      <c r="BP64" s="41">
        <v>0.57927099999999998</v>
      </c>
      <c r="BQ64" s="41">
        <v>0</v>
      </c>
      <c r="BR64" s="41">
        <v>5.5215129999999997</v>
      </c>
      <c r="BS64" s="41">
        <v>7.5051819999999996</v>
      </c>
      <c r="BT64" s="41">
        <v>3.0422310000000001</v>
      </c>
      <c r="BU64" s="41">
        <v>0.965777</v>
      </c>
      <c r="BV64" s="41">
        <v>0</v>
      </c>
      <c r="BW64" s="41">
        <v>0.67108900000000005</v>
      </c>
      <c r="BX64" s="41">
        <v>0.64495199999999997</v>
      </c>
      <c r="BY64" s="41">
        <v>0</v>
      </c>
      <c r="BZ64" s="41">
        <v>0.11648</v>
      </c>
      <c r="CA64" s="41">
        <v>2.4529999999999999E-3</v>
      </c>
      <c r="CB64" s="41">
        <v>0</v>
      </c>
      <c r="CC64" s="41">
        <v>0</v>
      </c>
      <c r="CD64" s="41">
        <v>0</v>
      </c>
      <c r="CE64" s="41">
        <v>0</v>
      </c>
      <c r="CF64" s="41">
        <v>1.124E-2</v>
      </c>
      <c r="CG64" s="41">
        <v>0</v>
      </c>
      <c r="CH64" s="41">
        <v>0</v>
      </c>
      <c r="CI64" s="41">
        <v>0</v>
      </c>
      <c r="CJ64" s="41">
        <v>2.4396999999999999E-2</v>
      </c>
      <c r="CK64" s="41">
        <v>0.12518499999999999</v>
      </c>
      <c r="CL64" s="41">
        <v>83.266838000000007</v>
      </c>
      <c r="CM64" s="41">
        <v>16.675837000000001</v>
      </c>
      <c r="CN64" s="41">
        <v>71.341774000000001</v>
      </c>
      <c r="CO64" s="41">
        <v>71.444748000000004</v>
      </c>
      <c r="CP64" s="41">
        <v>72.729843000000002</v>
      </c>
      <c r="CQ64" s="41">
        <v>0.609541</v>
      </c>
    </row>
    <row r="65" spans="1:95">
      <c r="A65" s="76" t="s">
        <v>843</v>
      </c>
      <c r="B65" s="41">
        <v>8</v>
      </c>
      <c r="C65" s="41">
        <v>205</v>
      </c>
      <c r="D65" s="41">
        <v>204.9</v>
      </c>
      <c r="E65" s="41">
        <v>25.0579</v>
      </c>
      <c r="F65" s="41">
        <v>25.0535</v>
      </c>
      <c r="G65" s="41">
        <v>1433.13</v>
      </c>
      <c r="H65" s="41">
        <v>1433.01</v>
      </c>
      <c r="I65" s="41">
        <v>1433.7</v>
      </c>
      <c r="J65" s="41">
        <v>1433.81</v>
      </c>
      <c r="K65" s="41">
        <v>1433.02</v>
      </c>
      <c r="L65" s="41">
        <v>1433.23</v>
      </c>
      <c r="M65" s="41">
        <v>1433.11</v>
      </c>
      <c r="N65" s="41">
        <v>1432.32</v>
      </c>
      <c r="O65" s="41">
        <v>0.96248100000000003</v>
      </c>
      <c r="P65" s="41">
        <v>2499.4499999999998</v>
      </c>
      <c r="Q65" s="41">
        <v>2499.52</v>
      </c>
      <c r="R65" s="41">
        <v>2500.13</v>
      </c>
      <c r="S65" s="41">
        <v>2500.41</v>
      </c>
      <c r="T65" s="41">
        <v>2499.91</v>
      </c>
      <c r="U65" s="41">
        <v>2499.9899999999998</v>
      </c>
      <c r="V65" s="41">
        <v>2499.02</v>
      </c>
      <c r="W65" s="41">
        <v>2499.3000000000002</v>
      </c>
      <c r="X65" s="41">
        <v>209.9</v>
      </c>
      <c r="Y65" s="41">
        <v>1.9977</v>
      </c>
      <c r="Z65" s="41">
        <v>2.0003600000000001</v>
      </c>
      <c r="AA65" s="41">
        <v>1.99827</v>
      </c>
      <c r="AB65" s="41">
        <v>2.0192700000000001</v>
      </c>
      <c r="AC65" s="41">
        <v>1.9989600000000001</v>
      </c>
      <c r="AD65" s="41">
        <v>2.0009299999999999</v>
      </c>
      <c r="AE65" s="41">
        <v>2.0021900000000001</v>
      </c>
      <c r="AF65" s="41">
        <v>1.9999899999999999</v>
      </c>
      <c r="AG65" s="76" t="s">
        <v>844</v>
      </c>
      <c r="AH65" s="41" t="s">
        <v>173</v>
      </c>
      <c r="AI65" s="41">
        <v>36.248652</v>
      </c>
      <c r="AJ65" s="41">
        <v>32.809424</v>
      </c>
      <c r="AK65" s="41">
        <v>5827151</v>
      </c>
      <c r="AL65" s="41">
        <v>1.6150000095367001</v>
      </c>
      <c r="AM65" s="41">
        <v>63.751348</v>
      </c>
      <c r="AN65" s="41">
        <v>57.702697999999998</v>
      </c>
      <c r="AO65" s="41">
        <v>275376649</v>
      </c>
      <c r="AP65" s="41">
        <v>4.0350000000000001</v>
      </c>
      <c r="AR65" s="113">
        <f t="shared" si="0"/>
        <v>57.180128373537265</v>
      </c>
      <c r="AS65" s="113">
        <f t="shared" si="1"/>
        <v>31.511218744594302</v>
      </c>
      <c r="AU65" s="106">
        <f t="shared" si="36"/>
        <v>46256</v>
      </c>
      <c r="AV65" s="107">
        <f t="shared" si="37"/>
        <v>0.52375000000000005</v>
      </c>
      <c r="AW65" s="106">
        <f t="shared" si="38"/>
        <v>46256</v>
      </c>
      <c r="AX65" s="107">
        <f t="shared" si="39"/>
        <v>0.59499999999999997</v>
      </c>
      <c r="AY65" s="142">
        <v>46256</v>
      </c>
      <c r="AZ65" s="116">
        <v>0.52378472222222228</v>
      </c>
      <c r="BA65" s="41" t="s">
        <v>845</v>
      </c>
      <c r="BB65" s="41">
        <v>0</v>
      </c>
      <c r="BC65" s="41">
        <v>0</v>
      </c>
      <c r="BD65" s="41">
        <v>4.1736000000000002E-2</v>
      </c>
      <c r="BE65" s="41">
        <v>1.5708150000000001</v>
      </c>
      <c r="BF65" s="41">
        <v>0.28532000000000002</v>
      </c>
      <c r="BG65" s="41">
        <v>12.795612</v>
      </c>
      <c r="BH65" s="41">
        <v>7.5035509999999999</v>
      </c>
      <c r="BI65" s="41">
        <v>0</v>
      </c>
      <c r="BJ65" s="41">
        <v>17.832882000000001</v>
      </c>
      <c r="BK65" s="41">
        <v>8.02867</v>
      </c>
      <c r="BL65" s="41">
        <v>3.6897920000000002</v>
      </c>
      <c r="BM65" s="41">
        <v>0.721001</v>
      </c>
      <c r="BN65" s="41">
        <v>1.6698999999999999E-2</v>
      </c>
      <c r="BO65" s="41">
        <v>0.306479</v>
      </c>
      <c r="BP65" s="41">
        <v>0.66820299999999999</v>
      </c>
      <c r="BQ65" s="41">
        <v>0</v>
      </c>
      <c r="BR65" s="41">
        <v>16.107766999999999</v>
      </c>
      <c r="BS65" s="41">
        <v>13.799270999999999</v>
      </c>
      <c r="BT65" s="41">
        <v>1.001509</v>
      </c>
      <c r="BU65" s="41">
        <v>0.96408499999999997</v>
      </c>
      <c r="BV65" s="41">
        <v>0</v>
      </c>
      <c r="BW65" s="41">
        <v>13.491565</v>
      </c>
      <c r="BX65" s="41">
        <v>0.394015</v>
      </c>
      <c r="BY65" s="41">
        <v>0</v>
      </c>
      <c r="BZ65" s="41">
        <v>0.173987</v>
      </c>
      <c r="CA65" s="41">
        <v>1.7208000000000001E-2</v>
      </c>
      <c r="CB65" s="41">
        <v>0</v>
      </c>
      <c r="CC65" s="41">
        <v>0</v>
      </c>
      <c r="CD65" s="41">
        <v>0</v>
      </c>
      <c r="CE65" s="41">
        <v>0</v>
      </c>
      <c r="CF65" s="41">
        <v>7.6429999999999996E-3</v>
      </c>
      <c r="CG65" s="41">
        <v>1.9732E-2</v>
      </c>
      <c r="CH65" s="41">
        <v>4.2354999999999997E-2</v>
      </c>
      <c r="CI65" s="41">
        <v>0.157556</v>
      </c>
      <c r="CJ65" s="41">
        <v>0.16825899999999999</v>
      </c>
      <c r="CK65" s="41">
        <v>0.20192299999999999</v>
      </c>
      <c r="CL65" s="41">
        <v>83.854820000000004</v>
      </c>
      <c r="CM65" s="41">
        <v>16.175360000000001</v>
      </c>
      <c r="CN65" s="41">
        <v>41.660183000000004</v>
      </c>
      <c r="CO65" s="41">
        <v>40.306438</v>
      </c>
      <c r="CP65" s="41">
        <v>89.079750000000004</v>
      </c>
      <c r="CQ65" s="41">
        <v>0.66512199999999999</v>
      </c>
    </row>
    <row r="66" spans="1:95">
      <c r="A66" s="76" t="s">
        <v>846</v>
      </c>
      <c r="B66" s="41">
        <v>1</v>
      </c>
      <c r="C66" s="41">
        <v>205</v>
      </c>
      <c r="D66" s="41">
        <v>205</v>
      </c>
      <c r="E66" s="41">
        <v>25.325500000000002</v>
      </c>
      <c r="F66" s="41">
        <v>25.073799999999999</v>
      </c>
      <c r="G66" s="41">
        <v>1737.69</v>
      </c>
      <c r="H66" s="41">
        <v>1737.58</v>
      </c>
      <c r="I66" s="41">
        <v>1737.06</v>
      </c>
      <c r="J66" s="41">
        <v>1737.44</v>
      </c>
      <c r="K66" s="41">
        <v>1735.89</v>
      </c>
      <c r="L66" s="41">
        <v>1737.27</v>
      </c>
      <c r="M66" s="41">
        <v>1737.28</v>
      </c>
      <c r="N66" s="41">
        <v>1737.75</v>
      </c>
      <c r="O66" s="41">
        <v>1.1620900000000001</v>
      </c>
      <c r="P66" s="41">
        <v>2499.48</v>
      </c>
      <c r="Q66" s="41">
        <v>2499.6</v>
      </c>
      <c r="R66" s="41">
        <v>2499.9</v>
      </c>
      <c r="S66" s="41">
        <v>2500.27</v>
      </c>
      <c r="T66" s="41">
        <v>2499.75</v>
      </c>
      <c r="U66" s="41">
        <v>2500.64</v>
      </c>
      <c r="V66" s="41">
        <v>2500.1999999999998</v>
      </c>
      <c r="W66" s="41">
        <v>2499.44</v>
      </c>
      <c r="X66" s="41">
        <v>210.2</v>
      </c>
      <c r="Y66" s="41">
        <v>1.9984299999999999</v>
      </c>
      <c r="Z66" s="41">
        <v>1.99963</v>
      </c>
      <c r="AA66" s="41">
        <v>2.00115</v>
      </c>
      <c r="AB66" s="41">
        <v>2.0065900000000001</v>
      </c>
      <c r="AC66" s="41">
        <v>1.99695</v>
      </c>
      <c r="AD66" s="41">
        <v>2.0017299999999998</v>
      </c>
      <c r="AE66" s="41">
        <v>1.9998899999999999</v>
      </c>
      <c r="AF66" s="41">
        <v>1.99716</v>
      </c>
      <c r="AG66" s="76" t="s">
        <v>847</v>
      </c>
      <c r="AH66" s="41" t="s">
        <v>173</v>
      </c>
      <c r="AI66" s="41">
        <v>41.579818000000003</v>
      </c>
      <c r="AJ66" s="41">
        <v>38.189045</v>
      </c>
      <c r="AK66" s="41">
        <v>6782604</v>
      </c>
      <c r="AL66" s="41">
        <v>1.6166666746139999</v>
      </c>
      <c r="AM66" s="41">
        <v>58.420181999999997</v>
      </c>
      <c r="AN66" s="41">
        <v>53.656103000000002</v>
      </c>
      <c r="AO66" s="41">
        <v>256064937</v>
      </c>
      <c r="AP66" s="41">
        <v>4.0430000000000001</v>
      </c>
      <c r="AR66" s="113">
        <f t="shared" si="0"/>
        <v>53.085264014761407</v>
      </c>
      <c r="AS66" s="113">
        <f t="shared" si="1"/>
        <v>36.842719952680945</v>
      </c>
      <c r="AU66" s="106">
        <f t="shared" si="36"/>
        <v>46256</v>
      </c>
      <c r="AV66" s="107">
        <f t="shared" si="37"/>
        <v>0.6098958333333333</v>
      </c>
      <c r="AW66" s="106">
        <f t="shared" si="38"/>
        <v>46256</v>
      </c>
      <c r="AX66" s="107">
        <f t="shared" si="39"/>
        <v>0.68116898148148153</v>
      </c>
      <c r="AY66" s="142">
        <v>46256</v>
      </c>
      <c r="AZ66" s="116">
        <v>0.60991898148148149</v>
      </c>
      <c r="BA66" s="41" t="s">
        <v>848</v>
      </c>
      <c r="BB66" s="41">
        <v>0</v>
      </c>
      <c r="BC66" s="41">
        <v>0</v>
      </c>
      <c r="BD66" s="41">
        <v>0.104713</v>
      </c>
      <c r="BE66" s="41">
        <v>1.6142540000000001</v>
      </c>
      <c r="BF66" s="41">
        <v>0.52150700000000005</v>
      </c>
      <c r="BG66" s="41">
        <v>12.775618</v>
      </c>
      <c r="BH66" s="41">
        <v>7.6028440000000002</v>
      </c>
      <c r="BI66" s="41">
        <v>0</v>
      </c>
      <c r="BJ66" s="41">
        <v>17.690884</v>
      </c>
      <c r="BK66" s="41">
        <v>7.8419150000000002</v>
      </c>
      <c r="BL66" s="41">
        <v>3.7950460000000001</v>
      </c>
      <c r="BM66" s="41">
        <v>0.84968200000000005</v>
      </c>
      <c r="BN66" s="41">
        <v>3.6176E-2</v>
      </c>
      <c r="BO66" s="41">
        <v>0.35233399999999998</v>
      </c>
      <c r="BP66" s="41">
        <v>0.67784800000000001</v>
      </c>
      <c r="BQ66" s="41">
        <v>0</v>
      </c>
      <c r="BR66" s="41">
        <v>15.885249</v>
      </c>
      <c r="BS66" s="41">
        <v>13.352736</v>
      </c>
      <c r="BT66" s="41">
        <v>1.6068119999999999</v>
      </c>
      <c r="BU66" s="41">
        <v>1.116994</v>
      </c>
      <c r="BV66" s="41">
        <v>0</v>
      </c>
      <c r="BW66" s="41">
        <v>13.223485</v>
      </c>
      <c r="BX66" s="41">
        <v>0.50382899999999997</v>
      </c>
      <c r="BY66" s="41">
        <v>0</v>
      </c>
      <c r="BZ66" s="41">
        <v>0.16855300000000001</v>
      </c>
      <c r="CA66" s="41">
        <v>1.9951E-2</v>
      </c>
      <c r="CB66" s="41">
        <v>0</v>
      </c>
      <c r="CC66" s="41">
        <v>0</v>
      </c>
      <c r="CD66" s="41">
        <v>0</v>
      </c>
      <c r="CE66" s="41">
        <v>0</v>
      </c>
      <c r="CF66" s="41">
        <v>7.7270000000000004E-3</v>
      </c>
      <c r="CG66" s="41">
        <v>2.1080000000000001E-3</v>
      </c>
      <c r="CH66" s="41">
        <v>0</v>
      </c>
      <c r="CI66" s="41">
        <v>4.0306000000000002E-2</v>
      </c>
      <c r="CJ66" s="41">
        <v>5.8742999999999997E-2</v>
      </c>
      <c r="CK66" s="41">
        <v>0.147372</v>
      </c>
      <c r="CL66" s="41">
        <v>83.736564999999999</v>
      </c>
      <c r="CM66" s="41">
        <v>16.229284</v>
      </c>
      <c r="CN66" s="41">
        <v>43.061790000000002</v>
      </c>
      <c r="CO66" s="41">
        <v>41.463332999999999</v>
      </c>
      <c r="CP66" s="41">
        <v>88.727431999999993</v>
      </c>
      <c r="CQ66" s="41">
        <v>0.66426200000000002</v>
      </c>
    </row>
    <row r="67" spans="1:95">
      <c r="A67" s="76" t="s">
        <v>849</v>
      </c>
      <c r="B67" s="41">
        <v>2</v>
      </c>
      <c r="C67" s="41">
        <v>205</v>
      </c>
      <c r="D67" s="41">
        <v>205</v>
      </c>
      <c r="E67" s="41">
        <v>25.277799999999999</v>
      </c>
      <c r="F67" s="41">
        <v>25.076699999999999</v>
      </c>
      <c r="G67" s="41">
        <v>1738.45</v>
      </c>
      <c r="H67" s="41">
        <v>1738.04</v>
      </c>
      <c r="I67" s="41">
        <v>1738.13</v>
      </c>
      <c r="J67" s="41">
        <v>1737.77</v>
      </c>
      <c r="K67" s="41">
        <v>1737.66</v>
      </c>
      <c r="L67" s="41">
        <v>1737.84</v>
      </c>
      <c r="M67" s="41">
        <v>1737.43</v>
      </c>
      <c r="N67" s="41">
        <v>1737.67</v>
      </c>
      <c r="O67" s="41">
        <v>1.13489</v>
      </c>
      <c r="P67" s="41">
        <v>2499.9299999999998</v>
      </c>
      <c r="Q67" s="41">
        <v>2499.34</v>
      </c>
      <c r="R67" s="41">
        <v>2500.3000000000002</v>
      </c>
      <c r="S67" s="41">
        <v>2499.8000000000002</v>
      </c>
      <c r="T67" s="41">
        <v>2499.7199999999998</v>
      </c>
      <c r="U67" s="41">
        <v>2499.7199999999998</v>
      </c>
      <c r="V67" s="41">
        <v>2500.73</v>
      </c>
      <c r="W67" s="41">
        <v>2500.2800000000002</v>
      </c>
      <c r="X67" s="41">
        <v>210</v>
      </c>
      <c r="Y67" s="41">
        <v>2.0032899999999998</v>
      </c>
      <c r="Z67" s="41">
        <v>2.0031300000000001</v>
      </c>
      <c r="AA67" s="41">
        <v>2.00007</v>
      </c>
      <c r="AB67" s="41">
        <v>1.99875</v>
      </c>
      <c r="AC67" s="41">
        <v>2.00224</v>
      </c>
      <c r="AD67" s="41">
        <v>2.0006400000000002</v>
      </c>
      <c r="AE67" s="41">
        <v>1.99962</v>
      </c>
      <c r="AF67" s="41">
        <v>2.0018199999999999</v>
      </c>
      <c r="AG67" s="76" t="s">
        <v>850</v>
      </c>
      <c r="AH67" s="41" t="s">
        <v>173</v>
      </c>
      <c r="AI67" s="41">
        <v>39.423988000000001</v>
      </c>
      <c r="AJ67" s="41">
        <v>35.638117999999999</v>
      </c>
      <c r="AK67" s="41">
        <v>6329544</v>
      </c>
      <c r="AL67" s="41">
        <v>1.6183333396912001</v>
      </c>
      <c r="AM67" s="41">
        <v>60.576011999999999</v>
      </c>
      <c r="AN67" s="41">
        <v>54.758921000000001</v>
      </c>
      <c r="AO67" s="41">
        <v>261327954</v>
      </c>
      <c r="AP67" s="41">
        <v>4.0430000000000001</v>
      </c>
      <c r="AR67" s="113">
        <f t="shared" ref="AR67:AR95" si="40">(AO67-5710532)/(4716081)</f>
        <v>54.201236577573624</v>
      </c>
      <c r="AS67" s="113">
        <f t="shared" ref="AS67:AS95" si="41">(AK67-180057)/(179209)</f>
        <v>34.314610315330142</v>
      </c>
      <c r="AU67" s="106">
        <f t="shared" si="36"/>
        <v>46256</v>
      </c>
      <c r="AV67" s="107">
        <f t="shared" si="37"/>
        <v>0.69600694444444444</v>
      </c>
      <c r="AW67" s="106">
        <f t="shared" si="38"/>
        <v>46256</v>
      </c>
      <c r="AX67" s="107">
        <f t="shared" si="39"/>
        <v>0.76730324074074074</v>
      </c>
      <c r="AY67" s="142">
        <v>46256</v>
      </c>
      <c r="AZ67" s="116">
        <v>0.69604166666666667</v>
      </c>
      <c r="BA67" s="41" t="s">
        <v>851</v>
      </c>
      <c r="BB67" s="41">
        <v>0</v>
      </c>
      <c r="BC67" s="41">
        <v>0</v>
      </c>
      <c r="BD67" s="41">
        <v>1.160245</v>
      </c>
      <c r="BE67" s="41">
        <v>2.1920299999999999</v>
      </c>
      <c r="BF67" s="41">
        <v>3.215246</v>
      </c>
      <c r="BG67" s="41">
        <v>12.742856</v>
      </c>
      <c r="BH67" s="41">
        <v>8.4437130000000007</v>
      </c>
      <c r="BI67" s="41">
        <v>0</v>
      </c>
      <c r="BJ67" s="41">
        <v>17.141283000000001</v>
      </c>
      <c r="BK67" s="41">
        <v>7.8091340000000002</v>
      </c>
      <c r="BL67" s="41">
        <v>4.0745449999999996</v>
      </c>
      <c r="BM67" s="41">
        <v>1.2588859999999999</v>
      </c>
      <c r="BN67" s="41">
        <v>5.4171999999999998E-2</v>
      </c>
      <c r="BO67" s="41">
        <v>0.38913300000000001</v>
      </c>
      <c r="BP67" s="41">
        <v>0.644154</v>
      </c>
      <c r="BQ67" s="41">
        <v>0</v>
      </c>
      <c r="BR67" s="41">
        <v>13.995964000000001</v>
      </c>
      <c r="BS67" s="41">
        <v>12.719106999999999</v>
      </c>
      <c r="BT67" s="41">
        <v>2.8188360000000001</v>
      </c>
      <c r="BU67" s="41">
        <v>1.1111249999999999</v>
      </c>
      <c r="BV67" s="41">
        <v>0</v>
      </c>
      <c r="BW67" s="41">
        <v>9.3043399999999998</v>
      </c>
      <c r="BX67" s="41">
        <v>0.67574400000000001</v>
      </c>
      <c r="BY67" s="41">
        <v>0</v>
      </c>
      <c r="BZ67" s="41">
        <v>0.102768</v>
      </c>
      <c r="CA67" s="41">
        <v>6.1240000000000001E-3</v>
      </c>
      <c r="CB67" s="41">
        <v>0</v>
      </c>
      <c r="CC67" s="41">
        <v>0</v>
      </c>
      <c r="CD67" s="41">
        <v>0</v>
      </c>
      <c r="CE67" s="41">
        <v>0</v>
      </c>
      <c r="CF67" s="41">
        <v>8.0920000000000002E-3</v>
      </c>
      <c r="CG67" s="41">
        <v>0</v>
      </c>
      <c r="CH67" s="41">
        <v>0</v>
      </c>
      <c r="CI67" s="41">
        <v>7.1240000000000001E-3</v>
      </c>
      <c r="CJ67" s="41">
        <v>6.6948999999999995E-2</v>
      </c>
      <c r="CK67" s="41">
        <v>5.6422E-2</v>
      </c>
      <c r="CL67" s="41">
        <v>83.621063000000007</v>
      </c>
      <c r="CM67" s="41">
        <v>16.323792000000001</v>
      </c>
      <c r="CN67" s="41">
        <v>49.312992000000001</v>
      </c>
      <c r="CO67" s="41">
        <v>47.520659999999999</v>
      </c>
      <c r="CP67" s="41">
        <v>85.279662999999999</v>
      </c>
      <c r="CQ67" s="41">
        <v>0.65520199999999995</v>
      </c>
    </row>
    <row r="68" spans="1:95">
      <c r="A68" s="76" t="s">
        <v>852</v>
      </c>
      <c r="B68" s="41">
        <v>3</v>
      </c>
      <c r="C68" s="41">
        <v>205</v>
      </c>
      <c r="D68" s="41">
        <v>205</v>
      </c>
      <c r="E68" s="41">
        <v>25.091100000000001</v>
      </c>
      <c r="F68" s="41">
        <v>25.0564</v>
      </c>
      <c r="G68" s="41">
        <v>1738.66</v>
      </c>
      <c r="H68" s="41">
        <v>1737.91</v>
      </c>
      <c r="I68" s="41">
        <v>1737.27</v>
      </c>
      <c r="J68" s="41">
        <v>1738.69</v>
      </c>
      <c r="K68" s="41">
        <v>1738.82</v>
      </c>
      <c r="L68" s="41">
        <v>1738.8</v>
      </c>
      <c r="M68" s="41">
        <v>1737.74</v>
      </c>
      <c r="N68" s="41">
        <v>1738.55</v>
      </c>
      <c r="O68" s="41">
        <v>1.1171899999999999</v>
      </c>
      <c r="P68" s="41">
        <v>2498.64</v>
      </c>
      <c r="Q68" s="41">
        <v>2500.7800000000002</v>
      </c>
      <c r="R68" s="41">
        <v>2500.83</v>
      </c>
      <c r="S68" s="41">
        <v>2500.59</v>
      </c>
      <c r="T68" s="41">
        <v>2499.59</v>
      </c>
      <c r="U68" s="41">
        <v>2499.36</v>
      </c>
      <c r="V68" s="41">
        <v>2499.62</v>
      </c>
      <c r="W68" s="41">
        <v>2500.46</v>
      </c>
      <c r="X68" s="41">
        <v>209.9</v>
      </c>
      <c r="Y68" s="41">
        <v>2.0007899999999998</v>
      </c>
      <c r="Z68" s="41">
        <v>2.00074</v>
      </c>
      <c r="AA68" s="41">
        <v>2.0003899999999999</v>
      </c>
      <c r="AB68" s="41">
        <v>1.9976700000000001</v>
      </c>
      <c r="AC68" s="41">
        <v>1.9992700000000001</v>
      </c>
      <c r="AD68" s="41">
        <v>1.9998100000000001</v>
      </c>
      <c r="AE68" s="41">
        <v>1.9976100000000001</v>
      </c>
      <c r="AF68" s="41">
        <v>2.0016400000000001</v>
      </c>
      <c r="AG68" s="76" t="s">
        <v>853</v>
      </c>
      <c r="AH68" s="41" t="s">
        <v>173</v>
      </c>
      <c r="AI68" s="41">
        <v>38.473404000000002</v>
      </c>
      <c r="AJ68" s="41">
        <v>34.324598000000002</v>
      </c>
      <c r="AK68" s="41">
        <v>6096255</v>
      </c>
      <c r="AL68" s="41">
        <v>1.6166666746139999</v>
      </c>
      <c r="AM68" s="41">
        <v>61.526595999999998</v>
      </c>
      <c r="AN68" s="41">
        <v>54.891832000000001</v>
      </c>
      <c r="AO68" s="41">
        <v>261962252</v>
      </c>
      <c r="AP68" s="41">
        <v>4.0449999999999999</v>
      </c>
      <c r="AR68" s="113">
        <f t="shared" si="40"/>
        <v>54.335733419336947</v>
      </c>
      <c r="AS68" s="113">
        <f t="shared" si="41"/>
        <v>33.012839756931854</v>
      </c>
      <c r="AU68" s="106">
        <f t="shared" si="36"/>
        <v>46256</v>
      </c>
      <c r="AV68" s="107">
        <f t="shared" si="37"/>
        <v>0.78215277777777781</v>
      </c>
      <c r="AW68" s="106">
        <f t="shared" si="38"/>
        <v>46256</v>
      </c>
      <c r="AX68" s="107">
        <f t="shared" si="39"/>
        <v>0.85341435185185188</v>
      </c>
      <c r="AY68" s="142">
        <v>46256</v>
      </c>
      <c r="AZ68" s="116">
        <v>0.78217592592592589</v>
      </c>
      <c r="BA68" s="41" t="s">
        <v>854</v>
      </c>
      <c r="BB68" s="41">
        <v>0</v>
      </c>
      <c r="BC68" s="41">
        <v>0</v>
      </c>
      <c r="BD68" s="41">
        <v>5.9150390000000002</v>
      </c>
      <c r="BE68" s="41">
        <v>3.299569</v>
      </c>
      <c r="BF68" s="41">
        <v>13.474015</v>
      </c>
      <c r="BG68" s="41">
        <v>12.451097000000001</v>
      </c>
      <c r="BH68" s="41">
        <v>10.555583</v>
      </c>
      <c r="BI68" s="41">
        <v>0</v>
      </c>
      <c r="BJ68" s="41">
        <v>14.463718999999999</v>
      </c>
      <c r="BK68" s="41">
        <v>8.0515290000000004</v>
      </c>
      <c r="BL68" s="41">
        <v>4.8710329999999997</v>
      </c>
      <c r="BM68" s="41">
        <v>2.5113020000000001</v>
      </c>
      <c r="BN68" s="41">
        <v>0.35497000000000001</v>
      </c>
      <c r="BO68" s="41">
        <v>0.32502599999999998</v>
      </c>
      <c r="BP68" s="41">
        <v>0.55173399999999995</v>
      </c>
      <c r="BQ68" s="41">
        <v>0</v>
      </c>
      <c r="BR68" s="41">
        <v>7.4505670000000004</v>
      </c>
      <c r="BS68" s="41">
        <v>8.9313830000000003</v>
      </c>
      <c r="BT68" s="41">
        <v>3.518526</v>
      </c>
      <c r="BU68" s="41">
        <v>0.96072999999999997</v>
      </c>
      <c r="BV68" s="41">
        <v>0</v>
      </c>
      <c r="BW68" s="41">
        <v>1.2706059999999999</v>
      </c>
      <c r="BX68" s="41">
        <v>0.71658299999999997</v>
      </c>
      <c r="BY68" s="41">
        <v>0</v>
      </c>
      <c r="BZ68" s="41">
        <v>0.12697600000000001</v>
      </c>
      <c r="CA68" s="41">
        <v>2.8470000000000001E-3</v>
      </c>
      <c r="CB68" s="41">
        <v>0</v>
      </c>
      <c r="CC68" s="41">
        <v>0</v>
      </c>
      <c r="CD68" s="41">
        <v>0</v>
      </c>
      <c r="CE68" s="41">
        <v>0</v>
      </c>
      <c r="CF68" s="41">
        <v>7.6940000000000003E-3</v>
      </c>
      <c r="CG68" s="41">
        <v>0</v>
      </c>
      <c r="CH68" s="41">
        <v>0</v>
      </c>
      <c r="CI68" s="41">
        <v>0</v>
      </c>
      <c r="CJ68" s="41">
        <v>3.2989999999999998E-2</v>
      </c>
      <c r="CK68" s="41">
        <v>0.15647900000000001</v>
      </c>
      <c r="CL68" s="41">
        <v>83.352669000000006</v>
      </c>
      <c r="CM68" s="41">
        <v>16.593855000000001</v>
      </c>
      <c r="CN68" s="41">
        <v>67.017311000000007</v>
      </c>
      <c r="CO68" s="41">
        <v>66.482963999999996</v>
      </c>
      <c r="CP68" s="41">
        <v>75.11618</v>
      </c>
      <c r="CQ68" s="41">
        <v>0.62796700000000005</v>
      </c>
    </row>
    <row r="69" spans="1:95">
      <c r="A69" s="76" t="s">
        <v>855</v>
      </c>
      <c r="B69" s="41">
        <v>4</v>
      </c>
      <c r="C69" s="41">
        <v>205</v>
      </c>
      <c r="D69" s="41">
        <v>205</v>
      </c>
      <c r="E69" s="41">
        <v>25.271999999999998</v>
      </c>
      <c r="F69" s="41">
        <v>25.070900000000002</v>
      </c>
      <c r="G69" s="41">
        <v>1724.8</v>
      </c>
      <c r="H69" s="41">
        <v>1724.65</v>
      </c>
      <c r="I69" s="41">
        <v>1724.73</v>
      </c>
      <c r="J69" s="41">
        <v>1725.62</v>
      </c>
      <c r="K69" s="41">
        <v>1724.53</v>
      </c>
      <c r="L69" s="41">
        <v>1726.84</v>
      </c>
      <c r="M69" s="41">
        <v>1724.62</v>
      </c>
      <c r="N69" s="41">
        <v>1725.8</v>
      </c>
      <c r="O69" s="41">
        <v>1.1786099999999999</v>
      </c>
      <c r="P69" s="41">
        <v>2499.8200000000002</v>
      </c>
      <c r="Q69" s="41">
        <v>2499.9499999999998</v>
      </c>
      <c r="R69" s="41">
        <v>2500.1799999999998</v>
      </c>
      <c r="S69" s="41">
        <v>2499.42</v>
      </c>
      <c r="T69" s="41">
        <v>2500.0700000000002</v>
      </c>
      <c r="U69" s="41">
        <v>2499.9499999999998</v>
      </c>
      <c r="V69" s="41">
        <v>2500.35</v>
      </c>
      <c r="W69" s="41">
        <v>2500.6999999999998</v>
      </c>
      <c r="X69" s="41">
        <v>210.1</v>
      </c>
      <c r="Y69" s="41">
        <v>1.99949</v>
      </c>
      <c r="Z69" s="41">
        <v>2.0043199999999999</v>
      </c>
      <c r="AA69" s="41">
        <v>2.0009100000000002</v>
      </c>
      <c r="AB69" s="41">
        <v>1.98217</v>
      </c>
      <c r="AC69" s="41">
        <v>2.0026199999999998</v>
      </c>
      <c r="AD69" s="41">
        <v>2.0030999999999999</v>
      </c>
      <c r="AE69" s="41">
        <v>2.0031400000000001</v>
      </c>
      <c r="AF69" s="41">
        <v>2.0017999999999998</v>
      </c>
      <c r="AG69" s="76" t="s">
        <v>856</v>
      </c>
      <c r="AH69" s="41" t="s">
        <v>173</v>
      </c>
      <c r="AI69" s="41">
        <v>41.125160000000001</v>
      </c>
      <c r="AJ69" s="41">
        <v>37.723503000000001</v>
      </c>
      <c r="AK69" s="41">
        <v>6699921</v>
      </c>
      <c r="AL69" s="41">
        <v>1.6166666746139999</v>
      </c>
      <c r="AM69" s="41">
        <v>58.874839999999999</v>
      </c>
      <c r="AN69" s="41">
        <v>54.005023999999999</v>
      </c>
      <c r="AO69" s="41">
        <v>257730103</v>
      </c>
      <c r="AP69" s="41">
        <v>4.0430000000000001</v>
      </c>
      <c r="AR69" s="113">
        <f t="shared" si="40"/>
        <v>53.438346584802083</v>
      </c>
      <c r="AS69" s="113">
        <f t="shared" si="41"/>
        <v>36.381342454899027</v>
      </c>
      <c r="AU69" s="106">
        <f t="shared" si="36"/>
        <v>46256</v>
      </c>
      <c r="AV69" s="107">
        <f t="shared" si="37"/>
        <v>0.86828703703703702</v>
      </c>
      <c r="AW69" s="106">
        <f t="shared" si="38"/>
        <v>46256</v>
      </c>
      <c r="AX69" s="107">
        <f t="shared" si="39"/>
        <v>0.93956018518518514</v>
      </c>
      <c r="AY69" s="142">
        <v>46256</v>
      </c>
      <c r="AZ69" s="116">
        <v>0.86829861111111106</v>
      </c>
      <c r="BA69" s="41" t="s">
        <v>857</v>
      </c>
      <c r="BB69" s="41">
        <v>0</v>
      </c>
      <c r="BC69" s="41">
        <v>0</v>
      </c>
      <c r="BD69" s="41">
        <v>4.0947999999999998E-2</v>
      </c>
      <c r="BE69" s="41">
        <v>1.5669329999999999</v>
      </c>
      <c r="BF69" s="41">
        <v>0.28353400000000001</v>
      </c>
      <c r="BG69" s="41">
        <v>12.778584</v>
      </c>
      <c r="BH69" s="41">
        <v>7.4901749999999998</v>
      </c>
      <c r="BI69" s="41">
        <v>0</v>
      </c>
      <c r="BJ69" s="41">
        <v>17.829058</v>
      </c>
      <c r="BK69" s="41">
        <v>8.0205350000000006</v>
      </c>
      <c r="BL69" s="41">
        <v>3.68912</v>
      </c>
      <c r="BM69" s="41">
        <v>0.71996199999999999</v>
      </c>
      <c r="BN69" s="41">
        <v>1.6485E-2</v>
      </c>
      <c r="BO69" s="41">
        <v>0.305954</v>
      </c>
      <c r="BP69" s="41">
        <v>0.66813900000000004</v>
      </c>
      <c r="BQ69" s="41">
        <v>0</v>
      </c>
      <c r="BR69" s="41">
        <v>16.117283</v>
      </c>
      <c r="BS69" s="41">
        <v>13.806010000000001</v>
      </c>
      <c r="BT69" s="41">
        <v>0.99884099999999998</v>
      </c>
      <c r="BU69" s="41">
        <v>0.96423899999999996</v>
      </c>
      <c r="BV69" s="41">
        <v>0</v>
      </c>
      <c r="BW69" s="41">
        <v>13.485751</v>
      </c>
      <c r="BX69" s="41">
        <v>0.396729</v>
      </c>
      <c r="BY69" s="41">
        <v>0</v>
      </c>
      <c r="BZ69" s="41">
        <v>0.174209</v>
      </c>
      <c r="CA69" s="41">
        <v>1.651E-2</v>
      </c>
      <c r="CB69" s="41">
        <v>0</v>
      </c>
      <c r="CC69" s="41">
        <v>0</v>
      </c>
      <c r="CD69" s="41">
        <v>0</v>
      </c>
      <c r="CE69" s="41">
        <v>0</v>
      </c>
      <c r="CF69" s="41">
        <v>7.6429999999999996E-3</v>
      </c>
      <c r="CG69" s="41">
        <v>2.0336E-2</v>
      </c>
      <c r="CH69" s="41">
        <v>5.1253E-2</v>
      </c>
      <c r="CI69" s="41">
        <v>0.15668399999999999</v>
      </c>
      <c r="CJ69" s="41">
        <v>0.205345</v>
      </c>
      <c r="CK69" s="41">
        <v>0.19737299999999999</v>
      </c>
      <c r="CL69" s="41">
        <v>83.866050999999999</v>
      </c>
      <c r="CM69" s="41">
        <v>16.168388</v>
      </c>
      <c r="CN69" s="41">
        <v>41.608905999999998</v>
      </c>
      <c r="CO69" s="41">
        <v>40.265171000000002</v>
      </c>
      <c r="CP69" s="41">
        <v>89.105446000000001</v>
      </c>
      <c r="CQ69" s="41">
        <v>0.66599200000000003</v>
      </c>
    </row>
    <row r="70" spans="1:95">
      <c r="A70" s="76" t="s">
        <v>858</v>
      </c>
      <c r="B70" s="41">
        <v>5</v>
      </c>
      <c r="C70" s="41">
        <v>205</v>
      </c>
      <c r="D70" s="41">
        <v>205</v>
      </c>
      <c r="E70" s="41">
        <v>25.408000000000001</v>
      </c>
      <c r="F70" s="41">
        <v>25.0535</v>
      </c>
      <c r="G70" s="41">
        <v>1762.7</v>
      </c>
      <c r="H70" s="41">
        <v>1762.26</v>
      </c>
      <c r="I70" s="41">
        <v>1762.34</v>
      </c>
      <c r="J70" s="41">
        <v>1762.62</v>
      </c>
      <c r="K70" s="41">
        <v>1762.32</v>
      </c>
      <c r="L70" s="41">
        <v>1762.6</v>
      </c>
      <c r="M70" s="41">
        <v>1762.25</v>
      </c>
      <c r="N70" s="41">
        <v>1762.03</v>
      </c>
      <c r="O70" s="41">
        <v>1.0933900000000001</v>
      </c>
      <c r="P70" s="41">
        <v>2501.1999999999998</v>
      </c>
      <c r="Q70" s="41">
        <v>2499.12</v>
      </c>
      <c r="R70" s="41">
        <v>2498.6999999999998</v>
      </c>
      <c r="S70" s="41">
        <v>2500.2399999999998</v>
      </c>
      <c r="T70" s="41">
        <v>2499.59</v>
      </c>
      <c r="U70" s="41">
        <v>2500.0500000000002</v>
      </c>
      <c r="V70" s="41">
        <v>2500.12</v>
      </c>
      <c r="W70" s="41">
        <v>2499.48</v>
      </c>
      <c r="X70" s="41">
        <v>210.1</v>
      </c>
      <c r="Y70" s="41">
        <v>2.0000200000000001</v>
      </c>
      <c r="Z70" s="41">
        <v>1.99674</v>
      </c>
      <c r="AA70" s="41">
        <v>2.0001199999999999</v>
      </c>
      <c r="AB70" s="41">
        <v>2.02495</v>
      </c>
      <c r="AC70" s="41">
        <v>1.99963</v>
      </c>
      <c r="AD70" s="41">
        <v>1.9959100000000001</v>
      </c>
      <c r="AE70" s="41">
        <v>2.0008699999999999</v>
      </c>
      <c r="AF70" s="41">
        <v>1.9985200000000001</v>
      </c>
      <c r="AG70" s="76" t="s">
        <v>859</v>
      </c>
      <c r="AH70" s="41" t="s">
        <v>173</v>
      </c>
      <c r="AI70" s="41">
        <v>41.111908</v>
      </c>
      <c r="AJ70" s="41">
        <v>37.452865000000003</v>
      </c>
      <c r="AK70" s="41">
        <v>6651854</v>
      </c>
      <c r="AL70" s="41">
        <v>1.6183333396912001</v>
      </c>
      <c r="AM70" s="41">
        <v>58.888092</v>
      </c>
      <c r="AN70" s="41">
        <v>53.646932999999997</v>
      </c>
      <c r="AO70" s="41">
        <v>256021173</v>
      </c>
      <c r="AP70" s="41">
        <v>4.0469999999999997</v>
      </c>
      <c r="AR70" s="113">
        <f t="shared" si="40"/>
        <v>53.075984275927404</v>
      </c>
      <c r="AS70" s="113">
        <f t="shared" si="41"/>
        <v>36.113124898861109</v>
      </c>
      <c r="AU70" s="106">
        <f t="shared" si="36"/>
        <v>46256</v>
      </c>
      <c r="AV70" s="107">
        <f t="shared" si="37"/>
        <v>0.95439814814814816</v>
      </c>
      <c r="AW70" s="106">
        <f t="shared" si="38"/>
        <v>46257</v>
      </c>
      <c r="AX70" s="107">
        <f t="shared" si="39"/>
        <v>2.5694444444444443E-2</v>
      </c>
      <c r="AY70" s="142">
        <v>46256</v>
      </c>
      <c r="AZ70" s="116">
        <v>0.95442129629629635</v>
      </c>
      <c r="BA70" s="41" t="s">
        <v>860</v>
      </c>
      <c r="BB70" s="41">
        <v>0</v>
      </c>
      <c r="BC70" s="41">
        <v>0</v>
      </c>
      <c r="BD70" s="41">
        <v>0.161879</v>
      </c>
      <c r="BE70" s="41">
        <v>1.6556660000000001</v>
      </c>
      <c r="BF70" s="41">
        <v>0.76827000000000001</v>
      </c>
      <c r="BG70" s="41">
        <v>12.756883999999999</v>
      </c>
      <c r="BH70" s="41">
        <v>7.7316539999999998</v>
      </c>
      <c r="BI70" s="41">
        <v>0</v>
      </c>
      <c r="BJ70" s="41">
        <v>17.608498000000001</v>
      </c>
      <c r="BK70" s="41">
        <v>7.7369849999999998</v>
      </c>
      <c r="BL70" s="41">
        <v>3.8904160000000001</v>
      </c>
      <c r="BM70" s="41">
        <v>0.96792</v>
      </c>
      <c r="BN70" s="41">
        <v>6.2463999999999999E-2</v>
      </c>
      <c r="BO70" s="41">
        <v>0.34575</v>
      </c>
      <c r="BP70" s="41">
        <v>0.67312099999999997</v>
      </c>
      <c r="BQ70" s="41">
        <v>0</v>
      </c>
      <c r="BR70" s="41">
        <v>15.575068</v>
      </c>
      <c r="BS70" s="41">
        <v>13.064719</v>
      </c>
      <c r="BT70" s="41">
        <v>2.0742989999999999</v>
      </c>
      <c r="BU70" s="41">
        <v>1.101842</v>
      </c>
      <c r="BV70" s="41">
        <v>0</v>
      </c>
      <c r="BW70" s="41">
        <v>12.754417</v>
      </c>
      <c r="BX70" s="41">
        <v>0.58337899999999998</v>
      </c>
      <c r="BY70" s="41">
        <v>0</v>
      </c>
      <c r="BZ70" s="41">
        <v>0.15429100000000001</v>
      </c>
      <c r="CA70" s="41">
        <v>2.3373000000000001E-2</v>
      </c>
      <c r="CB70" s="41">
        <v>0</v>
      </c>
      <c r="CC70" s="41">
        <v>0</v>
      </c>
      <c r="CD70" s="41">
        <v>0</v>
      </c>
      <c r="CE70" s="41">
        <v>0</v>
      </c>
      <c r="CF70" s="41">
        <v>7.6769999999999998E-3</v>
      </c>
      <c r="CG70" s="41">
        <v>2.9320000000000001E-3</v>
      </c>
      <c r="CH70" s="41">
        <v>0</v>
      </c>
      <c r="CI70" s="41">
        <v>6.7329E-2</v>
      </c>
      <c r="CJ70" s="41">
        <v>6.4627000000000004E-2</v>
      </c>
      <c r="CK70" s="41">
        <v>0.166521</v>
      </c>
      <c r="CL70" s="41">
        <v>83.752975000000006</v>
      </c>
      <c r="CM70" s="41">
        <v>16.226593000000001</v>
      </c>
      <c r="CN70" s="41">
        <v>44.105331</v>
      </c>
      <c r="CO70" s="41">
        <v>42.338138999999998</v>
      </c>
      <c r="CP70" s="41">
        <v>88.441581999999997</v>
      </c>
      <c r="CQ70" s="41">
        <v>0.66264699999999999</v>
      </c>
    </row>
    <row r="71" spans="1:95">
      <c r="A71" s="76" t="s">
        <v>861</v>
      </c>
      <c r="B71" s="41">
        <v>6</v>
      </c>
      <c r="C71" s="41">
        <v>205</v>
      </c>
      <c r="D71" s="41">
        <v>205</v>
      </c>
      <c r="E71" s="41">
        <v>25.260400000000001</v>
      </c>
      <c r="F71" s="41">
        <v>25.050599999999999</v>
      </c>
      <c r="G71" s="41">
        <v>1751.73</v>
      </c>
      <c r="H71" s="41">
        <v>1752.34</v>
      </c>
      <c r="I71" s="41">
        <v>1751.26</v>
      </c>
      <c r="J71" s="41">
        <v>1752.54</v>
      </c>
      <c r="K71" s="41">
        <v>1752.02</v>
      </c>
      <c r="L71" s="41">
        <v>1751.45</v>
      </c>
      <c r="M71" s="41">
        <v>1752.25</v>
      </c>
      <c r="N71" s="41">
        <v>1751.75</v>
      </c>
      <c r="O71" s="41">
        <v>1.1553800000000001</v>
      </c>
      <c r="P71" s="41">
        <v>2499.44</v>
      </c>
      <c r="Q71" s="41">
        <v>2500.2800000000002</v>
      </c>
      <c r="R71" s="41">
        <v>2500.0300000000002</v>
      </c>
      <c r="S71" s="41">
        <v>2500.14</v>
      </c>
      <c r="T71" s="41">
        <v>2499.85</v>
      </c>
      <c r="U71" s="41">
        <v>2499.7399999999998</v>
      </c>
      <c r="V71" s="41">
        <v>2500.34</v>
      </c>
      <c r="W71" s="41">
        <v>2499.2399999999998</v>
      </c>
      <c r="X71" s="41">
        <v>210.1</v>
      </c>
      <c r="Y71" s="41">
        <v>2.0004499999999998</v>
      </c>
      <c r="Z71" s="41">
        <v>1.99987</v>
      </c>
      <c r="AA71" s="41">
        <v>2.0000599999999999</v>
      </c>
      <c r="AB71" s="41">
        <v>1.9809600000000001</v>
      </c>
      <c r="AC71" s="41">
        <v>1.9997400000000001</v>
      </c>
      <c r="AD71" s="41">
        <v>1.9994700000000001</v>
      </c>
      <c r="AE71" s="41">
        <v>2.0089999999999999</v>
      </c>
      <c r="AF71" s="41">
        <v>2.0007199999999998</v>
      </c>
      <c r="AG71" s="76" t="s">
        <v>862</v>
      </c>
      <c r="AH71" s="41" t="s">
        <v>173</v>
      </c>
      <c r="AI71" s="41">
        <v>39.975414999999998</v>
      </c>
      <c r="AJ71" s="41">
        <v>36.269893000000003</v>
      </c>
      <c r="AK71" s="41">
        <v>6441751</v>
      </c>
      <c r="AL71" s="41">
        <v>1.6183333396912001</v>
      </c>
      <c r="AM71" s="41">
        <v>60.024585000000002</v>
      </c>
      <c r="AN71" s="41">
        <v>54.460603999999996</v>
      </c>
      <c r="AO71" s="41">
        <v>259904284</v>
      </c>
      <c r="AP71" s="41">
        <v>4.0469999999999997</v>
      </c>
      <c r="AR71" s="113">
        <f t="shared" si="40"/>
        <v>53.899360931247791</v>
      </c>
      <c r="AS71" s="113">
        <f t="shared" si="41"/>
        <v>34.940734003314567</v>
      </c>
      <c r="AU71" s="106">
        <f t="shared" si="36"/>
        <v>46257</v>
      </c>
      <c r="AV71" s="107">
        <f t="shared" si="37"/>
        <v>4.0520833333333332E-2</v>
      </c>
      <c r="AW71" s="106">
        <f t="shared" si="38"/>
        <v>46257</v>
      </c>
      <c r="AX71" s="107">
        <f t="shared" si="39"/>
        <v>0.11177083333333333</v>
      </c>
      <c r="AY71" s="142">
        <v>46257</v>
      </c>
      <c r="AZ71" s="116">
        <v>4.0543981481481479E-2</v>
      </c>
      <c r="BA71" s="41" t="s">
        <v>863</v>
      </c>
      <c r="BB71" s="41">
        <v>0</v>
      </c>
      <c r="BC71" s="41">
        <v>0</v>
      </c>
      <c r="BD71" s="41">
        <v>1.246432</v>
      </c>
      <c r="BE71" s="41">
        <v>2.2326410000000001</v>
      </c>
      <c r="BF71" s="41">
        <v>3.3800500000000002</v>
      </c>
      <c r="BG71" s="41">
        <v>12.73418</v>
      </c>
      <c r="BH71" s="41">
        <v>8.5126209999999993</v>
      </c>
      <c r="BI71" s="41">
        <v>0</v>
      </c>
      <c r="BJ71" s="41">
        <v>16.965429</v>
      </c>
      <c r="BK71" s="41">
        <v>7.9067930000000004</v>
      </c>
      <c r="BL71" s="41">
        <v>4.1364660000000004</v>
      </c>
      <c r="BM71" s="41">
        <v>1.272038</v>
      </c>
      <c r="BN71" s="41">
        <v>6.1783999999999999E-2</v>
      </c>
      <c r="BO71" s="41">
        <v>0.38350400000000001</v>
      </c>
      <c r="BP71" s="41">
        <v>0.648613</v>
      </c>
      <c r="BQ71" s="41">
        <v>0</v>
      </c>
      <c r="BR71" s="41">
        <v>13.521152000000001</v>
      </c>
      <c r="BS71" s="41">
        <v>12.996149000000001</v>
      </c>
      <c r="BT71" s="41">
        <v>2.876722</v>
      </c>
      <c r="BU71" s="41">
        <v>1.1115710000000001</v>
      </c>
      <c r="BV71" s="41">
        <v>0</v>
      </c>
      <c r="BW71" s="41">
        <v>9.0607330000000008</v>
      </c>
      <c r="BX71" s="41">
        <v>0.70911500000000005</v>
      </c>
      <c r="BY71" s="41">
        <v>0</v>
      </c>
      <c r="BZ71" s="41">
        <v>0.101619</v>
      </c>
      <c r="CA71" s="41">
        <v>6.2490000000000002E-3</v>
      </c>
      <c r="CB71" s="41">
        <v>0</v>
      </c>
      <c r="CC71" s="41">
        <v>0</v>
      </c>
      <c r="CD71" s="41">
        <v>0</v>
      </c>
      <c r="CE71" s="41">
        <v>0</v>
      </c>
      <c r="CF71" s="41">
        <v>7.6429999999999996E-3</v>
      </c>
      <c r="CG71" s="41">
        <v>0</v>
      </c>
      <c r="CH71" s="41">
        <v>0</v>
      </c>
      <c r="CI71" s="41">
        <v>5.7559999999999998E-3</v>
      </c>
      <c r="CJ71" s="41">
        <v>6.9816000000000003E-2</v>
      </c>
      <c r="CK71" s="41">
        <v>5.2928000000000003E-2</v>
      </c>
      <c r="CL71" s="41">
        <v>83.615334000000004</v>
      </c>
      <c r="CM71" s="41">
        <v>16.329015999999999</v>
      </c>
      <c r="CN71" s="41">
        <v>50.037140000000001</v>
      </c>
      <c r="CO71" s="41">
        <v>48.165343999999997</v>
      </c>
      <c r="CP71" s="41">
        <v>85.055137999999999</v>
      </c>
      <c r="CQ71" s="41">
        <v>0.65556400000000004</v>
      </c>
    </row>
    <row r="72" spans="1:95">
      <c r="A72" s="76" t="s">
        <v>864</v>
      </c>
      <c r="B72" s="41">
        <v>7</v>
      </c>
      <c r="C72" s="41">
        <v>205</v>
      </c>
      <c r="D72" s="41">
        <v>205</v>
      </c>
      <c r="E72" s="41">
        <v>25.096900000000002</v>
      </c>
      <c r="F72" s="41">
        <v>25.0535</v>
      </c>
      <c r="G72" s="41">
        <v>1734.56</v>
      </c>
      <c r="H72" s="41">
        <v>1734.18</v>
      </c>
      <c r="I72" s="41">
        <v>1734.25</v>
      </c>
      <c r="J72" s="41">
        <v>1734.16</v>
      </c>
      <c r="K72" s="41">
        <v>1733.34</v>
      </c>
      <c r="L72" s="41">
        <v>1734.38</v>
      </c>
      <c r="M72" s="41">
        <v>1733.57</v>
      </c>
      <c r="N72" s="41">
        <v>1733.41</v>
      </c>
      <c r="O72" s="41">
        <v>1.1495299999999999</v>
      </c>
      <c r="P72" s="41">
        <v>2499.31</v>
      </c>
      <c r="Q72" s="41">
        <v>2500.92</v>
      </c>
      <c r="R72" s="41">
        <v>2499.91</v>
      </c>
      <c r="S72" s="41">
        <v>2499</v>
      </c>
      <c r="T72" s="41">
        <v>2500.35</v>
      </c>
      <c r="U72" s="41">
        <v>2499.63</v>
      </c>
      <c r="V72" s="41">
        <v>2499.02</v>
      </c>
      <c r="W72" s="41">
        <v>2501.4299999999998</v>
      </c>
      <c r="X72" s="41">
        <v>209.9</v>
      </c>
      <c r="Y72" s="41">
        <v>1.9990699999999999</v>
      </c>
      <c r="Z72" s="41">
        <v>2.0001799999999998</v>
      </c>
      <c r="AA72" s="41">
        <v>2.0009399999999999</v>
      </c>
      <c r="AB72" s="41">
        <v>1.99681</v>
      </c>
      <c r="AC72" s="41">
        <v>1.9982200000000001</v>
      </c>
      <c r="AD72" s="41">
        <v>1.9977100000000001</v>
      </c>
      <c r="AE72" s="41">
        <v>2.0005600000000001</v>
      </c>
      <c r="AF72" s="41">
        <v>1.99918</v>
      </c>
      <c r="AG72" s="76" t="s">
        <v>865</v>
      </c>
      <c r="AH72" s="41" t="s">
        <v>173</v>
      </c>
      <c r="AI72" s="41">
        <v>39.546880000000002</v>
      </c>
      <c r="AJ72" s="41">
        <v>34.869934000000001</v>
      </c>
      <c r="AK72" s="41">
        <v>6193110</v>
      </c>
      <c r="AL72" s="41">
        <v>1.6150000095367001</v>
      </c>
      <c r="AM72" s="41">
        <v>60.453119999999998</v>
      </c>
      <c r="AN72" s="41">
        <v>53.303733000000001</v>
      </c>
      <c r="AO72" s="41">
        <v>254383311</v>
      </c>
      <c r="AP72" s="41">
        <v>4.0469999999999997</v>
      </c>
      <c r="AR72" s="113">
        <f t="shared" si="40"/>
        <v>52.728691258695513</v>
      </c>
      <c r="AS72" s="113">
        <f t="shared" si="41"/>
        <v>33.553298104447876</v>
      </c>
      <c r="AU72" s="106">
        <f t="shared" si="36"/>
        <v>46257</v>
      </c>
      <c r="AV72" s="107">
        <f t="shared" si="37"/>
        <v>0.12664351851851852</v>
      </c>
      <c r="AW72" s="106">
        <f t="shared" si="38"/>
        <v>46257</v>
      </c>
      <c r="AX72" s="107">
        <f t="shared" si="39"/>
        <v>0.19788194444444446</v>
      </c>
      <c r="AY72" s="142">
        <v>46257</v>
      </c>
      <c r="AZ72" s="116">
        <v>0.12666666666666668</v>
      </c>
      <c r="BA72" s="41" t="s">
        <v>866</v>
      </c>
      <c r="BB72" s="41">
        <v>0</v>
      </c>
      <c r="BC72" s="41">
        <v>0</v>
      </c>
      <c r="BD72" s="41">
        <v>5.8204399999999996</v>
      </c>
      <c r="BE72" s="41">
        <v>3.3182140000000002</v>
      </c>
      <c r="BF72" s="41">
        <v>12.908142</v>
      </c>
      <c r="BG72" s="41">
        <v>12.420855</v>
      </c>
      <c r="BH72" s="41">
        <v>10.436208000000001</v>
      </c>
      <c r="BI72" s="41">
        <v>0</v>
      </c>
      <c r="BJ72" s="41">
        <v>14.605987000000001</v>
      </c>
      <c r="BK72" s="41">
        <v>7.9809369999999999</v>
      </c>
      <c r="BL72" s="41">
        <v>4.8414440000000001</v>
      </c>
      <c r="BM72" s="41">
        <v>2.4536190000000002</v>
      </c>
      <c r="BN72" s="41">
        <v>0.326984</v>
      </c>
      <c r="BO72" s="41">
        <v>0.33831600000000001</v>
      </c>
      <c r="BP72" s="41">
        <v>0.58076300000000003</v>
      </c>
      <c r="BQ72" s="41">
        <v>0</v>
      </c>
      <c r="BR72" s="41">
        <v>7.858835</v>
      </c>
      <c r="BS72" s="41">
        <v>9.1500599999999999</v>
      </c>
      <c r="BT72" s="41">
        <v>3.4690599999999998</v>
      </c>
      <c r="BU72" s="41">
        <v>1.003072</v>
      </c>
      <c r="BV72" s="41">
        <v>0</v>
      </c>
      <c r="BW72" s="41">
        <v>1.506877</v>
      </c>
      <c r="BX72" s="41">
        <v>0.69980699999999996</v>
      </c>
      <c r="BY72" s="41">
        <v>0</v>
      </c>
      <c r="BZ72" s="41">
        <v>0.115452</v>
      </c>
      <c r="CA72" s="41">
        <v>1.7650000000000001E-3</v>
      </c>
      <c r="CB72" s="41">
        <v>0</v>
      </c>
      <c r="CC72" s="41">
        <v>0</v>
      </c>
      <c r="CD72" s="41">
        <v>0</v>
      </c>
      <c r="CE72" s="41">
        <v>0</v>
      </c>
      <c r="CF72" s="41">
        <v>8.3669999999999994E-3</v>
      </c>
      <c r="CG72" s="41">
        <v>0</v>
      </c>
      <c r="CH72" s="41">
        <v>0</v>
      </c>
      <c r="CI72" s="41">
        <v>0</v>
      </c>
      <c r="CJ72" s="41">
        <v>3.4527000000000002E-2</v>
      </c>
      <c r="CK72" s="41">
        <v>0.12026000000000001</v>
      </c>
      <c r="CL72" s="41">
        <v>83.355530000000002</v>
      </c>
      <c r="CM72" s="41">
        <v>16.587696000000001</v>
      </c>
      <c r="CN72" s="41">
        <v>66.235671999999994</v>
      </c>
      <c r="CO72" s="41">
        <v>65.661247000000003</v>
      </c>
      <c r="CP72" s="41">
        <v>75.447654999999997</v>
      </c>
      <c r="CQ72" s="41">
        <v>0.62902999999999998</v>
      </c>
    </row>
    <row r="73" spans="1:95">
      <c r="A73" s="76" t="s">
        <v>867</v>
      </c>
      <c r="B73" s="41">
        <v>8</v>
      </c>
      <c r="C73" s="41">
        <v>205</v>
      </c>
      <c r="D73" s="41">
        <v>205</v>
      </c>
      <c r="E73" s="41">
        <v>25.1157</v>
      </c>
      <c r="F73" s="41">
        <v>25.017399999999999</v>
      </c>
      <c r="G73" s="41">
        <v>1728.74</v>
      </c>
      <c r="H73" s="41">
        <v>1729.57</v>
      </c>
      <c r="I73" s="41">
        <v>1729.58</v>
      </c>
      <c r="J73" s="41">
        <v>1728.72</v>
      </c>
      <c r="K73" s="41">
        <v>1729.89</v>
      </c>
      <c r="L73" s="41">
        <v>1730.36</v>
      </c>
      <c r="M73" s="41">
        <v>1730.63</v>
      </c>
      <c r="N73" s="41">
        <v>1729.76</v>
      </c>
      <c r="O73" s="41">
        <v>1.1577999999999999</v>
      </c>
      <c r="P73" s="41">
        <v>2500.65</v>
      </c>
      <c r="Q73" s="41">
        <v>2499.94</v>
      </c>
      <c r="R73" s="41">
        <v>2500.04</v>
      </c>
      <c r="S73" s="41">
        <v>2499.8200000000002</v>
      </c>
      <c r="T73" s="41">
        <v>2499.67</v>
      </c>
      <c r="U73" s="41">
        <v>2499.77</v>
      </c>
      <c r="V73" s="41">
        <v>2499.94</v>
      </c>
      <c r="W73" s="41">
        <v>2500.34</v>
      </c>
      <c r="X73" s="41">
        <v>210</v>
      </c>
      <c r="Y73" s="41">
        <v>2.0027599999999999</v>
      </c>
      <c r="Z73" s="41">
        <v>2.0009899999999998</v>
      </c>
      <c r="AA73" s="41">
        <v>2.0000800000000001</v>
      </c>
      <c r="AB73" s="41">
        <v>2.0116299999999998</v>
      </c>
      <c r="AC73" s="41">
        <v>2.0013100000000001</v>
      </c>
      <c r="AD73" s="41">
        <v>2.0013399999999999</v>
      </c>
      <c r="AE73" s="41">
        <v>1.9978199999999999</v>
      </c>
      <c r="AF73" s="41">
        <v>2.00013</v>
      </c>
      <c r="AG73" s="76" t="s">
        <v>868</v>
      </c>
      <c r="AH73" s="41" t="s">
        <v>173</v>
      </c>
      <c r="AI73" s="41">
        <v>40.597858000000002</v>
      </c>
      <c r="AJ73" s="41">
        <v>37.058976000000001</v>
      </c>
      <c r="AK73" s="41">
        <v>6581897</v>
      </c>
      <c r="AL73" s="41">
        <v>1.6166666746139999</v>
      </c>
      <c r="AM73" s="41">
        <v>59.402141999999998</v>
      </c>
      <c r="AN73" s="41">
        <v>54.224105000000002</v>
      </c>
      <c r="AO73" s="41">
        <v>258775635</v>
      </c>
      <c r="AP73" s="41">
        <v>4.0469999999999997</v>
      </c>
      <c r="AR73" s="113">
        <f t="shared" si="40"/>
        <v>53.660041674432648</v>
      </c>
      <c r="AS73" s="113">
        <f t="shared" si="41"/>
        <v>35.722759459625351</v>
      </c>
      <c r="AU73" s="106">
        <f t="shared" si="36"/>
        <v>46257</v>
      </c>
      <c r="AV73" s="107">
        <f t="shared" si="37"/>
        <v>0.21277777777777779</v>
      </c>
      <c r="AW73" s="106">
        <f t="shared" si="38"/>
        <v>46257</v>
      </c>
      <c r="AX73" s="107">
        <f t="shared" si="39"/>
        <v>0.2840625</v>
      </c>
      <c r="AY73" s="142">
        <v>46257</v>
      </c>
      <c r="AZ73" s="116">
        <v>0.21280092592592592</v>
      </c>
      <c r="BA73" s="41" t="s">
        <v>869</v>
      </c>
      <c r="BB73" s="41">
        <v>0</v>
      </c>
      <c r="BC73" s="41">
        <v>0</v>
      </c>
      <c r="BD73" s="41">
        <v>4.0296999999999999E-2</v>
      </c>
      <c r="BE73" s="41">
        <v>1.567339</v>
      </c>
      <c r="BF73" s="41">
        <v>0.28232200000000002</v>
      </c>
      <c r="BG73" s="41">
        <v>12.788373999999999</v>
      </c>
      <c r="BH73" s="41">
        <v>7.4960120000000003</v>
      </c>
      <c r="BI73" s="41">
        <v>0</v>
      </c>
      <c r="BJ73" s="41">
        <v>17.820544999999999</v>
      </c>
      <c r="BK73" s="41">
        <v>8.0248570000000008</v>
      </c>
      <c r="BL73" s="41">
        <v>3.6890610000000001</v>
      </c>
      <c r="BM73" s="41">
        <v>0.72066399999999997</v>
      </c>
      <c r="BN73" s="41">
        <v>1.7045999999999999E-2</v>
      </c>
      <c r="BO73" s="41">
        <v>0.30720399999999998</v>
      </c>
      <c r="BP73" s="41">
        <v>0.66785700000000003</v>
      </c>
      <c r="BQ73" s="41">
        <v>0</v>
      </c>
      <c r="BR73" s="41">
        <v>16.118096999999999</v>
      </c>
      <c r="BS73" s="41">
        <v>13.803462</v>
      </c>
      <c r="BT73" s="41">
        <v>0.99990699999999999</v>
      </c>
      <c r="BU73" s="41">
        <v>0.96607100000000001</v>
      </c>
      <c r="BV73" s="41">
        <v>0</v>
      </c>
      <c r="BW73" s="41">
        <v>13.471935999999999</v>
      </c>
      <c r="BX73" s="41">
        <v>0.387822</v>
      </c>
      <c r="BY73" s="41">
        <v>0</v>
      </c>
      <c r="BZ73" s="41">
        <v>0.16603499999999999</v>
      </c>
      <c r="CA73" s="41">
        <v>1.6677999999999998E-2</v>
      </c>
      <c r="CB73" s="41">
        <v>0</v>
      </c>
      <c r="CC73" s="41">
        <v>0</v>
      </c>
      <c r="CD73" s="41">
        <v>0</v>
      </c>
      <c r="CE73" s="41">
        <v>0</v>
      </c>
      <c r="CF73" s="41">
        <v>7.7270000000000004E-3</v>
      </c>
      <c r="CG73" s="41">
        <v>2.0598999999999999E-2</v>
      </c>
      <c r="CH73" s="41">
        <v>5.0583999999999997E-2</v>
      </c>
      <c r="CI73" s="41">
        <v>0.159107</v>
      </c>
      <c r="CJ73" s="41">
        <v>0.205455</v>
      </c>
      <c r="CK73" s="41">
        <v>0.203711</v>
      </c>
      <c r="CL73" s="41">
        <v>83.868942000000004</v>
      </c>
      <c r="CM73" s="41">
        <v>16.167224999999998</v>
      </c>
      <c r="CN73" s="41">
        <v>41.61927</v>
      </c>
      <c r="CO73" s="41">
        <v>40.274650999999999</v>
      </c>
      <c r="CP73" s="41">
        <v>89.102256999999994</v>
      </c>
      <c r="CQ73" s="41">
        <v>0.66524000000000005</v>
      </c>
    </row>
    <row r="74" spans="1:95">
      <c r="A74" s="76" t="s">
        <v>870</v>
      </c>
      <c r="B74" s="41">
        <v>1</v>
      </c>
      <c r="C74" s="41">
        <v>205</v>
      </c>
      <c r="D74" s="41">
        <v>205</v>
      </c>
      <c r="E74" s="41">
        <v>25.271999999999998</v>
      </c>
      <c r="F74" s="41">
        <v>25.050599999999999</v>
      </c>
      <c r="G74" s="41">
        <v>1756.7</v>
      </c>
      <c r="H74" s="41">
        <v>1757.31</v>
      </c>
      <c r="I74" s="41">
        <v>1757.08</v>
      </c>
      <c r="J74" s="41">
        <v>1758.26</v>
      </c>
      <c r="K74" s="41">
        <v>1757.1</v>
      </c>
      <c r="L74" s="41">
        <v>1757.45</v>
      </c>
      <c r="M74" s="41">
        <v>1756.88</v>
      </c>
      <c r="N74" s="41">
        <v>1757.59</v>
      </c>
      <c r="O74" s="41">
        <v>1.15882</v>
      </c>
      <c r="P74" s="41">
        <v>2499.85</v>
      </c>
      <c r="Q74" s="41">
        <v>2498.9</v>
      </c>
      <c r="R74" s="41">
        <v>2500.15</v>
      </c>
      <c r="S74" s="41">
        <v>2499.69</v>
      </c>
      <c r="T74" s="41">
        <v>2500.0300000000002</v>
      </c>
      <c r="U74" s="41">
        <v>2500.0100000000002</v>
      </c>
      <c r="V74" s="41">
        <v>2500.44</v>
      </c>
      <c r="W74" s="41">
        <v>2499.27</v>
      </c>
      <c r="X74" s="41">
        <v>210</v>
      </c>
      <c r="Y74" s="41">
        <v>1.9974700000000001</v>
      </c>
      <c r="Z74" s="41">
        <v>1.9958199999999999</v>
      </c>
      <c r="AA74" s="41">
        <v>1.9984500000000001</v>
      </c>
      <c r="AB74" s="41">
        <v>2.0287500000000001</v>
      </c>
      <c r="AC74" s="41">
        <v>1.9966999999999999</v>
      </c>
      <c r="AD74" s="41">
        <v>1.99905</v>
      </c>
      <c r="AE74" s="41">
        <v>1.99553</v>
      </c>
      <c r="AF74" s="41">
        <v>1.99437</v>
      </c>
      <c r="AG74" s="76" t="s">
        <v>871</v>
      </c>
      <c r="AH74" s="41" t="s">
        <v>173</v>
      </c>
      <c r="AI74" s="41">
        <v>41.655799000000002</v>
      </c>
      <c r="AJ74" s="41">
        <v>38.395609</v>
      </c>
      <c r="AK74" s="41">
        <v>6819291</v>
      </c>
      <c r="AL74" s="41">
        <v>1.6183333396912001</v>
      </c>
      <c r="AM74" s="41">
        <v>58.344200999999998</v>
      </c>
      <c r="AN74" s="41">
        <v>53.777892999999999</v>
      </c>
      <c r="AO74" s="41">
        <v>256646159</v>
      </c>
      <c r="AP74" s="41">
        <v>4.048</v>
      </c>
      <c r="AR74" s="113">
        <f t="shared" si="40"/>
        <v>53.208506596896875</v>
      </c>
      <c r="AS74" s="113">
        <f t="shared" si="41"/>
        <v>37.047436233671299</v>
      </c>
      <c r="AU74" s="106">
        <f t="shared" ref="AU74:AU85" si="42">DATEVALUE(SUBSTITUTE(LEFT(A74,10),".","/"))</f>
        <v>46257</v>
      </c>
      <c r="AV74" s="107">
        <f t="shared" ref="AV74:AV85" si="43">TIMEVALUE(RIGHT(A74,8))</f>
        <v>0.29891203703703706</v>
      </c>
      <c r="AW74" s="106">
        <f t="shared" ref="AW74:AW85" si="44">DATEVALUE(SUBSTITUTE(LEFT(AG74,10),".","/"))</f>
        <v>46257</v>
      </c>
      <c r="AX74" s="107">
        <f t="shared" ref="AX74:AX85" si="45">TIMEVALUE(RIGHT(AG74,8))</f>
        <v>0.37020833333333331</v>
      </c>
      <c r="AY74" s="142">
        <v>46257</v>
      </c>
      <c r="AZ74" s="116">
        <v>0.29893518518518519</v>
      </c>
      <c r="BA74" s="41" t="s">
        <v>872</v>
      </c>
      <c r="BB74" s="41">
        <v>0</v>
      </c>
      <c r="BC74" s="41">
        <v>0</v>
      </c>
      <c r="BD74" s="41">
        <v>0.10524699999999999</v>
      </c>
      <c r="BE74" s="41">
        <v>1.6165890000000001</v>
      </c>
      <c r="BF74" s="41">
        <v>0.52613600000000005</v>
      </c>
      <c r="BG74" s="41">
        <v>12.800599999999999</v>
      </c>
      <c r="BH74" s="41">
        <v>7.618309</v>
      </c>
      <c r="BI74" s="41">
        <v>0</v>
      </c>
      <c r="BJ74" s="41">
        <v>17.741339</v>
      </c>
      <c r="BK74" s="41">
        <v>7.8593679999999999</v>
      </c>
      <c r="BL74" s="41">
        <v>3.8113890000000001</v>
      </c>
      <c r="BM74" s="41">
        <v>0.85708600000000001</v>
      </c>
      <c r="BN74" s="41">
        <v>3.6589999999999998E-2</v>
      </c>
      <c r="BO74" s="41">
        <v>0.352323</v>
      </c>
      <c r="BP74" s="41">
        <v>0.67986000000000002</v>
      </c>
      <c r="BQ74" s="41">
        <v>0</v>
      </c>
      <c r="BR74" s="41">
        <v>15.875308</v>
      </c>
      <c r="BS74" s="41">
        <v>13.358385</v>
      </c>
      <c r="BT74" s="41">
        <v>1.63761</v>
      </c>
      <c r="BU74" s="41">
        <v>1.1111839999999999</v>
      </c>
      <c r="BV74" s="41">
        <v>0</v>
      </c>
      <c r="BW74" s="41">
        <v>13.066122</v>
      </c>
      <c r="BX74" s="41">
        <v>0.50029500000000005</v>
      </c>
      <c r="BY74" s="41">
        <v>0</v>
      </c>
      <c r="BZ74" s="41">
        <v>0.168823</v>
      </c>
      <c r="CA74" s="41">
        <v>1.9640000000000001E-2</v>
      </c>
      <c r="CB74" s="41">
        <v>0</v>
      </c>
      <c r="CC74" s="41">
        <v>0</v>
      </c>
      <c r="CD74" s="41">
        <v>0</v>
      </c>
      <c r="CE74" s="41">
        <v>0</v>
      </c>
      <c r="CF74" s="41">
        <v>7.7530000000000003E-3</v>
      </c>
      <c r="CG74" s="41">
        <v>2.728E-3</v>
      </c>
      <c r="CH74" s="41">
        <v>0</v>
      </c>
      <c r="CI74" s="41">
        <v>4.2370999999999999E-2</v>
      </c>
      <c r="CJ74" s="41">
        <v>5.9135E-2</v>
      </c>
      <c r="CK74" s="41">
        <v>0.144817</v>
      </c>
      <c r="CL74" s="41">
        <v>83.736259000000004</v>
      </c>
      <c r="CM74" s="41">
        <v>16.230297</v>
      </c>
      <c r="CN74" s="41">
        <v>43.164588999999999</v>
      </c>
      <c r="CO74" s="41">
        <v>41.551032999999997</v>
      </c>
      <c r="CP74" s="41">
        <v>88.682822999999999</v>
      </c>
      <c r="CQ74" s="41">
        <v>0.66446799999999995</v>
      </c>
    </row>
    <row r="75" spans="1:95">
      <c r="A75" s="76" t="s">
        <v>873</v>
      </c>
      <c r="B75" s="41">
        <v>2</v>
      </c>
      <c r="C75" s="41">
        <v>205</v>
      </c>
      <c r="D75" s="41">
        <v>205</v>
      </c>
      <c r="E75" s="41">
        <v>25.102699999999999</v>
      </c>
      <c r="F75" s="41">
        <v>25.050599999999999</v>
      </c>
      <c r="G75" s="41">
        <v>1720.81</v>
      </c>
      <c r="H75" s="41">
        <v>1720.33</v>
      </c>
      <c r="I75" s="41">
        <v>1720.56</v>
      </c>
      <c r="J75" s="41">
        <v>1718.89</v>
      </c>
      <c r="K75" s="41">
        <v>1720.06</v>
      </c>
      <c r="L75" s="41">
        <v>1720.97</v>
      </c>
      <c r="M75" s="41">
        <v>1720.76</v>
      </c>
      <c r="N75" s="41">
        <v>1721.09</v>
      </c>
      <c r="O75" s="41">
        <v>1.1255999999999999</v>
      </c>
      <c r="P75" s="41">
        <v>2496.8200000000002</v>
      </c>
      <c r="Q75" s="41">
        <v>2499.9699999999998</v>
      </c>
      <c r="R75" s="41">
        <v>2499.2600000000002</v>
      </c>
      <c r="S75" s="41">
        <v>2499.81</v>
      </c>
      <c r="T75" s="41">
        <v>2499.87</v>
      </c>
      <c r="U75" s="41">
        <v>2499.58</v>
      </c>
      <c r="V75" s="41">
        <v>2501.02</v>
      </c>
      <c r="W75" s="41">
        <v>2500.21</v>
      </c>
      <c r="X75" s="41">
        <v>209.9</v>
      </c>
      <c r="Y75" s="41">
        <v>7.7651899999999996E-2</v>
      </c>
      <c r="Z75" s="41">
        <v>2.0010500000000002</v>
      </c>
      <c r="AA75" s="41">
        <v>2.0003299999999999</v>
      </c>
      <c r="AB75" s="41">
        <v>1.07002E-2</v>
      </c>
      <c r="AC75" s="41">
        <v>-6.80032E-2</v>
      </c>
      <c r="AD75" s="41">
        <v>2.0017999999999998</v>
      </c>
      <c r="AE75" s="41">
        <v>1.99762</v>
      </c>
      <c r="AF75" s="41">
        <v>1.9977199999999999</v>
      </c>
      <c r="AG75" s="76" t="s">
        <v>874</v>
      </c>
      <c r="AH75" s="41" t="s">
        <v>173</v>
      </c>
      <c r="AI75" s="41">
        <v>39.618160000000003</v>
      </c>
      <c r="AJ75" s="41">
        <v>35.952205999999997</v>
      </c>
      <c r="AK75" s="41">
        <v>6385328</v>
      </c>
      <c r="AL75" s="41">
        <v>1.6166666746139999</v>
      </c>
      <c r="AM75" s="41">
        <v>60.381839999999997</v>
      </c>
      <c r="AN75" s="41">
        <v>54.794578999999999</v>
      </c>
      <c r="AO75" s="41">
        <v>261498125</v>
      </c>
      <c r="AP75" s="41">
        <v>4.0469999999999997</v>
      </c>
      <c r="AR75" s="113">
        <f t="shared" si="40"/>
        <v>54.23731971524662</v>
      </c>
      <c r="AS75" s="113">
        <f t="shared" si="41"/>
        <v>34.625889324754894</v>
      </c>
      <c r="AU75" s="106">
        <f t="shared" si="42"/>
        <v>46257</v>
      </c>
      <c r="AV75" s="107">
        <f t="shared" si="43"/>
        <v>0.38503472222222224</v>
      </c>
      <c r="AW75" s="106">
        <f t="shared" si="44"/>
        <v>46257</v>
      </c>
      <c r="AX75" s="107">
        <f t="shared" si="45"/>
        <v>0.45633101851851854</v>
      </c>
      <c r="AY75" s="142">
        <v>46257</v>
      </c>
      <c r="AZ75" s="116">
        <v>0.38504629629629628</v>
      </c>
      <c r="BA75" s="41" t="s">
        <v>875</v>
      </c>
      <c r="BB75" s="41">
        <v>0</v>
      </c>
      <c r="BC75" s="41">
        <v>0</v>
      </c>
      <c r="BD75" s="41">
        <v>1.182823</v>
      </c>
      <c r="BE75" s="41">
        <v>2.20309</v>
      </c>
      <c r="BF75" s="41">
        <v>3.268278</v>
      </c>
      <c r="BG75" s="41">
        <v>12.750721</v>
      </c>
      <c r="BH75" s="41">
        <v>8.4645010000000003</v>
      </c>
      <c r="BI75" s="41">
        <v>0</v>
      </c>
      <c r="BJ75" s="41">
        <v>17.114015999999999</v>
      </c>
      <c r="BK75" s="41">
        <v>7.8035600000000001</v>
      </c>
      <c r="BL75" s="41">
        <v>4.0762020000000003</v>
      </c>
      <c r="BM75" s="41">
        <v>1.265523</v>
      </c>
      <c r="BN75" s="41">
        <v>5.4876000000000001E-2</v>
      </c>
      <c r="BO75" s="41">
        <v>0.38888499999999998</v>
      </c>
      <c r="BP75" s="41">
        <v>0.64291100000000001</v>
      </c>
      <c r="BQ75" s="41">
        <v>0</v>
      </c>
      <c r="BR75" s="41">
        <v>13.959902</v>
      </c>
      <c r="BS75" s="41">
        <v>12.702546999999999</v>
      </c>
      <c r="BT75" s="41">
        <v>2.8273519999999999</v>
      </c>
      <c r="BU75" s="41">
        <v>1.1123510000000001</v>
      </c>
      <c r="BV75" s="41">
        <v>0</v>
      </c>
      <c r="BW75" s="41">
        <v>9.2595189999999992</v>
      </c>
      <c r="BX75" s="41">
        <v>0.67776999999999998</v>
      </c>
      <c r="BY75" s="41">
        <v>0</v>
      </c>
      <c r="BZ75" s="41">
        <v>0.10370600000000001</v>
      </c>
      <c r="CA75" s="41">
        <v>7.6270000000000001E-3</v>
      </c>
      <c r="CB75" s="41">
        <v>0</v>
      </c>
      <c r="CC75" s="41">
        <v>0</v>
      </c>
      <c r="CD75" s="41">
        <v>0</v>
      </c>
      <c r="CE75" s="41">
        <v>0</v>
      </c>
      <c r="CF75" s="41">
        <v>8.0309999999999999E-3</v>
      </c>
      <c r="CG75" s="41">
        <v>0</v>
      </c>
      <c r="CH75" s="41">
        <v>0</v>
      </c>
      <c r="CI75" s="41">
        <v>6.2119999999999996E-3</v>
      </c>
      <c r="CJ75" s="41">
        <v>6.4508999999999997E-2</v>
      </c>
      <c r="CK75" s="41">
        <v>5.5109999999999999E-2</v>
      </c>
      <c r="CL75" s="41">
        <v>83.617942999999997</v>
      </c>
      <c r="CM75" s="41">
        <v>16.326017</v>
      </c>
      <c r="CN75" s="41">
        <v>49.420143000000003</v>
      </c>
      <c r="CO75" s="41">
        <v>47.628494000000003</v>
      </c>
      <c r="CP75" s="41">
        <v>85.215157000000005</v>
      </c>
      <c r="CQ75" s="41">
        <v>0.65551499999999996</v>
      </c>
    </row>
    <row r="76" spans="1:95">
      <c r="A76" s="76" t="s">
        <v>876</v>
      </c>
      <c r="B76" s="41">
        <v>3</v>
      </c>
      <c r="C76" s="41">
        <v>200</v>
      </c>
      <c r="D76" s="41">
        <v>200</v>
      </c>
      <c r="E76" s="41">
        <v>25.235800000000001</v>
      </c>
      <c r="F76" s="41">
        <v>25.047699999999999</v>
      </c>
      <c r="G76" s="41">
        <v>1432.51</v>
      </c>
      <c r="H76" s="41">
        <v>1432.93</v>
      </c>
      <c r="I76" s="41">
        <v>1432.09</v>
      </c>
      <c r="J76" s="41">
        <v>1430.63</v>
      </c>
      <c r="K76" s="41">
        <v>1432.76</v>
      </c>
      <c r="L76" s="41">
        <v>1431.67</v>
      </c>
      <c r="M76" s="41">
        <v>1432.53</v>
      </c>
      <c r="N76" s="41">
        <v>1432.55</v>
      </c>
      <c r="O76" s="41">
        <v>0.90621300000000005</v>
      </c>
      <c r="P76" s="41">
        <v>2499.2800000000002</v>
      </c>
      <c r="Q76" s="41">
        <v>2500.39</v>
      </c>
      <c r="R76" s="41">
        <v>2500.1799999999998</v>
      </c>
      <c r="S76" s="41">
        <v>2500.5300000000002</v>
      </c>
      <c r="T76" s="41">
        <v>2500.08</v>
      </c>
      <c r="U76" s="41">
        <v>2499.38</v>
      </c>
      <c r="V76" s="41">
        <v>2499.6799999999998</v>
      </c>
      <c r="W76" s="41">
        <v>2499.87</v>
      </c>
      <c r="X76" s="41">
        <v>210.2</v>
      </c>
      <c r="Y76" s="41">
        <v>7.0759000000000002E-2</v>
      </c>
      <c r="Z76" s="41">
        <v>-6.9430699999999998E-2</v>
      </c>
      <c r="AA76" s="41">
        <v>-6.0529600000000003E-2</v>
      </c>
      <c r="AB76" s="41">
        <v>-7.0812000000000002E-4</v>
      </c>
      <c r="AC76" s="41">
        <v>-7.6429499999999997E-2</v>
      </c>
      <c r="AD76" s="41">
        <v>1.9982800000000001</v>
      </c>
      <c r="AE76" s="41">
        <v>2.0015299999999998</v>
      </c>
      <c r="AF76" s="41">
        <v>-6.0572899999999999E-2</v>
      </c>
      <c r="AG76" s="76" t="s">
        <v>877</v>
      </c>
      <c r="AH76" s="41" t="s">
        <v>173</v>
      </c>
      <c r="AI76" s="41">
        <v>35.594087000000002</v>
      </c>
      <c r="AJ76" s="41">
        <v>36.003307999999997</v>
      </c>
      <c r="AK76" s="41">
        <v>6394404</v>
      </c>
      <c r="AL76" s="41">
        <v>1.6166666746139999</v>
      </c>
      <c r="AM76" s="41">
        <v>64.405912999999998</v>
      </c>
      <c r="AN76" s="41">
        <v>65.146378999999996</v>
      </c>
      <c r="AO76" s="41">
        <v>310900393</v>
      </c>
      <c r="AP76" s="41">
        <v>4.032</v>
      </c>
      <c r="AR76" s="113">
        <f t="shared" si="40"/>
        <v>64.712599507938904</v>
      </c>
      <c r="AS76" s="113">
        <f t="shared" si="41"/>
        <v>34.676534102639934</v>
      </c>
      <c r="AU76" s="106">
        <f t="shared" si="42"/>
        <v>46257</v>
      </c>
      <c r="AV76" s="107">
        <f t="shared" si="43"/>
        <v>0.47116898148148151</v>
      </c>
      <c r="AW76" s="106">
        <f t="shared" si="44"/>
        <v>46257</v>
      </c>
      <c r="AX76" s="107">
        <f t="shared" si="45"/>
        <v>0.54246527777777775</v>
      </c>
      <c r="AY76" s="142">
        <v>46257</v>
      </c>
      <c r="AZ76" s="116">
        <v>0.47119212962962964</v>
      </c>
      <c r="BA76" s="41" t="s">
        <v>878</v>
      </c>
      <c r="BB76" s="41">
        <v>0</v>
      </c>
      <c r="BC76" s="41">
        <v>0</v>
      </c>
      <c r="BD76" s="41">
        <v>15.242620000000001</v>
      </c>
      <c r="BE76" s="41">
        <v>4.7226929999999996</v>
      </c>
      <c r="BF76" s="41">
        <v>30.142545999999999</v>
      </c>
      <c r="BG76" s="41">
        <v>8.1723130000000008</v>
      </c>
      <c r="BH76" s="41">
        <v>13.380931</v>
      </c>
      <c r="BI76" s="41">
        <v>0</v>
      </c>
      <c r="BJ76" s="41">
        <v>6.4272910000000003</v>
      </c>
      <c r="BK76" s="41">
        <v>7.3649250000000004</v>
      </c>
      <c r="BL76" s="41">
        <v>4.4833129999999999</v>
      </c>
      <c r="BM76" s="41">
        <v>2.490237</v>
      </c>
      <c r="BN76" s="41">
        <v>0.68435199999999996</v>
      </c>
      <c r="BO76" s="41">
        <v>0.36025299999999999</v>
      </c>
      <c r="BP76" s="41">
        <v>0.82651699999999995</v>
      </c>
      <c r="BQ76" s="41">
        <v>0</v>
      </c>
      <c r="BR76" s="41">
        <v>1.899907</v>
      </c>
      <c r="BS76" s="41">
        <v>2.0984609999999999</v>
      </c>
      <c r="BT76" s="41">
        <v>1.1576709999999999</v>
      </c>
      <c r="BU76" s="41">
        <v>0.390345</v>
      </c>
      <c r="BV76" s="41">
        <v>0</v>
      </c>
      <c r="BW76" s="41">
        <v>0.15562799999999999</v>
      </c>
      <c r="BX76" s="41">
        <v>0</v>
      </c>
      <c r="BY76" s="41">
        <v>0</v>
      </c>
      <c r="BZ76" s="41">
        <v>0</v>
      </c>
      <c r="CA76" s="41">
        <v>0</v>
      </c>
      <c r="CB76" s="41">
        <v>0</v>
      </c>
      <c r="CC76" s="41">
        <v>0</v>
      </c>
      <c r="CD76" s="41">
        <v>0</v>
      </c>
      <c r="CE76" s="41">
        <v>0</v>
      </c>
      <c r="CF76" s="41">
        <v>0</v>
      </c>
      <c r="CG76" s="41">
        <v>0</v>
      </c>
      <c r="CH76" s="41">
        <v>0</v>
      </c>
      <c r="CI76" s="41">
        <v>0</v>
      </c>
      <c r="CJ76" s="41">
        <v>0</v>
      </c>
      <c r="CK76" s="41">
        <v>0</v>
      </c>
      <c r="CL76" s="41">
        <v>82.883049</v>
      </c>
      <c r="CM76" s="41">
        <v>17.040984999999999</v>
      </c>
      <c r="CN76" s="41">
        <v>86.892982000000003</v>
      </c>
      <c r="CO76" s="41">
        <v>89.387978000000004</v>
      </c>
      <c r="CP76" s="41">
        <v>63.937545999999998</v>
      </c>
      <c r="CQ76" s="41">
        <v>0.58895500000000001</v>
      </c>
    </row>
    <row r="77" spans="1:95">
      <c r="A77" s="76" t="s">
        <v>879</v>
      </c>
      <c r="B77" s="41">
        <v>4</v>
      </c>
      <c r="C77" s="41">
        <v>200</v>
      </c>
      <c r="D77" s="41">
        <v>200</v>
      </c>
      <c r="E77" s="41">
        <v>25.065100000000001</v>
      </c>
      <c r="F77" s="41">
        <v>25.0289</v>
      </c>
      <c r="G77" s="41">
        <v>1436.89</v>
      </c>
      <c r="H77" s="41">
        <v>1437.63</v>
      </c>
      <c r="I77" s="41">
        <v>1437.75</v>
      </c>
      <c r="J77" s="41">
        <v>1437.5</v>
      </c>
      <c r="K77" s="41">
        <v>1437.69</v>
      </c>
      <c r="L77" s="41">
        <v>1438.66</v>
      </c>
      <c r="M77" s="41">
        <v>1437.44</v>
      </c>
      <c r="N77" s="41">
        <v>1438.02</v>
      </c>
      <c r="O77" s="41">
        <v>0.90093199999999996</v>
      </c>
      <c r="P77" s="41">
        <v>2499.38</v>
      </c>
      <c r="Q77" s="41">
        <v>2499.25</v>
      </c>
      <c r="R77" s="41">
        <v>2499.0100000000002</v>
      </c>
      <c r="S77" s="41">
        <v>2500.16</v>
      </c>
      <c r="T77" s="41">
        <v>2499.87</v>
      </c>
      <c r="U77" s="41">
        <v>2500.16</v>
      </c>
      <c r="V77" s="41">
        <v>2499.75</v>
      </c>
      <c r="W77" s="41">
        <v>2500.11</v>
      </c>
      <c r="X77" s="41">
        <v>210.1</v>
      </c>
      <c r="Y77" s="41">
        <v>6.9272E-2</v>
      </c>
      <c r="Z77" s="41">
        <v>-6.3964300000000002E-2</v>
      </c>
      <c r="AA77" s="41">
        <v>-5.82243E-2</v>
      </c>
      <c r="AB77" s="41" t="s">
        <v>880</v>
      </c>
      <c r="AC77" s="41">
        <v>-7.5791800000000006E-2</v>
      </c>
      <c r="AD77" s="41">
        <v>2.0008400000000002</v>
      </c>
      <c r="AE77" s="41">
        <v>1.9976100000000001</v>
      </c>
      <c r="AF77" s="41">
        <v>-5.6227600000000003E-2</v>
      </c>
      <c r="AG77" s="76" t="s">
        <v>881</v>
      </c>
      <c r="AH77" s="41" t="s">
        <v>173</v>
      </c>
      <c r="AI77" s="41">
        <v>36.778249000000002</v>
      </c>
      <c r="AJ77" s="41">
        <v>37.165976999999998</v>
      </c>
      <c r="AK77" s="41">
        <v>6600901</v>
      </c>
      <c r="AL77" s="41">
        <v>1.6166666746139999</v>
      </c>
      <c r="AM77" s="41">
        <v>63.221750999999998</v>
      </c>
      <c r="AN77" s="41">
        <v>63.888255000000001</v>
      </c>
      <c r="AO77" s="41">
        <v>304896200</v>
      </c>
      <c r="AP77" s="41">
        <v>4.0330000000000004</v>
      </c>
      <c r="AR77" s="113">
        <f t="shared" si="40"/>
        <v>63.43946764273133</v>
      </c>
      <c r="AS77" s="113">
        <f t="shared" si="41"/>
        <v>35.828803240908663</v>
      </c>
      <c r="AU77" s="106">
        <f t="shared" si="42"/>
        <v>46257</v>
      </c>
      <c r="AV77" s="107">
        <f t="shared" si="43"/>
        <v>0.55730324074074078</v>
      </c>
      <c r="AW77" s="106">
        <f t="shared" si="44"/>
        <v>46257</v>
      </c>
      <c r="AX77" s="107">
        <f t="shared" si="45"/>
        <v>0.62857638888888889</v>
      </c>
      <c r="AY77" s="142">
        <v>46257</v>
      </c>
      <c r="AZ77" s="116">
        <v>0.55731481481481482</v>
      </c>
      <c r="BA77" s="41" t="s">
        <v>882</v>
      </c>
      <c r="BB77" s="41">
        <v>0</v>
      </c>
      <c r="BC77" s="41">
        <v>0</v>
      </c>
      <c r="BD77" s="41">
        <v>0.30675599999999997</v>
      </c>
      <c r="BE77" s="41">
        <v>0.42542999999999997</v>
      </c>
      <c r="BF77" s="41">
        <v>0.65411600000000003</v>
      </c>
      <c r="BG77" s="41">
        <v>3.924579</v>
      </c>
      <c r="BH77" s="41">
        <v>1.977589</v>
      </c>
      <c r="BI77" s="41">
        <v>0</v>
      </c>
      <c r="BJ77" s="41">
        <v>18.775389000000001</v>
      </c>
      <c r="BK77" s="41">
        <v>6.4575490000000002</v>
      </c>
      <c r="BL77" s="41">
        <v>3.3007049999999998</v>
      </c>
      <c r="BM77" s="41">
        <v>0.56230400000000003</v>
      </c>
      <c r="BN77" s="41">
        <v>0</v>
      </c>
      <c r="BO77" s="41">
        <v>0.41731000000000001</v>
      </c>
      <c r="BP77" s="41">
        <v>0.77948799999999996</v>
      </c>
      <c r="BQ77" s="41">
        <v>0</v>
      </c>
      <c r="BR77" s="41">
        <v>23.501234</v>
      </c>
      <c r="BS77" s="41">
        <v>20.150319</v>
      </c>
      <c r="BT77" s="41">
        <v>1.6974579999999999</v>
      </c>
      <c r="BU77" s="41">
        <v>0.51993199999999995</v>
      </c>
      <c r="BV77" s="41">
        <v>0</v>
      </c>
      <c r="BW77" s="41">
        <v>16.549847</v>
      </c>
      <c r="BX77" s="41">
        <v>0</v>
      </c>
      <c r="BY77" s="41">
        <v>0</v>
      </c>
      <c r="BZ77" s="41">
        <v>0</v>
      </c>
      <c r="CA77" s="41">
        <v>0</v>
      </c>
      <c r="CB77" s="41">
        <v>0</v>
      </c>
      <c r="CC77" s="41">
        <v>0</v>
      </c>
      <c r="CD77" s="41">
        <v>0</v>
      </c>
      <c r="CE77" s="41">
        <v>0</v>
      </c>
      <c r="CF77" s="41">
        <v>0</v>
      </c>
      <c r="CG77" s="41">
        <v>0</v>
      </c>
      <c r="CH77" s="41">
        <v>0</v>
      </c>
      <c r="CI77" s="41">
        <v>0</v>
      </c>
      <c r="CJ77" s="41">
        <v>0</v>
      </c>
      <c r="CK77" s="41">
        <v>0</v>
      </c>
      <c r="CL77" s="41">
        <v>83.751503</v>
      </c>
      <c r="CM77" s="41">
        <v>16.171731999999999</v>
      </c>
      <c r="CN77" s="41">
        <v>32.544742999999997</v>
      </c>
      <c r="CO77" s="41">
        <v>32.841171000000003</v>
      </c>
      <c r="CP77" s="41">
        <v>94.169433999999995</v>
      </c>
      <c r="CQ77" s="41">
        <v>0.662246</v>
      </c>
    </row>
    <row r="78" spans="1:95">
      <c r="A78" s="76" t="s">
        <v>883</v>
      </c>
      <c r="B78" s="41">
        <v>5</v>
      </c>
      <c r="C78" s="41">
        <v>200</v>
      </c>
      <c r="D78" s="41">
        <v>200</v>
      </c>
      <c r="E78" s="41">
        <v>25.3733</v>
      </c>
      <c r="F78" s="41">
        <v>25.052099999999999</v>
      </c>
      <c r="G78" s="41">
        <v>1441.72</v>
      </c>
      <c r="H78" s="41">
        <v>1440.76</v>
      </c>
      <c r="I78" s="41">
        <v>1440.45</v>
      </c>
      <c r="J78" s="41">
        <v>1440.93</v>
      </c>
      <c r="K78" s="41">
        <v>1440.74</v>
      </c>
      <c r="L78" s="41">
        <v>1441.28</v>
      </c>
      <c r="M78" s="41">
        <v>1440.2</v>
      </c>
      <c r="N78" s="41">
        <v>1441.44</v>
      </c>
      <c r="O78" s="41">
        <v>0.90119099999999996</v>
      </c>
      <c r="P78" s="41">
        <v>2499.23</v>
      </c>
      <c r="Q78" s="41">
        <v>2500.08</v>
      </c>
      <c r="R78" s="41">
        <v>2499.64</v>
      </c>
      <c r="S78" s="41">
        <v>2500.2800000000002</v>
      </c>
      <c r="T78" s="41">
        <v>2499.5300000000002</v>
      </c>
      <c r="U78" s="41">
        <v>2500.2199999999998</v>
      </c>
      <c r="V78" s="41">
        <v>2499.71</v>
      </c>
      <c r="W78" s="41">
        <v>2502.4499999999998</v>
      </c>
      <c r="X78" s="41">
        <v>209.9</v>
      </c>
      <c r="Y78" s="41">
        <v>6.9392599999999999E-2</v>
      </c>
      <c r="Z78" s="41">
        <v>-5.55579E-2</v>
      </c>
      <c r="AA78" s="41">
        <v>-7.0543599999999998E-2</v>
      </c>
      <c r="AB78" s="41">
        <v>4.47587E-4</v>
      </c>
      <c r="AC78" s="41">
        <v>-7.3591299999999998E-2</v>
      </c>
      <c r="AD78" s="41">
        <v>1.9979899999999999</v>
      </c>
      <c r="AE78" s="41">
        <v>2.0009000000000001</v>
      </c>
      <c r="AF78" s="41">
        <v>-7.6420399999999999E-2</v>
      </c>
      <c r="AG78" s="76" t="s">
        <v>884</v>
      </c>
      <c r="AH78" s="41" t="s">
        <v>173</v>
      </c>
      <c r="AI78" s="41">
        <v>36.511982000000003</v>
      </c>
      <c r="AJ78" s="41">
        <v>36.844366000000001</v>
      </c>
      <c r="AK78" s="41">
        <v>6543781</v>
      </c>
      <c r="AL78" s="41">
        <v>1.6183333396912001</v>
      </c>
      <c r="AM78" s="41">
        <v>63.488017999999997</v>
      </c>
      <c r="AN78" s="41">
        <v>64.065977000000004</v>
      </c>
      <c r="AO78" s="41">
        <v>305744349</v>
      </c>
      <c r="AP78" s="41">
        <v>4.0380000000000003</v>
      </c>
      <c r="AR78" s="113">
        <f t="shared" si="40"/>
        <v>63.619309549602733</v>
      </c>
      <c r="AS78" s="113">
        <f t="shared" si="41"/>
        <v>35.510069248754249</v>
      </c>
      <c r="AU78" s="106">
        <f t="shared" si="42"/>
        <v>46257</v>
      </c>
      <c r="AV78" s="107">
        <f t="shared" si="43"/>
        <v>0.64341435185185181</v>
      </c>
      <c r="AW78" s="106">
        <f t="shared" si="44"/>
        <v>46257</v>
      </c>
      <c r="AX78" s="107">
        <f t="shared" si="45"/>
        <v>0.71471064814814811</v>
      </c>
      <c r="AY78" s="142">
        <v>46257</v>
      </c>
      <c r="AZ78" s="116">
        <v>0.64344907407407403</v>
      </c>
      <c r="BA78" s="41" t="s">
        <v>885</v>
      </c>
      <c r="BB78" s="41">
        <v>0</v>
      </c>
      <c r="BC78" s="41">
        <v>0</v>
      </c>
      <c r="BD78" s="41">
        <v>12.739031000000001</v>
      </c>
      <c r="BE78" s="41">
        <v>4.8509929999999999</v>
      </c>
      <c r="BF78" s="41">
        <v>31.930323000000001</v>
      </c>
      <c r="BG78" s="41">
        <v>5.2505129999999998</v>
      </c>
      <c r="BH78" s="41">
        <v>12.840951</v>
      </c>
      <c r="BI78" s="41">
        <v>0</v>
      </c>
      <c r="BJ78" s="41">
        <v>9.1689150000000001</v>
      </c>
      <c r="BK78" s="41">
        <v>6.2254199999999997</v>
      </c>
      <c r="BL78" s="41">
        <v>3.6779929999999998</v>
      </c>
      <c r="BM78" s="41">
        <v>1.8449340000000001</v>
      </c>
      <c r="BN78" s="41">
        <v>1.38008</v>
      </c>
      <c r="BO78" s="41">
        <v>0.278889</v>
      </c>
      <c r="BP78" s="41">
        <v>0.89476199999999995</v>
      </c>
      <c r="BQ78" s="41">
        <v>0</v>
      </c>
      <c r="BR78" s="41">
        <v>2.230197</v>
      </c>
      <c r="BS78" s="41">
        <v>3.3862589999999999</v>
      </c>
      <c r="BT78" s="41">
        <v>1.3725620000000001</v>
      </c>
      <c r="BU78" s="41">
        <v>0.59043000000000001</v>
      </c>
      <c r="BV78" s="41">
        <v>0</v>
      </c>
      <c r="BW78" s="41">
        <v>0.36591800000000002</v>
      </c>
      <c r="BX78" s="41">
        <v>0</v>
      </c>
      <c r="BY78" s="41">
        <v>0</v>
      </c>
      <c r="BZ78" s="41">
        <v>0</v>
      </c>
      <c r="CA78" s="41">
        <v>0</v>
      </c>
      <c r="CB78" s="41">
        <v>0</v>
      </c>
      <c r="CC78" s="41">
        <v>0</v>
      </c>
      <c r="CD78" s="41">
        <v>0</v>
      </c>
      <c r="CE78" s="41">
        <v>0</v>
      </c>
      <c r="CF78" s="41">
        <v>0</v>
      </c>
      <c r="CG78" s="41">
        <v>0.97183799999999998</v>
      </c>
      <c r="CH78" s="41">
        <v>0</v>
      </c>
      <c r="CI78" s="41">
        <v>0</v>
      </c>
      <c r="CJ78" s="41">
        <v>0</v>
      </c>
      <c r="CK78" s="41">
        <v>0</v>
      </c>
      <c r="CL78" s="41">
        <v>83.163039999999995</v>
      </c>
      <c r="CM78" s="41">
        <v>16.829111000000001</v>
      </c>
      <c r="CN78" s="41">
        <v>83.911179000000004</v>
      </c>
      <c r="CO78" s="41">
        <v>86.230721000000003</v>
      </c>
      <c r="CP78" s="41">
        <v>65.335471999999996</v>
      </c>
      <c r="CQ78" s="41">
        <v>0.59324600000000005</v>
      </c>
    </row>
    <row r="79" spans="1:95">
      <c r="A79" s="76" t="s">
        <v>886</v>
      </c>
      <c r="B79" s="41">
        <v>6</v>
      </c>
      <c r="C79" s="41">
        <v>200</v>
      </c>
      <c r="D79" s="41">
        <v>200</v>
      </c>
      <c r="E79" s="41">
        <v>25.2575</v>
      </c>
      <c r="F79" s="41">
        <v>25.062200000000001</v>
      </c>
      <c r="G79" s="41">
        <v>1440.9</v>
      </c>
      <c r="H79" s="41">
        <v>1441.75</v>
      </c>
      <c r="I79" s="41">
        <v>1441.15</v>
      </c>
      <c r="J79" s="41">
        <v>1442.45</v>
      </c>
      <c r="K79" s="41">
        <v>1441.45</v>
      </c>
      <c r="L79" s="41">
        <v>1441.77</v>
      </c>
      <c r="M79" s="41">
        <v>1441.3</v>
      </c>
      <c r="N79" s="41">
        <v>1441.72</v>
      </c>
      <c r="O79" s="41">
        <v>0.91447100000000003</v>
      </c>
      <c r="P79" s="41">
        <v>2500.09</v>
      </c>
      <c r="Q79" s="41">
        <v>2500.42</v>
      </c>
      <c r="R79" s="41">
        <v>2499.7199999999998</v>
      </c>
      <c r="S79" s="41">
        <v>2499.6799999999998</v>
      </c>
      <c r="T79" s="41">
        <v>2499.69</v>
      </c>
      <c r="U79" s="41">
        <v>2499.81</v>
      </c>
      <c r="V79" s="41">
        <v>2500.11</v>
      </c>
      <c r="W79" s="41">
        <v>2499.71</v>
      </c>
      <c r="X79" s="41">
        <v>209.9</v>
      </c>
      <c r="Y79" s="41">
        <v>6.81895E-2</v>
      </c>
      <c r="Z79" s="41">
        <v>-6.4850199999999997E-2</v>
      </c>
      <c r="AA79" s="41">
        <v>-5.9176199999999998E-2</v>
      </c>
      <c r="AB79" s="41">
        <v>2.9034299999999998E-3</v>
      </c>
      <c r="AC79" s="41">
        <v>-7.3205300000000001E-2</v>
      </c>
      <c r="AD79" s="41">
        <v>2.0021</v>
      </c>
      <c r="AE79" s="41">
        <v>2.0005799999999998</v>
      </c>
      <c r="AF79" s="41">
        <v>-6.3369800000000004E-2</v>
      </c>
      <c r="AG79" s="76" t="s">
        <v>887</v>
      </c>
      <c r="AH79" s="41" t="s">
        <v>173</v>
      </c>
      <c r="AI79" s="41">
        <v>35.757311000000001</v>
      </c>
      <c r="AJ79" s="41">
        <v>32.178263000000001</v>
      </c>
      <c r="AK79" s="41">
        <v>5715053</v>
      </c>
      <c r="AL79" s="41">
        <v>1.6166666746139999</v>
      </c>
      <c r="AM79" s="41">
        <v>64.242688999999999</v>
      </c>
      <c r="AN79" s="41">
        <v>57.812460999999999</v>
      </c>
      <c r="AO79" s="41">
        <v>275900474</v>
      </c>
      <c r="AP79" s="41">
        <v>4.0469999999999997</v>
      </c>
      <c r="AR79" s="113">
        <f t="shared" si="40"/>
        <v>57.29120046920314</v>
      </c>
      <c r="AS79" s="113">
        <f t="shared" si="41"/>
        <v>30.885703284991266</v>
      </c>
      <c r="AU79" s="106">
        <f t="shared" si="42"/>
        <v>46257</v>
      </c>
      <c r="AV79" s="107">
        <f t="shared" si="43"/>
        <v>0.72954861111111113</v>
      </c>
      <c r="AW79" s="106">
        <f t="shared" si="44"/>
        <v>46257</v>
      </c>
      <c r="AX79" s="107">
        <f t="shared" si="45"/>
        <v>0.80083333333333329</v>
      </c>
      <c r="AY79" s="142">
        <v>46257</v>
      </c>
      <c r="AZ79" s="116">
        <v>0.72957175925925921</v>
      </c>
      <c r="BA79" s="41" t="s">
        <v>888</v>
      </c>
      <c r="BB79" s="41">
        <v>0</v>
      </c>
      <c r="BC79" s="41">
        <v>0</v>
      </c>
      <c r="BD79" s="41">
        <v>0.83715099999999998</v>
      </c>
      <c r="BE79" s="41">
        <v>2.0325920000000002</v>
      </c>
      <c r="BF79" s="41">
        <v>2.472451</v>
      </c>
      <c r="BG79" s="41">
        <v>12.748485000000001</v>
      </c>
      <c r="BH79" s="41">
        <v>8.2295359999999995</v>
      </c>
      <c r="BI79" s="41">
        <v>0</v>
      </c>
      <c r="BJ79" s="41">
        <v>17.230744999999999</v>
      </c>
      <c r="BK79" s="41">
        <v>7.865685</v>
      </c>
      <c r="BL79" s="41">
        <v>4.0220700000000003</v>
      </c>
      <c r="BM79" s="41">
        <v>1.151851</v>
      </c>
      <c r="BN79" s="41">
        <v>4.5943999999999999E-2</v>
      </c>
      <c r="BO79" s="41">
        <v>0.383606</v>
      </c>
      <c r="BP79" s="41">
        <v>0.65131399999999995</v>
      </c>
      <c r="BQ79" s="41">
        <v>0</v>
      </c>
      <c r="BR79" s="41">
        <v>14.331469999999999</v>
      </c>
      <c r="BS79" s="41">
        <v>13.051890999999999</v>
      </c>
      <c r="BT79" s="41">
        <v>2.626814</v>
      </c>
      <c r="BU79" s="41">
        <v>1.1161479999999999</v>
      </c>
      <c r="BV79" s="41">
        <v>0</v>
      </c>
      <c r="BW79" s="41">
        <v>10.27619</v>
      </c>
      <c r="BX79" s="41">
        <v>0.65749000000000002</v>
      </c>
      <c r="BY79" s="41">
        <v>0</v>
      </c>
      <c r="BZ79" s="41">
        <v>0.110847</v>
      </c>
      <c r="CA79" s="41">
        <v>9.8289999999999992E-3</v>
      </c>
      <c r="CB79" s="41">
        <v>0</v>
      </c>
      <c r="CC79" s="41">
        <v>0</v>
      </c>
      <c r="CD79" s="41">
        <v>0</v>
      </c>
      <c r="CE79" s="41">
        <v>0</v>
      </c>
      <c r="CF79" s="41">
        <v>6.8269999999999997E-3</v>
      </c>
      <c r="CG79" s="41">
        <v>0</v>
      </c>
      <c r="CH79" s="41">
        <v>0</v>
      </c>
      <c r="CI79" s="41">
        <v>7.4819999999999999E-3</v>
      </c>
      <c r="CJ79" s="41">
        <v>6.5769999999999995E-2</v>
      </c>
      <c r="CK79" s="41">
        <v>6.7784999999999998E-2</v>
      </c>
      <c r="CL79" s="41">
        <v>83.645081000000005</v>
      </c>
      <c r="CM79" s="41">
        <v>16.300556</v>
      </c>
      <c r="CN79" s="41">
        <v>47.910460999999998</v>
      </c>
      <c r="CO79" s="41">
        <v>46.067920999999998</v>
      </c>
      <c r="CP79" s="41">
        <v>86.212204</v>
      </c>
      <c r="CQ79" s="41">
        <v>0.65130999999999994</v>
      </c>
    </row>
    <row r="80" spans="1:95">
      <c r="A80" s="76" t="s">
        <v>889</v>
      </c>
      <c r="B80" s="41">
        <v>7</v>
      </c>
      <c r="C80" s="41">
        <v>200</v>
      </c>
      <c r="D80" s="41">
        <v>200</v>
      </c>
      <c r="E80" s="41">
        <v>25.3429</v>
      </c>
      <c r="F80" s="41">
        <v>25.0535</v>
      </c>
      <c r="G80" s="41">
        <v>1446.35</v>
      </c>
      <c r="H80" s="41">
        <v>1446.74</v>
      </c>
      <c r="I80" s="41">
        <v>1445.44</v>
      </c>
      <c r="J80" s="41">
        <v>1446.19</v>
      </c>
      <c r="K80" s="41">
        <v>1446.23</v>
      </c>
      <c r="L80" s="41">
        <v>1445.99</v>
      </c>
      <c r="M80" s="41">
        <v>1445.8</v>
      </c>
      <c r="N80" s="41">
        <v>1446.37</v>
      </c>
      <c r="O80" s="41">
        <v>0.90075700000000003</v>
      </c>
      <c r="P80" s="41">
        <v>2499.5300000000002</v>
      </c>
      <c r="Q80" s="41">
        <v>2499.44</v>
      </c>
      <c r="R80" s="41">
        <v>2499.33</v>
      </c>
      <c r="S80" s="41">
        <v>2500.4899999999998</v>
      </c>
      <c r="T80" s="41">
        <v>2500</v>
      </c>
      <c r="U80" s="41">
        <v>2499.13</v>
      </c>
      <c r="V80" s="41">
        <v>2500.65</v>
      </c>
      <c r="W80" s="41">
        <v>2498.5700000000002</v>
      </c>
      <c r="X80" s="41">
        <v>210</v>
      </c>
      <c r="Y80" s="41">
        <v>7.0882899999999999E-2</v>
      </c>
      <c r="Z80" s="41">
        <v>-7.0689500000000002E-2</v>
      </c>
      <c r="AA80" s="41">
        <v>-5.7258200000000002E-2</v>
      </c>
      <c r="AB80" s="41">
        <v>1.7437100000000001E-3</v>
      </c>
      <c r="AC80" s="41">
        <v>-7.5808899999999999E-2</v>
      </c>
      <c r="AD80" s="41">
        <v>2.0016600000000002</v>
      </c>
      <c r="AE80" s="41">
        <v>2.0002599999999999</v>
      </c>
      <c r="AF80" s="41">
        <v>-6.9199300000000005E-2</v>
      </c>
      <c r="AG80" s="76" t="s">
        <v>890</v>
      </c>
      <c r="AH80" s="41" t="s">
        <v>173</v>
      </c>
      <c r="AI80" s="41">
        <v>35.301955999999997</v>
      </c>
      <c r="AJ80" s="41">
        <v>30.823105999999999</v>
      </c>
      <c r="AK80" s="41">
        <v>5474369</v>
      </c>
      <c r="AL80" s="41">
        <v>1.6150000095367001</v>
      </c>
      <c r="AM80" s="41">
        <v>64.698043999999996</v>
      </c>
      <c r="AN80" s="41">
        <v>56.489637999999999</v>
      </c>
      <c r="AO80" s="41">
        <v>269587517</v>
      </c>
      <c r="AP80" s="41">
        <v>4.048</v>
      </c>
      <c r="AR80" s="113">
        <f t="shared" si="40"/>
        <v>55.952598142398315</v>
      </c>
      <c r="AS80" s="113">
        <f t="shared" si="41"/>
        <v>29.542668057965837</v>
      </c>
      <c r="AU80" s="106">
        <f t="shared" si="42"/>
        <v>46257</v>
      </c>
      <c r="AV80" s="107">
        <f t="shared" si="43"/>
        <v>0.81565972222222227</v>
      </c>
      <c r="AW80" s="106">
        <f t="shared" si="44"/>
        <v>46257</v>
      </c>
      <c r="AX80" s="107">
        <f t="shared" si="45"/>
        <v>0.88696759259259261</v>
      </c>
      <c r="AY80" s="142">
        <v>46257</v>
      </c>
      <c r="AZ80" s="116">
        <v>0.8156944444444445</v>
      </c>
      <c r="BA80" s="41" t="s">
        <v>891</v>
      </c>
      <c r="BB80" s="41">
        <v>0</v>
      </c>
      <c r="BC80" s="41">
        <v>0</v>
      </c>
      <c r="BD80" s="41">
        <v>4.5054259999999999</v>
      </c>
      <c r="BE80" s="41">
        <v>3.0932949999999999</v>
      </c>
      <c r="BF80" s="41">
        <v>10.954325000000001</v>
      </c>
      <c r="BG80" s="41">
        <v>12.484522999999999</v>
      </c>
      <c r="BH80" s="41">
        <v>10.101114000000001</v>
      </c>
      <c r="BI80" s="41">
        <v>0</v>
      </c>
      <c r="BJ80" s="41">
        <v>15.282232</v>
      </c>
      <c r="BK80" s="41">
        <v>7.7351369999999999</v>
      </c>
      <c r="BL80" s="41">
        <v>4.6751860000000001</v>
      </c>
      <c r="BM80" s="41">
        <v>2.346403</v>
      </c>
      <c r="BN80" s="41">
        <v>0.27039000000000002</v>
      </c>
      <c r="BO80" s="41">
        <v>0.35365999999999997</v>
      </c>
      <c r="BP80" s="41">
        <v>0.56533900000000004</v>
      </c>
      <c r="BQ80" s="41">
        <v>0</v>
      </c>
      <c r="BR80" s="41">
        <v>9.2838840000000005</v>
      </c>
      <c r="BS80" s="41">
        <v>10.106422999999999</v>
      </c>
      <c r="BT80" s="41">
        <v>3.8005740000000001</v>
      </c>
      <c r="BU80" s="41">
        <v>1.0162329999999999</v>
      </c>
      <c r="BV80" s="41">
        <v>0</v>
      </c>
      <c r="BW80" s="41">
        <v>2.3713329999999999</v>
      </c>
      <c r="BX80" s="41">
        <v>0.74080699999999999</v>
      </c>
      <c r="BY80" s="41">
        <v>0</v>
      </c>
      <c r="BZ80" s="41">
        <v>0.118412</v>
      </c>
      <c r="CA80" s="41">
        <v>3.7529999999999998E-3</v>
      </c>
      <c r="CB80" s="41">
        <v>0</v>
      </c>
      <c r="CC80" s="41">
        <v>0</v>
      </c>
      <c r="CD80" s="41">
        <v>0</v>
      </c>
      <c r="CE80" s="41">
        <v>0</v>
      </c>
      <c r="CF80" s="41">
        <v>6.4209999999999996E-3</v>
      </c>
      <c r="CG80" s="41">
        <v>0</v>
      </c>
      <c r="CH80" s="41">
        <v>0</v>
      </c>
      <c r="CI80" s="41">
        <v>0</v>
      </c>
      <c r="CJ80" s="41">
        <v>4.3432999999999999E-2</v>
      </c>
      <c r="CK80" s="41">
        <v>0.14171400000000001</v>
      </c>
      <c r="CL80" s="41">
        <v>83.423721</v>
      </c>
      <c r="CM80" s="41">
        <v>16.522789</v>
      </c>
      <c r="CN80" s="41">
        <v>62.864677</v>
      </c>
      <c r="CO80" s="41">
        <v>61.854472999999999</v>
      </c>
      <c r="CP80" s="41">
        <v>77.466103000000004</v>
      </c>
      <c r="CQ80" s="41">
        <v>0.63440799999999997</v>
      </c>
    </row>
    <row r="81" spans="1:96">
      <c r="A81" s="76" t="s">
        <v>892</v>
      </c>
      <c r="B81" s="41">
        <v>8</v>
      </c>
      <c r="C81" s="41">
        <v>200</v>
      </c>
      <c r="D81" s="41">
        <v>200</v>
      </c>
      <c r="E81" s="41">
        <v>25.076699999999999</v>
      </c>
      <c r="F81" s="41">
        <v>25.0593</v>
      </c>
      <c r="G81" s="41">
        <v>1416.13</v>
      </c>
      <c r="H81" s="41">
        <v>1415.62</v>
      </c>
      <c r="I81" s="41">
        <v>1416.28</v>
      </c>
      <c r="J81" s="41">
        <v>1415.72</v>
      </c>
      <c r="K81" s="41">
        <v>1416.43</v>
      </c>
      <c r="L81" s="41">
        <v>1416.62</v>
      </c>
      <c r="M81" s="41">
        <v>1416.6</v>
      </c>
      <c r="N81" s="41">
        <v>1417.42</v>
      </c>
      <c r="O81" s="41">
        <v>0.98815699999999995</v>
      </c>
      <c r="P81" s="41">
        <v>2499.14</v>
      </c>
      <c r="Q81" s="41">
        <v>2499.9499999999998</v>
      </c>
      <c r="R81" s="41">
        <v>2500.44</v>
      </c>
      <c r="S81" s="41">
        <v>2499.9899999999998</v>
      </c>
      <c r="T81" s="41">
        <v>2500.1</v>
      </c>
      <c r="U81" s="41">
        <v>2499.08</v>
      </c>
      <c r="V81" s="41">
        <v>2499.5</v>
      </c>
      <c r="W81" s="41">
        <v>2501.63</v>
      </c>
      <c r="X81" s="41">
        <v>210</v>
      </c>
      <c r="Y81" s="41">
        <v>6.7513600000000007E-2</v>
      </c>
      <c r="Z81" s="41">
        <v>-6.6776799999999997E-2</v>
      </c>
      <c r="AA81" s="41">
        <v>-5.9506799999999999E-2</v>
      </c>
      <c r="AB81" s="41">
        <v>-1.88091E-3</v>
      </c>
      <c r="AC81" s="41">
        <v>-7.5596999999999998E-2</v>
      </c>
      <c r="AD81" s="41">
        <v>2.0020099999999998</v>
      </c>
      <c r="AE81" s="41">
        <v>2.0009100000000002</v>
      </c>
      <c r="AF81" s="41">
        <v>-7.0656800000000006E-2</v>
      </c>
      <c r="AG81" s="76" t="s">
        <v>893</v>
      </c>
      <c r="AH81" s="41" t="s">
        <v>173</v>
      </c>
      <c r="AI81" s="41">
        <v>35.893655000000003</v>
      </c>
      <c r="AJ81" s="41">
        <v>36.384528000000003</v>
      </c>
      <c r="AK81" s="41">
        <v>6462111</v>
      </c>
      <c r="AL81" s="41">
        <v>1.6166666746139999</v>
      </c>
      <c r="AM81" s="41">
        <v>64.106345000000005</v>
      </c>
      <c r="AN81" s="41">
        <v>64.983047999999997</v>
      </c>
      <c r="AO81" s="41">
        <v>310120922</v>
      </c>
      <c r="AP81" s="41">
        <v>4.0330000000000004</v>
      </c>
      <c r="AR81" s="113">
        <f t="shared" si="40"/>
        <v>64.547320116003092</v>
      </c>
      <c r="AS81" s="113">
        <f t="shared" si="41"/>
        <v>35.054344368865401</v>
      </c>
      <c r="AU81" s="106">
        <f t="shared" si="42"/>
        <v>46257</v>
      </c>
      <c r="AV81" s="107">
        <f t="shared" si="43"/>
        <v>0.90180555555555553</v>
      </c>
      <c r="AW81" s="106">
        <f t="shared" si="44"/>
        <v>46257</v>
      </c>
      <c r="AX81" s="107">
        <f t="shared" si="45"/>
        <v>0.97309027777777779</v>
      </c>
      <c r="AY81" s="142">
        <v>46257</v>
      </c>
      <c r="AZ81" s="116">
        <v>0.90184027777777775</v>
      </c>
      <c r="BA81" s="41" t="s">
        <v>894</v>
      </c>
      <c r="BB81" s="41">
        <v>0</v>
      </c>
      <c r="BC81" s="41">
        <v>0</v>
      </c>
      <c r="BD81" s="41">
        <v>2.7019609999999998</v>
      </c>
      <c r="BE81" s="41">
        <v>2.9873530000000001</v>
      </c>
      <c r="BF81" s="41">
        <v>5.8734390000000003</v>
      </c>
      <c r="BG81" s="41">
        <v>14.910183</v>
      </c>
      <c r="BH81" s="41">
        <v>10.206626</v>
      </c>
      <c r="BI81" s="41">
        <v>0</v>
      </c>
      <c r="BJ81" s="41">
        <v>18.667444</v>
      </c>
      <c r="BK81" s="41">
        <v>9.551088</v>
      </c>
      <c r="BL81" s="41">
        <v>4.5005810000000004</v>
      </c>
      <c r="BM81" s="41">
        <v>1.6197280000000001</v>
      </c>
      <c r="BN81" s="41">
        <v>0</v>
      </c>
      <c r="BO81" s="41">
        <v>0</v>
      </c>
      <c r="BP81" s="41">
        <v>0</v>
      </c>
      <c r="BQ81" s="41">
        <v>0</v>
      </c>
      <c r="BR81" s="41">
        <v>13.397068000000001</v>
      </c>
      <c r="BS81" s="41">
        <v>12.355473</v>
      </c>
      <c r="BT81" s="41">
        <v>0</v>
      </c>
      <c r="BU81" s="41">
        <v>0</v>
      </c>
      <c r="BV81" s="41">
        <v>0</v>
      </c>
      <c r="BW81" s="41">
        <v>3.2290589999999999</v>
      </c>
      <c r="BX81" s="41">
        <v>0</v>
      </c>
      <c r="BY81" s="41">
        <v>0</v>
      </c>
      <c r="BZ81" s="41">
        <v>0</v>
      </c>
      <c r="CA81" s="41">
        <v>0</v>
      </c>
      <c r="CB81" s="41">
        <v>0</v>
      </c>
      <c r="CC81" s="41">
        <v>0</v>
      </c>
      <c r="CD81" s="41">
        <v>0</v>
      </c>
      <c r="CE81" s="41">
        <v>0</v>
      </c>
      <c r="CF81" s="41">
        <v>0</v>
      </c>
      <c r="CG81" s="41">
        <v>0</v>
      </c>
      <c r="CH81" s="41">
        <v>0</v>
      </c>
      <c r="CI81" s="41">
        <v>0</v>
      </c>
      <c r="CJ81" s="41">
        <v>0</v>
      </c>
      <c r="CK81" s="41">
        <v>0</v>
      </c>
      <c r="CL81" s="41">
        <v>83.401107999999994</v>
      </c>
      <c r="CM81" s="41">
        <v>16.522444</v>
      </c>
      <c r="CN81" s="41">
        <v>52.360798000000003</v>
      </c>
      <c r="CO81" s="41">
        <v>52.050517999999997</v>
      </c>
      <c r="CP81" s="41">
        <v>80.284912000000006</v>
      </c>
      <c r="CQ81" s="41">
        <v>0.64168599999999998</v>
      </c>
    </row>
    <row r="82" spans="1:96">
      <c r="A82" s="76" t="s">
        <v>895</v>
      </c>
      <c r="B82" s="41">
        <v>1</v>
      </c>
      <c r="C82" s="41">
        <v>200</v>
      </c>
      <c r="D82" s="41">
        <v>200.1</v>
      </c>
      <c r="E82" s="41">
        <v>25.2865</v>
      </c>
      <c r="F82" s="41">
        <v>25.052099999999999</v>
      </c>
      <c r="G82" s="41">
        <v>1404.43</v>
      </c>
      <c r="H82" s="41">
        <v>1403.89</v>
      </c>
      <c r="I82" s="41">
        <v>1404.8</v>
      </c>
      <c r="J82" s="41">
        <v>1403.18</v>
      </c>
      <c r="K82" s="41">
        <v>1404.57</v>
      </c>
      <c r="L82" s="41">
        <v>1403.84</v>
      </c>
      <c r="M82" s="41">
        <v>1404.28</v>
      </c>
      <c r="N82" s="41">
        <v>1404.5</v>
      </c>
      <c r="O82" s="41">
        <v>0.92343200000000003</v>
      </c>
      <c r="P82" s="41">
        <v>2499.34</v>
      </c>
      <c r="Q82" s="41">
        <v>2500.33</v>
      </c>
      <c r="R82" s="41">
        <v>2500.9299999999998</v>
      </c>
      <c r="S82" s="41">
        <v>2499.5300000000002</v>
      </c>
      <c r="T82" s="41">
        <v>2500.1999999999998</v>
      </c>
      <c r="U82" s="41">
        <v>2500.29</v>
      </c>
      <c r="V82" s="41">
        <v>2500.13</v>
      </c>
      <c r="W82" s="41">
        <v>2499.52</v>
      </c>
      <c r="X82" s="41">
        <v>209.9</v>
      </c>
      <c r="Y82" s="41">
        <v>7.0530200000000001E-2</v>
      </c>
      <c r="Z82" s="41">
        <v>-6.8878800000000004E-2</v>
      </c>
      <c r="AA82" s="41">
        <v>-5.7824100000000003E-2</v>
      </c>
      <c r="AB82" s="41">
        <v>1.14405E-3</v>
      </c>
      <c r="AC82" s="41">
        <v>-7.8127699999999994E-2</v>
      </c>
      <c r="AD82" s="41">
        <v>1.99976</v>
      </c>
      <c r="AE82" s="41">
        <v>2.0008300000000001</v>
      </c>
      <c r="AF82" s="41">
        <v>-6.6930199999999995E-2</v>
      </c>
      <c r="AG82" s="76" t="s">
        <v>896</v>
      </c>
      <c r="AH82" s="41" t="s">
        <v>173</v>
      </c>
      <c r="AI82" s="41">
        <v>37.032431000000003</v>
      </c>
      <c r="AJ82" s="41">
        <v>37.514180000000003</v>
      </c>
      <c r="AK82" s="41">
        <v>6662744</v>
      </c>
      <c r="AL82" s="41">
        <v>1.6166666746139999</v>
      </c>
      <c r="AM82" s="41">
        <v>62.967568999999997</v>
      </c>
      <c r="AN82" s="41">
        <v>63.786704999999998</v>
      </c>
      <c r="AO82" s="41">
        <v>304411573</v>
      </c>
      <c r="AP82" s="41">
        <v>4.0369999999999999</v>
      </c>
      <c r="AR82" s="113">
        <f t="shared" si="40"/>
        <v>63.336707109144221</v>
      </c>
      <c r="AS82" s="113">
        <f t="shared" si="41"/>
        <v>36.173891936230881</v>
      </c>
      <c r="AU82" s="106">
        <f t="shared" si="42"/>
        <v>46257</v>
      </c>
      <c r="AV82" s="107">
        <f t="shared" si="43"/>
        <v>0.9879282407407407</v>
      </c>
      <c r="AW82" s="106">
        <f t="shared" si="44"/>
        <v>46258</v>
      </c>
      <c r="AX82" s="107">
        <f t="shared" si="45"/>
        <v>5.921296296296296E-2</v>
      </c>
      <c r="AY82" s="142">
        <v>46257</v>
      </c>
      <c r="AZ82" s="116">
        <v>0.98795138888888889</v>
      </c>
      <c r="BA82" s="41" t="s">
        <v>897</v>
      </c>
      <c r="BB82" s="41">
        <v>0</v>
      </c>
      <c r="BC82" s="41">
        <v>0</v>
      </c>
      <c r="BD82" s="41">
        <v>8.1189889999999991</v>
      </c>
      <c r="BE82" s="41">
        <v>4.6657659999999996</v>
      </c>
      <c r="BF82" s="41">
        <v>21.228971000000001</v>
      </c>
      <c r="BG82" s="41">
        <v>12.114812000000001</v>
      </c>
      <c r="BH82" s="41">
        <v>13.628721000000001</v>
      </c>
      <c r="BI82" s="41">
        <v>0</v>
      </c>
      <c r="BJ82" s="41">
        <v>11.552959</v>
      </c>
      <c r="BK82" s="41">
        <v>6.7600470000000001</v>
      </c>
      <c r="BL82" s="41">
        <v>3.834857</v>
      </c>
      <c r="BM82" s="41">
        <v>1.4850289999999999</v>
      </c>
      <c r="BN82" s="41">
        <v>0.83488899999999999</v>
      </c>
      <c r="BO82" s="41">
        <v>0</v>
      </c>
      <c r="BP82" s="41">
        <v>0</v>
      </c>
      <c r="BQ82" s="41">
        <v>0</v>
      </c>
      <c r="BR82" s="41">
        <v>7.3114410000000003</v>
      </c>
      <c r="BS82" s="41">
        <v>5.0366929999999996</v>
      </c>
      <c r="BT82" s="41">
        <v>0</v>
      </c>
      <c r="BU82" s="41">
        <v>0</v>
      </c>
      <c r="BV82" s="41">
        <v>0</v>
      </c>
      <c r="BW82" s="41">
        <v>1.2487839999999999</v>
      </c>
      <c r="BX82" s="41">
        <v>0</v>
      </c>
      <c r="BY82" s="41">
        <v>0</v>
      </c>
      <c r="BZ82" s="41">
        <v>0</v>
      </c>
      <c r="CA82" s="41">
        <v>0</v>
      </c>
      <c r="CB82" s="41">
        <v>0</v>
      </c>
      <c r="CC82" s="41">
        <v>0</v>
      </c>
      <c r="CD82" s="41">
        <v>0</v>
      </c>
      <c r="CE82" s="41">
        <v>0</v>
      </c>
      <c r="CF82" s="41">
        <v>0</v>
      </c>
      <c r="CG82" s="41">
        <v>2.178042</v>
      </c>
      <c r="CH82" s="41">
        <v>0</v>
      </c>
      <c r="CI82" s="41">
        <v>0</v>
      </c>
      <c r="CJ82" s="41">
        <v>0</v>
      </c>
      <c r="CK82" s="41">
        <v>0</v>
      </c>
      <c r="CL82" s="41">
        <v>83.592788999999996</v>
      </c>
      <c r="CM82" s="41">
        <v>16.483788000000001</v>
      </c>
      <c r="CN82" s="41">
        <v>70.590430999999995</v>
      </c>
      <c r="CO82" s="41">
        <v>72.484443999999996</v>
      </c>
      <c r="CP82" s="41">
        <v>70.470771999999997</v>
      </c>
      <c r="CQ82" s="41">
        <v>0.60865999999999998</v>
      </c>
    </row>
    <row r="83" spans="1:96">
      <c r="A83" s="76" t="s">
        <v>898</v>
      </c>
      <c r="B83" s="41">
        <v>2</v>
      </c>
      <c r="C83" s="41">
        <v>200</v>
      </c>
      <c r="D83" s="41">
        <v>200</v>
      </c>
      <c r="E83" s="41">
        <v>25.269100000000002</v>
      </c>
      <c r="F83" s="41">
        <v>25.069400000000002</v>
      </c>
      <c r="G83" s="41">
        <v>1448.62</v>
      </c>
      <c r="H83" s="41">
        <v>1448.64</v>
      </c>
      <c r="I83" s="41">
        <v>1447.83</v>
      </c>
      <c r="J83" s="41">
        <v>1447.53</v>
      </c>
      <c r="K83" s="41">
        <v>1448.64</v>
      </c>
      <c r="L83" s="41">
        <v>1447.59</v>
      </c>
      <c r="M83" s="41">
        <v>1448.16</v>
      </c>
      <c r="N83" s="41">
        <v>1448.43</v>
      </c>
      <c r="O83" s="41">
        <v>0.84429699999999996</v>
      </c>
      <c r="P83" s="41">
        <v>2499.89</v>
      </c>
      <c r="Q83" s="41">
        <v>2499.88</v>
      </c>
      <c r="R83" s="41">
        <v>2499.62</v>
      </c>
      <c r="S83" s="41">
        <v>2500.31</v>
      </c>
      <c r="T83" s="41">
        <v>2499.9899999999998</v>
      </c>
      <c r="U83" s="41">
        <v>2500.0300000000002</v>
      </c>
      <c r="V83" s="41">
        <v>2499.58</v>
      </c>
      <c r="W83" s="41">
        <v>2499.4299999999998</v>
      </c>
      <c r="X83" s="41">
        <v>210.1</v>
      </c>
      <c r="Y83" s="41">
        <v>6.7892099999999997E-2</v>
      </c>
      <c r="Z83" s="41">
        <v>-5.3337900000000001E-2</v>
      </c>
      <c r="AA83" s="41">
        <v>-5.85689E-2</v>
      </c>
      <c r="AB83" s="41">
        <v>3.1257400000000001E-3</v>
      </c>
      <c r="AC83" s="41">
        <v>-7.8835500000000003E-2</v>
      </c>
      <c r="AD83" s="41">
        <v>1.99729</v>
      </c>
      <c r="AE83" s="41">
        <v>2.0027699999999999</v>
      </c>
      <c r="AF83" s="41">
        <v>-6.5635200000000005E-2</v>
      </c>
      <c r="AG83" s="76" t="s">
        <v>899</v>
      </c>
      <c r="AH83" s="41" t="s">
        <v>173</v>
      </c>
      <c r="AI83" s="41">
        <v>35.493312000000003</v>
      </c>
      <c r="AJ83" s="41">
        <v>35.933028999999998</v>
      </c>
      <c r="AK83" s="41">
        <v>6381922</v>
      </c>
      <c r="AL83" s="41">
        <v>1.6166666746139999</v>
      </c>
      <c r="AM83" s="41">
        <v>64.506687999999997</v>
      </c>
      <c r="AN83" s="41">
        <v>65.305842999999996</v>
      </c>
      <c r="AO83" s="41">
        <v>311661409</v>
      </c>
      <c r="AP83" s="41">
        <v>4.0369999999999999</v>
      </c>
      <c r="AR83" s="113">
        <f t="shared" si="40"/>
        <v>64.873965693125285</v>
      </c>
      <c r="AS83" s="113">
        <f t="shared" si="41"/>
        <v>34.606883582855772</v>
      </c>
      <c r="AU83" s="106">
        <f t="shared" si="42"/>
        <v>46258</v>
      </c>
      <c r="AV83" s="107">
        <f t="shared" si="43"/>
        <v>7.4050925925925923E-2</v>
      </c>
      <c r="AW83" s="106">
        <f t="shared" si="44"/>
        <v>46258</v>
      </c>
      <c r="AX83" s="107">
        <f t="shared" si="45"/>
        <v>0.14534722222222221</v>
      </c>
      <c r="AY83" s="142">
        <v>46258</v>
      </c>
      <c r="AZ83" s="116">
        <v>7.407407407407407E-2</v>
      </c>
      <c r="BA83" s="41" t="s">
        <v>900</v>
      </c>
      <c r="BB83" s="41">
        <v>0</v>
      </c>
      <c r="BC83" s="41">
        <v>0</v>
      </c>
      <c r="BD83" s="41">
        <v>16.925957</v>
      </c>
      <c r="BE83" s="41">
        <v>5.6203640000000004</v>
      </c>
      <c r="BF83" s="41">
        <v>30.401775000000001</v>
      </c>
      <c r="BG83" s="41">
        <v>8.5938780000000001</v>
      </c>
      <c r="BH83" s="41">
        <v>10.10393</v>
      </c>
      <c r="BI83" s="41">
        <v>0</v>
      </c>
      <c r="BJ83" s="41">
        <v>8.8115659999999991</v>
      </c>
      <c r="BK83" s="41">
        <v>6.4284660000000002</v>
      </c>
      <c r="BL83" s="41">
        <v>3.864878</v>
      </c>
      <c r="BM83" s="41">
        <v>0</v>
      </c>
      <c r="BN83" s="41">
        <v>0</v>
      </c>
      <c r="BO83" s="41">
        <v>0</v>
      </c>
      <c r="BP83" s="41">
        <v>0</v>
      </c>
      <c r="BQ83" s="41">
        <v>0</v>
      </c>
      <c r="BR83" s="41">
        <v>4.2079069999999996</v>
      </c>
      <c r="BS83" s="41">
        <v>5.041277</v>
      </c>
      <c r="BT83" s="41">
        <v>0</v>
      </c>
      <c r="BU83" s="41">
        <v>0</v>
      </c>
      <c r="BV83" s="41">
        <v>0</v>
      </c>
      <c r="BW83" s="41">
        <v>0</v>
      </c>
      <c r="BX83" s="41">
        <v>0</v>
      </c>
      <c r="BY83" s="41">
        <v>0</v>
      </c>
      <c r="BZ83" s="41">
        <v>0</v>
      </c>
      <c r="CA83" s="41">
        <v>0</v>
      </c>
      <c r="CB83" s="41">
        <v>0</v>
      </c>
      <c r="CC83" s="41">
        <v>0</v>
      </c>
      <c r="CD83" s="41">
        <v>0</v>
      </c>
      <c r="CE83" s="41">
        <v>0</v>
      </c>
      <c r="CF83" s="41">
        <v>0</v>
      </c>
      <c r="CG83" s="41">
        <v>0</v>
      </c>
      <c r="CH83" s="41">
        <v>0</v>
      </c>
      <c r="CI83" s="41">
        <v>0</v>
      </c>
      <c r="CJ83" s="41">
        <v>0</v>
      </c>
      <c r="CK83" s="41">
        <v>0</v>
      </c>
      <c r="CL83" s="41">
        <v>82.829964000000004</v>
      </c>
      <c r="CM83" s="41">
        <v>17.094109</v>
      </c>
      <c r="CN83" s="41">
        <v>82.484756000000004</v>
      </c>
      <c r="CO83" s="41">
        <v>84.516463999999999</v>
      </c>
      <c r="CP83" s="41">
        <v>63.422665000000002</v>
      </c>
      <c r="CQ83" s="41">
        <v>0.58150400000000002</v>
      </c>
    </row>
    <row r="84" spans="1:96">
      <c r="A84" s="76" t="s">
        <v>901</v>
      </c>
      <c r="B84" s="41">
        <v>3</v>
      </c>
      <c r="C84" s="41">
        <v>200</v>
      </c>
      <c r="D84" s="41">
        <v>200</v>
      </c>
      <c r="E84" s="41">
        <v>25.095500000000001</v>
      </c>
      <c r="F84" s="41">
        <v>25.044799999999999</v>
      </c>
      <c r="G84" s="41">
        <v>1426.35</v>
      </c>
      <c r="H84" s="41">
        <v>1425.65</v>
      </c>
      <c r="I84" s="41">
        <v>1426.23</v>
      </c>
      <c r="J84" s="41">
        <v>1425.41</v>
      </c>
      <c r="K84" s="41">
        <v>1425.75</v>
      </c>
      <c r="L84" s="41">
        <v>1425.72</v>
      </c>
      <c r="M84" s="41">
        <v>1426.34</v>
      </c>
      <c r="N84" s="41">
        <v>1426.41</v>
      </c>
      <c r="O84" s="41">
        <v>0.93663600000000002</v>
      </c>
      <c r="P84" s="41">
        <v>2499.94</v>
      </c>
      <c r="Q84" s="41">
        <v>2500.13</v>
      </c>
      <c r="R84" s="41">
        <v>2500.4499999999998</v>
      </c>
      <c r="S84" s="41">
        <v>2499.9</v>
      </c>
      <c r="T84" s="41">
        <v>2499.9</v>
      </c>
      <c r="U84" s="41">
        <v>2499.5700000000002</v>
      </c>
      <c r="V84" s="41">
        <v>2500.29</v>
      </c>
      <c r="W84" s="41">
        <v>2500.12</v>
      </c>
      <c r="X84" s="41">
        <v>210</v>
      </c>
      <c r="Y84" s="41">
        <v>6.7561200000000002E-2</v>
      </c>
      <c r="Z84" s="41">
        <v>-6.2984299999999993E-2</v>
      </c>
      <c r="AA84" s="41">
        <v>-5.4479199999999998E-2</v>
      </c>
      <c r="AB84" s="41">
        <v>2.3029700000000001E-3</v>
      </c>
      <c r="AC84" s="41">
        <v>-7.5936199999999995E-2</v>
      </c>
      <c r="AD84" s="41">
        <v>2.0026799999999998</v>
      </c>
      <c r="AE84" s="41">
        <v>2.0002599999999999</v>
      </c>
      <c r="AF84" s="41">
        <v>-6.4372799999999994E-2</v>
      </c>
      <c r="AG84" s="76" t="s">
        <v>902</v>
      </c>
      <c r="AH84" s="41" t="s">
        <v>173</v>
      </c>
      <c r="AI84" s="41">
        <v>35.437961000000001</v>
      </c>
      <c r="AJ84" s="41">
        <v>35.828623999999998</v>
      </c>
      <c r="AK84" s="41">
        <v>6363379</v>
      </c>
      <c r="AL84" s="41">
        <v>1.6150000095367001</v>
      </c>
      <c r="AM84" s="41">
        <v>64.562038999999999</v>
      </c>
      <c r="AN84" s="41">
        <v>65.273762000000005</v>
      </c>
      <c r="AO84" s="41">
        <v>311508304</v>
      </c>
      <c r="AP84" s="41">
        <v>4.0350000000000001</v>
      </c>
      <c r="AR84" s="113">
        <f t="shared" si="40"/>
        <v>64.841501237998244</v>
      </c>
      <c r="AS84" s="113">
        <f t="shared" si="41"/>
        <v>34.503412217020347</v>
      </c>
      <c r="AU84" s="106">
        <f t="shared" si="42"/>
        <v>46258</v>
      </c>
      <c r="AV84" s="107">
        <f t="shared" si="43"/>
        <v>0.16017361111111111</v>
      </c>
      <c r="AW84" s="106">
        <f t="shared" si="44"/>
        <v>46258</v>
      </c>
      <c r="AX84" s="107">
        <f t="shared" si="45"/>
        <v>0.23148148148148148</v>
      </c>
      <c r="AY84" s="142">
        <v>46258</v>
      </c>
      <c r="AZ84" s="116">
        <v>0.16019675925925925</v>
      </c>
      <c r="BA84" s="41" t="s">
        <v>903</v>
      </c>
      <c r="BB84" s="41">
        <v>0</v>
      </c>
      <c r="BC84" s="41">
        <v>0</v>
      </c>
      <c r="BD84" s="41">
        <v>10.92606</v>
      </c>
      <c r="BE84" s="41">
        <v>4.7729059999999999</v>
      </c>
      <c r="BF84" s="41">
        <v>20.056726000000001</v>
      </c>
      <c r="BG84" s="41">
        <v>9.5424299999999995</v>
      </c>
      <c r="BH84" s="41">
        <v>10.223031000000001</v>
      </c>
      <c r="BI84" s="41">
        <v>0</v>
      </c>
      <c r="BJ84" s="41">
        <v>17.589853000000002</v>
      </c>
      <c r="BK84" s="41">
        <v>14.172425</v>
      </c>
      <c r="BL84" s="41">
        <v>7.0938290000000004</v>
      </c>
      <c r="BM84" s="41">
        <v>3.140682</v>
      </c>
      <c r="BN84" s="41">
        <v>0</v>
      </c>
      <c r="BO84" s="41">
        <v>0</v>
      </c>
      <c r="BP84" s="41">
        <v>0</v>
      </c>
      <c r="BQ84" s="41">
        <v>0</v>
      </c>
      <c r="BR84" s="41">
        <v>2.4820519999999999</v>
      </c>
      <c r="BS84" s="41">
        <v>0</v>
      </c>
      <c r="BT84" s="41">
        <v>0</v>
      </c>
      <c r="BU84" s="41">
        <v>0</v>
      </c>
      <c r="BV84" s="41">
        <v>0</v>
      </c>
      <c r="BW84" s="41">
        <v>0</v>
      </c>
      <c r="BX84" s="41">
        <v>0</v>
      </c>
      <c r="BY84" s="41">
        <v>0</v>
      </c>
      <c r="BZ84" s="41">
        <v>0</v>
      </c>
      <c r="CA84" s="41">
        <v>0</v>
      </c>
      <c r="CB84" s="41">
        <v>0</v>
      </c>
      <c r="CC84" s="41">
        <v>0</v>
      </c>
      <c r="CD84" s="41">
        <v>0</v>
      </c>
      <c r="CE84" s="41">
        <v>0</v>
      </c>
      <c r="CF84" s="41">
        <v>0</v>
      </c>
      <c r="CG84" s="41">
        <v>0</v>
      </c>
      <c r="CH84" s="41">
        <v>0</v>
      </c>
      <c r="CI84" s="41">
        <v>0</v>
      </c>
      <c r="CJ84" s="41">
        <v>0</v>
      </c>
      <c r="CK84" s="41">
        <v>0</v>
      </c>
      <c r="CL84" s="41">
        <v>83.029540999999995</v>
      </c>
      <c r="CM84" s="41">
        <v>16.894337</v>
      </c>
      <c r="CN84" s="41">
        <v>76.045738</v>
      </c>
      <c r="CO84" s="41">
        <v>79.209663000000006</v>
      </c>
      <c r="CP84" s="41">
        <v>68.44632</v>
      </c>
      <c r="CQ84" s="41">
        <v>0.60517299999999996</v>
      </c>
    </row>
    <row r="85" spans="1:96">
      <c r="A85" s="76" t="s">
        <v>904</v>
      </c>
      <c r="B85" s="41">
        <v>4</v>
      </c>
      <c r="C85" s="41">
        <v>200</v>
      </c>
      <c r="D85" s="41">
        <v>200</v>
      </c>
      <c r="E85" s="41">
        <v>25.277799999999999</v>
      </c>
      <c r="F85" s="41">
        <v>25.047699999999999</v>
      </c>
      <c r="G85" s="41">
        <v>1443.51</v>
      </c>
      <c r="H85" s="41">
        <v>1443.37</v>
      </c>
      <c r="I85" s="41">
        <v>1444.16</v>
      </c>
      <c r="J85" s="41">
        <v>1443.82</v>
      </c>
      <c r="K85" s="41">
        <v>1443.98</v>
      </c>
      <c r="L85" s="41">
        <v>1444.49</v>
      </c>
      <c r="M85" s="41">
        <v>1443.51</v>
      </c>
      <c r="N85" s="41">
        <v>1443.74</v>
      </c>
      <c r="O85" s="41">
        <v>0.93305800000000005</v>
      </c>
      <c r="P85" s="41">
        <v>2499.92</v>
      </c>
      <c r="Q85" s="41">
        <v>2499.54</v>
      </c>
      <c r="R85" s="41">
        <v>2499.75</v>
      </c>
      <c r="S85" s="41">
        <v>2499.7800000000002</v>
      </c>
      <c r="T85" s="41">
        <v>2499.88</v>
      </c>
      <c r="U85" s="41">
        <v>2500.19</v>
      </c>
      <c r="V85" s="41">
        <v>2500.19</v>
      </c>
      <c r="W85" s="41">
        <v>2499.48</v>
      </c>
      <c r="X85" s="41">
        <v>210</v>
      </c>
      <c r="Y85" s="41">
        <v>7.0106199999999994E-2</v>
      </c>
      <c r="Z85" s="41">
        <v>-5.57244E-2</v>
      </c>
      <c r="AA85" s="41">
        <v>-5.7880300000000003E-2</v>
      </c>
      <c r="AB85" s="41">
        <v>8.70709E-4</v>
      </c>
      <c r="AC85" s="41">
        <v>-7.4585499999999999E-2</v>
      </c>
      <c r="AD85" s="41">
        <v>1.99868</v>
      </c>
      <c r="AE85" s="41">
        <v>1.99891</v>
      </c>
      <c r="AF85" s="41">
        <v>-6.7894200000000002E-2</v>
      </c>
      <c r="AG85" s="76" t="s">
        <v>905</v>
      </c>
      <c r="AH85" s="41" t="s">
        <v>173</v>
      </c>
      <c r="AI85" s="41">
        <v>36.749796000000003</v>
      </c>
      <c r="AJ85" s="41">
        <v>37.254578000000002</v>
      </c>
      <c r="AK85" s="41">
        <v>6616637</v>
      </c>
      <c r="AL85" s="41">
        <v>1.6166666746139999</v>
      </c>
      <c r="AM85" s="41">
        <v>63.250203999999997</v>
      </c>
      <c r="AN85" s="41">
        <v>64.118984999999995</v>
      </c>
      <c r="AO85" s="41">
        <v>305997322</v>
      </c>
      <c r="AP85" s="41">
        <v>4.0380000000000003</v>
      </c>
      <c r="AR85" s="113">
        <f t="shared" si="40"/>
        <v>63.672950061714374</v>
      </c>
      <c r="AS85" s="113">
        <f t="shared" si="41"/>
        <v>35.916611330904139</v>
      </c>
      <c r="AU85" s="106">
        <f t="shared" si="42"/>
        <v>46258</v>
      </c>
      <c r="AV85" s="107">
        <f t="shared" si="43"/>
        <v>0.24630787037037036</v>
      </c>
      <c r="AW85" s="106">
        <f t="shared" si="44"/>
        <v>46258</v>
      </c>
      <c r="AX85" s="107">
        <f t="shared" si="45"/>
        <v>0.31759259259259259</v>
      </c>
      <c r="AY85" s="142">
        <v>46258</v>
      </c>
      <c r="AZ85" s="116">
        <v>0.24631944444444445</v>
      </c>
      <c r="BA85" s="41" t="s">
        <v>906</v>
      </c>
      <c r="BB85" s="41">
        <v>0</v>
      </c>
      <c r="BC85" s="41">
        <v>0</v>
      </c>
      <c r="BD85" s="41">
        <v>0</v>
      </c>
      <c r="BE85" s="41">
        <v>2.4351379999999998</v>
      </c>
      <c r="BF85" s="41">
        <v>2.7121460000000002</v>
      </c>
      <c r="BG85" s="41">
        <v>15.491783</v>
      </c>
      <c r="BH85" s="41">
        <v>9.0045090000000005</v>
      </c>
      <c r="BI85" s="41">
        <v>0</v>
      </c>
      <c r="BJ85" s="41">
        <v>22.289415000000002</v>
      </c>
      <c r="BK85" s="41">
        <v>10.277917</v>
      </c>
      <c r="BL85" s="41">
        <v>5.0162829999999996</v>
      </c>
      <c r="BM85" s="41">
        <v>0</v>
      </c>
      <c r="BN85" s="41">
        <v>0</v>
      </c>
      <c r="BO85" s="41">
        <v>0</v>
      </c>
      <c r="BP85" s="41">
        <v>0</v>
      </c>
      <c r="BQ85" s="41">
        <v>0</v>
      </c>
      <c r="BR85" s="41">
        <v>16.67454</v>
      </c>
      <c r="BS85" s="41">
        <v>12.477366</v>
      </c>
      <c r="BT85" s="41">
        <v>0</v>
      </c>
      <c r="BU85" s="41">
        <v>0</v>
      </c>
      <c r="BV85" s="41">
        <v>0</v>
      </c>
      <c r="BW85" s="41">
        <v>3.6209009999999999</v>
      </c>
      <c r="BX85" s="41">
        <v>0</v>
      </c>
      <c r="BY85" s="41">
        <v>0</v>
      </c>
      <c r="BZ85" s="41">
        <v>0</v>
      </c>
      <c r="CA85" s="41">
        <v>0</v>
      </c>
      <c r="CB85" s="41">
        <v>0</v>
      </c>
      <c r="CC85" s="41">
        <v>0</v>
      </c>
      <c r="CD85" s="41">
        <v>0</v>
      </c>
      <c r="CE85" s="41">
        <v>0</v>
      </c>
      <c r="CF85" s="41">
        <v>0</v>
      </c>
      <c r="CG85" s="41">
        <v>0</v>
      </c>
      <c r="CH85" s="41">
        <v>0</v>
      </c>
      <c r="CI85" s="41">
        <v>0</v>
      </c>
      <c r="CJ85" s="41">
        <v>0</v>
      </c>
      <c r="CK85" s="41">
        <v>0</v>
      </c>
      <c r="CL85" s="41">
        <v>83.502433999999994</v>
      </c>
      <c r="CM85" s="41">
        <v>16.421012999999999</v>
      </c>
      <c r="CN85" s="41">
        <v>44.856135999999999</v>
      </c>
      <c r="CO85" s="41">
        <v>44.400078000000001</v>
      </c>
      <c r="CP85" s="41">
        <v>84.259636</v>
      </c>
      <c r="CQ85" s="41">
        <v>0.65240299999999996</v>
      </c>
    </row>
    <row r="86" spans="1:96">
      <c r="A86" s="76" t="s">
        <v>907</v>
      </c>
      <c r="B86" s="41">
        <v>7</v>
      </c>
      <c r="C86" s="41">
        <v>200</v>
      </c>
      <c r="D86" s="41">
        <v>200</v>
      </c>
      <c r="E86" s="41">
        <v>24.9421</v>
      </c>
      <c r="F86" s="41">
        <v>25.065100000000001</v>
      </c>
      <c r="G86" s="41">
        <v>1417.32</v>
      </c>
      <c r="H86" s="41">
        <v>1416.99</v>
      </c>
      <c r="I86" s="41">
        <v>1418.06</v>
      </c>
      <c r="J86" s="41">
        <v>1417.08</v>
      </c>
      <c r="K86" s="41">
        <v>1417.42</v>
      </c>
      <c r="L86" s="41">
        <v>1417.82</v>
      </c>
      <c r="M86" s="41">
        <v>1417.89</v>
      </c>
      <c r="N86" s="41">
        <v>1418.36</v>
      </c>
      <c r="O86" s="41">
        <v>0.95289999999999997</v>
      </c>
      <c r="P86" s="41">
        <v>2499.91</v>
      </c>
      <c r="Q86" s="41">
        <v>2499.83</v>
      </c>
      <c r="R86" s="41">
        <v>2499.85</v>
      </c>
      <c r="S86" s="41">
        <v>2500.08</v>
      </c>
      <c r="T86" s="41">
        <v>2499.38</v>
      </c>
      <c r="U86" s="41">
        <v>2500.54</v>
      </c>
      <c r="V86" s="41">
        <v>2499.9699999999998</v>
      </c>
      <c r="W86" s="41">
        <v>2499.2600000000002</v>
      </c>
      <c r="X86" s="41">
        <v>210</v>
      </c>
      <c r="Y86" s="41">
        <v>7.1557200000000001E-2</v>
      </c>
      <c r="Z86" s="41">
        <v>-6.4245700000000003E-2</v>
      </c>
      <c r="AA86" s="41">
        <v>-5.7518899999999998E-2</v>
      </c>
      <c r="AB86" s="41">
        <v>-1.8724099999999999E-3</v>
      </c>
      <c r="AC86" s="41">
        <v>-7.3322499999999999E-2</v>
      </c>
      <c r="AD86" s="41">
        <v>-4.2155199999999997E-2</v>
      </c>
      <c r="AE86" s="41">
        <v>1.99794</v>
      </c>
      <c r="AF86" s="41">
        <v>-6.2557299999999996E-2</v>
      </c>
      <c r="AG86" s="76" t="s">
        <v>908</v>
      </c>
      <c r="AH86" s="41" t="s">
        <v>173</v>
      </c>
      <c r="AI86" s="41">
        <v>35.178784</v>
      </c>
      <c r="AJ86" s="41">
        <v>31.227748999999999</v>
      </c>
      <c r="AK86" s="41">
        <v>5546236</v>
      </c>
      <c r="AL86" s="41">
        <v>1.6133333444594999</v>
      </c>
      <c r="AM86" s="41">
        <v>64.821216000000007</v>
      </c>
      <c r="AN86" s="41">
        <v>57.540950000000002</v>
      </c>
      <c r="AO86" s="41">
        <v>274604729</v>
      </c>
      <c r="AP86" s="41">
        <v>4.0469999999999997</v>
      </c>
      <c r="AR86" s="113">
        <f t="shared" si="40"/>
        <v>57.016450099139519</v>
      </c>
      <c r="AS86" s="113">
        <f t="shared" si="41"/>
        <v>29.943691444068101</v>
      </c>
      <c r="AU86" s="106">
        <f t="shared" ref="AU86" si="46">DATEVALUE(SUBSTITUTE(LEFT(A86,10),".","/"))</f>
        <v>46258</v>
      </c>
      <c r="AV86" s="107">
        <f t="shared" ref="AV86" si="47">TIMEVALUE(RIGHT(A86,8))</f>
        <v>0.6253009259259259</v>
      </c>
      <c r="AW86" s="106">
        <f t="shared" ref="AW86" si="48">DATEVALUE(SUBSTITUTE(LEFT(AG86,10),".","/"))</f>
        <v>46258</v>
      </c>
      <c r="AX86" s="107">
        <f t="shared" ref="AX86" si="49">TIMEVALUE(RIGHT(AG86,8))</f>
        <v>0.69655092592592593</v>
      </c>
      <c r="AY86" s="142">
        <v>46258</v>
      </c>
      <c r="AZ86" s="116">
        <v>0.62533564814814813</v>
      </c>
      <c r="BA86" s="41" t="s">
        <v>909</v>
      </c>
      <c r="BB86" s="41">
        <v>0</v>
      </c>
      <c r="BC86" s="41">
        <v>0</v>
      </c>
      <c r="BD86" s="41">
        <v>4.6856109999999997</v>
      </c>
      <c r="BE86" s="41">
        <v>3.1393979999999999</v>
      </c>
      <c r="BF86" s="41">
        <v>11.244897999999999</v>
      </c>
      <c r="BG86" s="41">
        <v>12.526223999999999</v>
      </c>
      <c r="BH86" s="41">
        <v>10.177851</v>
      </c>
      <c r="BI86" s="41">
        <v>0</v>
      </c>
      <c r="BJ86" s="41">
        <v>15.189254</v>
      </c>
      <c r="BK86" s="41">
        <v>7.7709799999999998</v>
      </c>
      <c r="BL86" s="41">
        <v>4.6948480000000004</v>
      </c>
      <c r="BM86" s="41">
        <v>2.364182</v>
      </c>
      <c r="BN86" s="41">
        <v>0.27484799999999998</v>
      </c>
      <c r="BO86" s="41">
        <v>0.35458699999999999</v>
      </c>
      <c r="BP86" s="41">
        <v>0.56901800000000002</v>
      </c>
      <c r="BQ86" s="41">
        <v>0</v>
      </c>
      <c r="BR86" s="41">
        <v>9.0461419999999997</v>
      </c>
      <c r="BS86" s="41">
        <v>9.9801110000000008</v>
      </c>
      <c r="BT86" s="41">
        <v>3.7666460000000002</v>
      </c>
      <c r="BU86" s="41">
        <v>1.006186</v>
      </c>
      <c r="BV86" s="41">
        <v>0</v>
      </c>
      <c r="BW86" s="41">
        <v>2.1812990000000001</v>
      </c>
      <c r="BX86" s="41">
        <v>0.737703</v>
      </c>
      <c r="BY86" s="41">
        <v>0</v>
      </c>
      <c r="BZ86" s="41">
        <v>0.117188</v>
      </c>
      <c r="CA86" s="41">
        <v>1.6180000000000001E-3</v>
      </c>
      <c r="CB86" s="41">
        <v>0</v>
      </c>
      <c r="CC86" s="41">
        <v>0</v>
      </c>
      <c r="CD86" s="41">
        <v>0</v>
      </c>
      <c r="CE86" s="41">
        <v>0</v>
      </c>
      <c r="CF86" s="41">
        <v>6.1219999999999998E-3</v>
      </c>
      <c r="CG86" s="41">
        <v>0</v>
      </c>
      <c r="CH86" s="41">
        <v>0</v>
      </c>
      <c r="CI86" s="41">
        <v>0</v>
      </c>
      <c r="CJ86" s="41">
        <v>4.2520000000000002E-2</v>
      </c>
      <c r="CK86" s="41">
        <v>0.12275899999999999</v>
      </c>
      <c r="CL86" s="41">
        <v>83.408835999999994</v>
      </c>
      <c r="CM86" s="41">
        <v>16.535516999999999</v>
      </c>
      <c r="CN86" s="41">
        <v>63.419567000000001</v>
      </c>
      <c r="CO86" s="41">
        <v>62.459952999999999</v>
      </c>
      <c r="CP86" s="41">
        <v>77.139083999999997</v>
      </c>
      <c r="CQ86" s="41">
        <v>0.63381900000000002</v>
      </c>
    </row>
    <row r="87" spans="1:96">
      <c r="A87" s="76" t="s">
        <v>910</v>
      </c>
      <c r="B87" s="41">
        <v>7</v>
      </c>
      <c r="C87" s="41">
        <v>200</v>
      </c>
      <c r="D87" s="41">
        <v>200</v>
      </c>
      <c r="E87" s="41">
        <v>25.353000000000002</v>
      </c>
      <c r="F87" s="41">
        <v>25.044799999999999</v>
      </c>
      <c r="G87" s="41">
        <v>1468.95</v>
      </c>
      <c r="H87" s="41">
        <v>1468.89</v>
      </c>
      <c r="I87" s="41">
        <v>1468.74</v>
      </c>
      <c r="J87" s="41">
        <v>1469.29</v>
      </c>
      <c r="K87" s="41">
        <v>1468.86</v>
      </c>
      <c r="L87" s="41">
        <v>1469.31</v>
      </c>
      <c r="M87" s="41">
        <v>1468.61</v>
      </c>
      <c r="N87" s="41">
        <v>1468.88</v>
      </c>
      <c r="O87" s="41">
        <v>0.85331900000000005</v>
      </c>
      <c r="P87" s="41">
        <v>2499.4499999999998</v>
      </c>
      <c r="Q87" s="41">
        <v>2500.0700000000002</v>
      </c>
      <c r="R87" s="41">
        <v>2500.4899999999998</v>
      </c>
      <c r="S87" s="41">
        <v>2499.79</v>
      </c>
      <c r="T87" s="41">
        <v>2499.41</v>
      </c>
      <c r="U87" s="41">
        <v>2500.34</v>
      </c>
      <c r="V87" s="41">
        <v>2500.2199999999998</v>
      </c>
      <c r="W87" s="41">
        <v>2499.9899999999998</v>
      </c>
      <c r="X87" s="41">
        <v>210</v>
      </c>
      <c r="Y87" s="41">
        <v>6.8914500000000004E-2</v>
      </c>
      <c r="Z87" s="41">
        <v>-6.2908400000000003E-2</v>
      </c>
      <c r="AA87" s="41">
        <v>-6.5854899999999994E-2</v>
      </c>
      <c r="AB87" s="41">
        <v>2.9729800000000001E-3</v>
      </c>
      <c r="AC87" s="41">
        <v>-7.3725299999999994E-2</v>
      </c>
      <c r="AD87" s="41">
        <v>-6.0391300000000002E-2</v>
      </c>
      <c r="AE87" s="41">
        <v>1.99776</v>
      </c>
      <c r="AF87" s="41">
        <v>-7.6080700000000001E-2</v>
      </c>
      <c r="AG87" s="76" t="s">
        <v>911</v>
      </c>
      <c r="AH87" s="41" t="s">
        <v>173</v>
      </c>
      <c r="AI87" s="41">
        <v>35.258634999999998</v>
      </c>
      <c r="AJ87" s="41">
        <v>31.094752</v>
      </c>
      <c r="AK87" s="41">
        <v>5522615</v>
      </c>
      <c r="AL87" s="41">
        <v>1.6150000095367001</v>
      </c>
      <c r="AM87" s="41">
        <v>64.741365000000002</v>
      </c>
      <c r="AN87" s="41">
        <v>57.095708000000002</v>
      </c>
      <c r="AO87" s="41">
        <v>272479889</v>
      </c>
      <c r="AP87" s="41">
        <v>4.05</v>
      </c>
      <c r="AR87" s="113">
        <f t="shared" si="40"/>
        <v>56.565898041191403</v>
      </c>
      <c r="AS87" s="113">
        <f t="shared" si="41"/>
        <v>29.811884447767689</v>
      </c>
      <c r="AU87" s="106">
        <f t="shared" ref="AU87" si="50">DATEVALUE(SUBSTITUTE(LEFT(A87,10),".","/"))</f>
        <v>46258</v>
      </c>
      <c r="AV87" s="107">
        <f t="shared" ref="AV87" si="51">TIMEVALUE(RIGHT(A87,8))</f>
        <v>0.74793981481481486</v>
      </c>
      <c r="AW87" s="106">
        <f t="shared" ref="AW87" si="52">DATEVALUE(SUBSTITUTE(LEFT(AG87,10),".","/"))</f>
        <v>46258</v>
      </c>
      <c r="AX87" s="107">
        <f t="shared" ref="AX87" si="53">TIMEVALUE(RIGHT(AG87,8))</f>
        <v>0.81922453703703701</v>
      </c>
      <c r="AY87" s="142">
        <v>46258</v>
      </c>
      <c r="AZ87" s="116">
        <v>0.74796296296296294</v>
      </c>
      <c r="BA87" s="41" t="s">
        <v>912</v>
      </c>
      <c r="BB87" s="41">
        <v>0</v>
      </c>
      <c r="BC87" s="41">
        <v>0</v>
      </c>
      <c r="BD87" s="41">
        <v>4.6318900000000003</v>
      </c>
      <c r="BE87" s="41">
        <v>3.1254490000000001</v>
      </c>
      <c r="BF87" s="41">
        <v>11.172257</v>
      </c>
      <c r="BG87" s="41">
        <v>12.505836</v>
      </c>
      <c r="BH87" s="41">
        <v>10.155039</v>
      </c>
      <c r="BI87" s="41">
        <v>0</v>
      </c>
      <c r="BJ87" s="41">
        <v>15.20809</v>
      </c>
      <c r="BK87" s="41">
        <v>7.7623939999999996</v>
      </c>
      <c r="BL87" s="41">
        <v>4.690639</v>
      </c>
      <c r="BM87" s="41">
        <v>2.3618990000000002</v>
      </c>
      <c r="BN87" s="41">
        <v>0.27516400000000002</v>
      </c>
      <c r="BO87" s="41">
        <v>0.35352499999999998</v>
      </c>
      <c r="BP87" s="41">
        <v>0.567805</v>
      </c>
      <c r="BQ87" s="41">
        <v>0</v>
      </c>
      <c r="BR87" s="41">
        <v>9.1111730000000009</v>
      </c>
      <c r="BS87" s="41">
        <v>10.023876</v>
      </c>
      <c r="BT87" s="41">
        <v>3.7851029999999999</v>
      </c>
      <c r="BU87" s="41">
        <v>1.0071129999999999</v>
      </c>
      <c r="BV87" s="41">
        <v>0</v>
      </c>
      <c r="BW87" s="41">
        <v>2.2277640000000001</v>
      </c>
      <c r="BX87" s="41">
        <v>0.73675400000000002</v>
      </c>
      <c r="BY87" s="41">
        <v>0</v>
      </c>
      <c r="BZ87" s="41">
        <v>0.117803</v>
      </c>
      <c r="CA87" s="41">
        <v>1.591E-3</v>
      </c>
      <c r="CB87" s="41">
        <v>0</v>
      </c>
      <c r="CC87" s="41">
        <v>0</v>
      </c>
      <c r="CD87" s="41">
        <v>0</v>
      </c>
      <c r="CE87" s="41">
        <v>0</v>
      </c>
      <c r="CF87" s="41">
        <v>5.8040000000000001E-3</v>
      </c>
      <c r="CG87" s="41">
        <v>0</v>
      </c>
      <c r="CH87" s="41">
        <v>0</v>
      </c>
      <c r="CI87" s="41">
        <v>0</v>
      </c>
      <c r="CJ87" s="41">
        <v>4.1874000000000001E-2</v>
      </c>
      <c r="CK87" s="41">
        <v>0.13117000000000001</v>
      </c>
      <c r="CL87" s="41">
        <v>83.413291999999998</v>
      </c>
      <c r="CM87" s="41">
        <v>16.531728999999999</v>
      </c>
      <c r="CN87" s="41">
        <v>63.275886999999997</v>
      </c>
      <c r="CO87" s="41">
        <v>62.298180000000002</v>
      </c>
      <c r="CP87" s="41">
        <v>77.231735</v>
      </c>
      <c r="CQ87" s="41">
        <v>0.63427900000000004</v>
      </c>
    </row>
    <row r="88" spans="1:96">
      <c r="A88" s="76" t="s">
        <v>913</v>
      </c>
      <c r="C88" s="41">
        <v>200</v>
      </c>
      <c r="D88" s="41">
        <v>212</v>
      </c>
      <c r="E88" s="41">
        <v>25.2286</v>
      </c>
      <c r="F88" s="41">
        <v>25.046299999999999</v>
      </c>
      <c r="G88" s="41">
        <v>1418.03</v>
      </c>
      <c r="H88" s="41">
        <v>1417.58</v>
      </c>
      <c r="I88" s="41">
        <v>1418.05</v>
      </c>
      <c r="J88" s="41">
        <v>1419.53</v>
      </c>
      <c r="K88" s="41">
        <v>1418.02</v>
      </c>
      <c r="L88" s="41">
        <v>1418.53</v>
      </c>
      <c r="M88" s="41">
        <v>1418.82</v>
      </c>
      <c r="N88" s="41">
        <v>1417.23</v>
      </c>
      <c r="O88" s="41">
        <v>0.97222299999999995</v>
      </c>
      <c r="P88" s="41">
        <v>2500.33</v>
      </c>
      <c r="Q88" s="41">
        <v>2500.7199999999998</v>
      </c>
      <c r="R88" s="41">
        <v>2499.59</v>
      </c>
      <c r="S88" s="41">
        <v>2500.5100000000002</v>
      </c>
      <c r="T88" s="41">
        <v>2499.94</v>
      </c>
      <c r="U88" s="41">
        <v>2499</v>
      </c>
      <c r="V88" s="41">
        <v>2499.6</v>
      </c>
      <c r="W88" s="41">
        <v>2500.87</v>
      </c>
      <c r="X88" s="41">
        <v>210</v>
      </c>
      <c r="Y88" s="41">
        <v>7.0433800000000005E-2</v>
      </c>
      <c r="Z88" s="41">
        <v>-6.2543000000000001E-2</v>
      </c>
      <c r="AA88" s="41">
        <v>-5.8942599999999998E-2</v>
      </c>
      <c r="AB88" s="41">
        <v>1.06309E-3</v>
      </c>
      <c r="AC88" s="41">
        <v>-7.3548000000000002E-2</v>
      </c>
      <c r="AD88" s="41">
        <v>-5.98548E-2</v>
      </c>
      <c r="AE88" s="41">
        <v>1.9984599999999999</v>
      </c>
      <c r="AF88" s="41">
        <v>-6.2020100000000002E-2</v>
      </c>
      <c r="AG88" s="76" t="s">
        <v>914</v>
      </c>
      <c r="AH88" s="41" t="s">
        <v>173</v>
      </c>
      <c r="AI88" s="41">
        <v>35.108179999999997</v>
      </c>
      <c r="AJ88" s="41">
        <v>30.934431</v>
      </c>
      <c r="AK88" s="41">
        <v>5494141</v>
      </c>
      <c r="AL88" s="41">
        <v>1.6150000095367001</v>
      </c>
      <c r="AM88" s="41">
        <v>64.891819999999996</v>
      </c>
      <c r="AN88" s="41">
        <v>57.177317000000002</v>
      </c>
      <c r="AO88" s="41">
        <v>272869352</v>
      </c>
      <c r="AP88" s="41">
        <v>4.048</v>
      </c>
      <c r="AR88" s="113">
        <f t="shared" si="40"/>
        <v>56.648479956133066</v>
      </c>
      <c r="AS88" s="113">
        <f t="shared" si="41"/>
        <v>29.652997338303322</v>
      </c>
      <c r="AU88" s="106">
        <f t="shared" ref="AU88" si="54">DATEVALUE(SUBSTITUTE(LEFT(A88,10),".","/"))</f>
        <v>46258</v>
      </c>
      <c r="AV88" s="107">
        <f t="shared" ref="AV88" si="55">TIMEVALUE(RIGHT(A88,8))</f>
        <v>0.83407407407407408</v>
      </c>
      <c r="AW88" s="106">
        <f t="shared" ref="AW88" si="56">DATEVALUE(SUBSTITUTE(LEFT(AG88,10),".","/"))</f>
        <v>46258</v>
      </c>
      <c r="AX88" s="107">
        <f t="shared" ref="AX88" si="57">TIMEVALUE(RIGHT(AG88,8))</f>
        <v>0.90537037037037038</v>
      </c>
      <c r="AY88" s="142">
        <v>46258</v>
      </c>
      <c r="AZ88" s="116">
        <v>0.83409722222222227</v>
      </c>
      <c r="BA88" s="41" t="s">
        <v>915</v>
      </c>
      <c r="BB88" s="41">
        <v>0</v>
      </c>
      <c r="BC88" s="41">
        <v>0</v>
      </c>
      <c r="BD88" s="41">
        <v>5.9365249999999996</v>
      </c>
      <c r="BE88" s="41">
        <v>3.3170989999999998</v>
      </c>
      <c r="BF88" s="41">
        <v>13.283754999999999</v>
      </c>
      <c r="BG88" s="41">
        <v>12.239839999999999</v>
      </c>
      <c r="BH88" s="41">
        <v>10.414536</v>
      </c>
      <c r="BI88" s="41">
        <v>0</v>
      </c>
      <c r="BJ88" s="41">
        <v>14.276289999999999</v>
      </c>
      <c r="BK88" s="41">
        <v>7.8792970000000002</v>
      </c>
      <c r="BL88" s="41">
        <v>4.7826370000000002</v>
      </c>
      <c r="BM88" s="41">
        <v>2.4375819999999999</v>
      </c>
      <c r="BN88" s="41">
        <v>0.34587299999999999</v>
      </c>
      <c r="BO88" s="41">
        <v>0.33153500000000002</v>
      </c>
      <c r="BP88" s="41">
        <v>0.55923400000000001</v>
      </c>
      <c r="BQ88" s="41">
        <v>0</v>
      </c>
      <c r="BR88" s="41">
        <v>7.8523360000000002</v>
      </c>
      <c r="BS88" s="41">
        <v>9.1239380000000008</v>
      </c>
      <c r="BT88" s="41">
        <v>3.5349539999999999</v>
      </c>
      <c r="BU88" s="41">
        <v>0.97527600000000003</v>
      </c>
      <c r="BV88" s="41">
        <v>0</v>
      </c>
      <c r="BW88" s="41">
        <v>1.715678</v>
      </c>
      <c r="BX88" s="41">
        <v>0.70790299999999995</v>
      </c>
      <c r="BY88" s="41">
        <v>0</v>
      </c>
      <c r="BZ88" s="41">
        <v>0.11575199999999999</v>
      </c>
      <c r="CA88" s="41">
        <v>1.8259999999999999E-3</v>
      </c>
      <c r="CB88" s="41">
        <v>0</v>
      </c>
      <c r="CC88" s="41">
        <v>0</v>
      </c>
      <c r="CD88" s="41">
        <v>0</v>
      </c>
      <c r="CE88" s="41">
        <v>0</v>
      </c>
      <c r="CF88" s="41">
        <v>7.5269999999999998E-3</v>
      </c>
      <c r="CG88" s="41">
        <v>0</v>
      </c>
      <c r="CH88" s="41">
        <v>0</v>
      </c>
      <c r="CI88" s="41">
        <v>0</v>
      </c>
      <c r="CJ88" s="41">
        <v>3.5886000000000001E-2</v>
      </c>
      <c r="CK88" s="41">
        <v>0.124725</v>
      </c>
      <c r="CL88" s="41">
        <v>83.352005000000005</v>
      </c>
      <c r="CM88" s="41">
        <v>16.591766</v>
      </c>
      <c r="CN88" s="41">
        <v>66.440414000000004</v>
      </c>
      <c r="CO88" s="41">
        <v>65.870429999999999</v>
      </c>
      <c r="CP88" s="41">
        <v>75.319214000000002</v>
      </c>
      <c r="CQ88" s="41">
        <v>0.611267</v>
      </c>
      <c r="CR88" s="41" t="s">
        <v>916</v>
      </c>
    </row>
    <row r="89" spans="1:96">
      <c r="A89" s="76" t="s">
        <v>917</v>
      </c>
      <c r="B89" s="41">
        <v>7</v>
      </c>
      <c r="C89" s="41">
        <v>200</v>
      </c>
      <c r="D89" s="41">
        <v>210</v>
      </c>
      <c r="E89" s="41">
        <v>25.269100000000002</v>
      </c>
      <c r="F89" s="41">
        <v>25.047699999999999</v>
      </c>
      <c r="G89" s="41">
        <v>1419.85</v>
      </c>
      <c r="H89" s="41">
        <v>1421.04</v>
      </c>
      <c r="I89" s="41">
        <v>1421.22</v>
      </c>
      <c r="J89" s="41">
        <v>1421.33</v>
      </c>
      <c r="K89" s="41">
        <v>1421.42</v>
      </c>
      <c r="L89" s="41">
        <v>1421.17</v>
      </c>
      <c r="M89" s="41">
        <v>1420.74</v>
      </c>
      <c r="N89" s="41">
        <v>1421.1</v>
      </c>
      <c r="O89" s="41">
        <v>0.93190099999999998</v>
      </c>
      <c r="P89" s="41">
        <v>2500.52</v>
      </c>
      <c r="Q89" s="41">
        <v>2498.9499999999998</v>
      </c>
      <c r="R89" s="41">
        <v>2501.46</v>
      </c>
      <c r="S89" s="41">
        <v>2499.83</v>
      </c>
      <c r="T89" s="41">
        <v>2499.84</v>
      </c>
      <c r="U89" s="41">
        <v>2500.25</v>
      </c>
      <c r="V89" s="41">
        <v>2500.08</v>
      </c>
      <c r="W89" s="41">
        <v>2501.15</v>
      </c>
      <c r="X89" s="41">
        <v>209.9</v>
      </c>
      <c r="Y89" s="41">
        <v>6.8822099999999997E-2</v>
      </c>
      <c r="Z89" s="41">
        <v>-5.4832699999999998E-2</v>
      </c>
      <c r="AA89" s="41">
        <v>-5.5867899999999998E-2</v>
      </c>
      <c r="AB89" s="41">
        <v>4.1644700000000002E-4</v>
      </c>
      <c r="AC89" s="41">
        <v>-6.9968900000000001E-2</v>
      </c>
      <c r="AD89" s="41">
        <v>-5.6660700000000001E-2</v>
      </c>
      <c r="AE89" s="41">
        <v>1.99882</v>
      </c>
      <c r="AF89" s="41">
        <v>-6.18837E-2</v>
      </c>
      <c r="AG89" s="76" t="s">
        <v>918</v>
      </c>
      <c r="AH89" s="41" t="s">
        <v>173</v>
      </c>
      <c r="AI89" s="41">
        <v>34.730159999999998</v>
      </c>
      <c r="AJ89" s="41">
        <v>30.574020999999998</v>
      </c>
      <c r="AK89" s="41">
        <v>5430130</v>
      </c>
      <c r="AL89" s="41">
        <v>1.6133333444594999</v>
      </c>
      <c r="AM89" s="41">
        <v>65.269840000000002</v>
      </c>
      <c r="AN89" s="41">
        <v>57.459034000000003</v>
      </c>
      <c r="AO89" s="41">
        <v>274213799</v>
      </c>
      <c r="AP89" s="41">
        <v>4.0449999999999999</v>
      </c>
      <c r="AR89" s="113">
        <f t="shared" si="40"/>
        <v>56.933557120838252</v>
      </c>
      <c r="AS89" s="113">
        <f t="shared" si="41"/>
        <v>29.295811036276081</v>
      </c>
      <c r="AU89" s="106">
        <f t="shared" ref="AU89:AU93" si="58">DATEVALUE(SUBSTITUTE(LEFT(A89,10),".","/"))</f>
        <v>46258</v>
      </c>
      <c r="AV89" s="107">
        <f t="shared" ref="AV89:AV93" si="59">TIMEVALUE(RIGHT(A89,8))</f>
        <v>0.92018518518518522</v>
      </c>
      <c r="AW89" s="106">
        <f t="shared" ref="AW89:AW93" si="60">DATEVALUE(SUBSTITUTE(LEFT(AG89,10),".","/"))</f>
        <v>46258</v>
      </c>
      <c r="AX89" s="107">
        <f t="shared" ref="AX89:AX93" si="61">TIMEVALUE(RIGHT(AG89,8))</f>
        <v>0.99149305555555556</v>
      </c>
      <c r="AY89" s="142">
        <v>46258</v>
      </c>
      <c r="AZ89" s="116">
        <v>0.92023148148148148</v>
      </c>
      <c r="BA89" s="41" t="s">
        <v>919</v>
      </c>
      <c r="BB89" s="41">
        <v>0</v>
      </c>
      <c r="BC89" s="41">
        <v>0</v>
      </c>
      <c r="BD89" s="41">
        <v>7.8126959999999999</v>
      </c>
      <c r="BE89" s="41">
        <v>3.5179680000000002</v>
      </c>
      <c r="BF89" s="41">
        <v>15.837268999999999</v>
      </c>
      <c r="BG89" s="41">
        <v>12.241803000000001</v>
      </c>
      <c r="BH89" s="41">
        <v>10.929781999999999</v>
      </c>
      <c r="BI89" s="41">
        <v>0</v>
      </c>
      <c r="BJ89" s="41">
        <v>13.252613999999999</v>
      </c>
      <c r="BK89" s="41">
        <v>8.561515</v>
      </c>
      <c r="BL89" s="41">
        <v>5.2235300000000002</v>
      </c>
      <c r="BM89" s="41">
        <v>2.6796410000000002</v>
      </c>
      <c r="BN89" s="41">
        <v>0.480713</v>
      </c>
      <c r="BO89" s="41">
        <v>0.30366900000000002</v>
      </c>
      <c r="BP89" s="41">
        <v>0.580121</v>
      </c>
      <c r="BQ89" s="41">
        <v>0</v>
      </c>
      <c r="BR89" s="41">
        <v>5.4988289999999997</v>
      </c>
      <c r="BS89" s="41">
        <v>7.4932460000000001</v>
      </c>
      <c r="BT89" s="41">
        <v>3.0448059999999999</v>
      </c>
      <c r="BU89" s="41">
        <v>0.96867099999999995</v>
      </c>
      <c r="BV89" s="41">
        <v>0</v>
      </c>
      <c r="BW89" s="41">
        <v>0.65463000000000005</v>
      </c>
      <c r="BX89" s="41">
        <v>0.64174200000000003</v>
      </c>
      <c r="BY89" s="41">
        <v>0</v>
      </c>
      <c r="BZ89" s="41">
        <v>0.11729000000000001</v>
      </c>
      <c r="CA89" s="41">
        <v>2.5370000000000002E-3</v>
      </c>
      <c r="CB89" s="41">
        <v>0</v>
      </c>
      <c r="CC89" s="41">
        <v>0</v>
      </c>
      <c r="CD89" s="41">
        <v>0</v>
      </c>
      <c r="CE89" s="41">
        <v>0</v>
      </c>
      <c r="CF89" s="41">
        <v>9.9330000000000009E-3</v>
      </c>
      <c r="CG89" s="41">
        <v>0</v>
      </c>
      <c r="CH89" s="41">
        <v>0</v>
      </c>
      <c r="CI89" s="41">
        <v>0</v>
      </c>
      <c r="CJ89" s="41">
        <v>2.359E-2</v>
      </c>
      <c r="CK89" s="41">
        <v>0.123386</v>
      </c>
      <c r="CL89" s="41">
        <v>83.264640999999997</v>
      </c>
      <c r="CM89" s="41">
        <v>16.677454000000001</v>
      </c>
      <c r="CN89" s="41">
        <v>71.395743999999993</v>
      </c>
      <c r="CO89" s="41">
        <v>71.500388999999998</v>
      </c>
      <c r="CP89" s="41">
        <v>72.696845999999994</v>
      </c>
      <c r="CQ89" s="41">
        <v>0.60397400000000001</v>
      </c>
    </row>
    <row r="90" spans="1:96">
      <c r="A90" s="76" t="s">
        <v>920</v>
      </c>
      <c r="B90" s="41">
        <v>7</v>
      </c>
      <c r="C90" s="41">
        <v>200</v>
      </c>
      <c r="D90" s="41">
        <v>210</v>
      </c>
      <c r="E90" s="41">
        <v>25.305299999999999</v>
      </c>
      <c r="F90" s="41">
        <v>25.052099999999999</v>
      </c>
      <c r="G90" s="41">
        <v>1420.03</v>
      </c>
      <c r="H90" s="41">
        <v>1419.69</v>
      </c>
      <c r="I90" s="41">
        <v>1420.72</v>
      </c>
      <c r="J90" s="41">
        <v>1420.55</v>
      </c>
      <c r="K90" s="41">
        <v>1420.07</v>
      </c>
      <c r="L90" s="41">
        <v>1420.81</v>
      </c>
      <c r="M90" s="41">
        <v>1420.23</v>
      </c>
      <c r="N90" s="41">
        <v>1420.01</v>
      </c>
      <c r="O90" s="41">
        <v>0.93974899999999995</v>
      </c>
      <c r="P90" s="41">
        <v>2498.66</v>
      </c>
      <c r="Q90" s="41">
        <v>2500.2600000000002</v>
      </c>
      <c r="R90" s="41">
        <v>2498.83</v>
      </c>
      <c r="S90" s="41">
        <v>2500.19</v>
      </c>
      <c r="T90" s="41">
        <v>2499.98</v>
      </c>
      <c r="U90" s="41">
        <v>2499.63</v>
      </c>
      <c r="V90" s="41">
        <v>2499.63</v>
      </c>
      <c r="W90" s="41">
        <v>2501.44</v>
      </c>
      <c r="X90" s="41">
        <v>210</v>
      </c>
      <c r="Y90" s="41">
        <v>6.8886900000000001E-2</v>
      </c>
      <c r="Z90" s="41">
        <v>-6.2088699999999997E-2</v>
      </c>
      <c r="AA90" s="41">
        <v>-6.0855199999999998E-2</v>
      </c>
      <c r="AB90" s="41">
        <v>-5.0860599999999999E-4</v>
      </c>
      <c r="AC90" s="41">
        <v>-7.2477100000000003E-2</v>
      </c>
      <c r="AD90" s="41">
        <v>-6.1081499999999997E-2</v>
      </c>
      <c r="AE90" s="41">
        <v>2.0015399999999999</v>
      </c>
      <c r="AF90" s="41">
        <v>-7.1125999999999995E-2</v>
      </c>
      <c r="AG90" s="76" t="s">
        <v>921</v>
      </c>
      <c r="AH90" s="41" t="s">
        <v>173</v>
      </c>
      <c r="AI90" s="41">
        <v>34.767110000000002</v>
      </c>
      <c r="AJ90" s="41">
        <v>30.566758</v>
      </c>
      <c r="AK90" s="41">
        <v>5428840</v>
      </c>
      <c r="AL90" s="41">
        <v>1.6150000095367001</v>
      </c>
      <c r="AM90" s="41">
        <v>65.232889999999998</v>
      </c>
      <c r="AN90" s="41">
        <v>57.351847999999997</v>
      </c>
      <c r="AO90" s="41">
        <v>273702271</v>
      </c>
      <c r="AP90" s="41">
        <v>4.05</v>
      </c>
      <c r="AR90" s="113">
        <f t="shared" si="40"/>
        <v>56.825092486749064</v>
      </c>
      <c r="AS90" s="113">
        <f t="shared" si="41"/>
        <v>29.288612737083518</v>
      </c>
      <c r="AU90" s="106">
        <f t="shared" si="58"/>
        <v>46259</v>
      </c>
      <c r="AV90" s="107">
        <f t="shared" si="59"/>
        <v>6.3310185185185188E-3</v>
      </c>
      <c r="AW90" s="106">
        <f t="shared" si="60"/>
        <v>46259</v>
      </c>
      <c r="AX90" s="107">
        <f t="shared" si="61"/>
        <v>7.7615740740740735E-2</v>
      </c>
      <c r="AY90" s="142">
        <v>46259</v>
      </c>
      <c r="AZ90" s="116">
        <v>6.3425925925925924E-3</v>
      </c>
      <c r="BA90" s="41" t="s">
        <v>922</v>
      </c>
      <c r="BB90" s="41">
        <v>0</v>
      </c>
      <c r="BC90" s="41">
        <v>0</v>
      </c>
      <c r="BD90" s="41">
        <v>7.8184820000000004</v>
      </c>
      <c r="BE90" s="41">
        <v>3.5222540000000002</v>
      </c>
      <c r="BF90" s="41">
        <v>15.853535000000001</v>
      </c>
      <c r="BG90" s="41">
        <v>12.24075</v>
      </c>
      <c r="BH90" s="41">
        <v>10.937943000000001</v>
      </c>
      <c r="BI90" s="41">
        <v>0</v>
      </c>
      <c r="BJ90" s="41">
        <v>13.237562</v>
      </c>
      <c r="BK90" s="41">
        <v>8.5714450000000006</v>
      </c>
      <c r="BL90" s="41">
        <v>5.2269699999999997</v>
      </c>
      <c r="BM90" s="41">
        <v>2.6831700000000001</v>
      </c>
      <c r="BN90" s="41">
        <v>0.48192299999999999</v>
      </c>
      <c r="BO90" s="41">
        <v>0.30362899999999998</v>
      </c>
      <c r="BP90" s="41">
        <v>0.57994000000000001</v>
      </c>
      <c r="BQ90" s="41">
        <v>0</v>
      </c>
      <c r="BR90" s="41">
        <v>5.4766329999999996</v>
      </c>
      <c r="BS90" s="41">
        <v>7.4897179999999999</v>
      </c>
      <c r="BT90" s="41">
        <v>3.04596</v>
      </c>
      <c r="BU90" s="41">
        <v>0.96804400000000002</v>
      </c>
      <c r="BV90" s="41">
        <v>0</v>
      </c>
      <c r="BW90" s="41">
        <v>0.64932199999999995</v>
      </c>
      <c r="BX90" s="41">
        <v>0.639131</v>
      </c>
      <c r="BY90" s="41">
        <v>0</v>
      </c>
      <c r="BZ90" s="41">
        <v>0.116198</v>
      </c>
      <c r="CA90" s="41">
        <v>2.4629999999999999E-3</v>
      </c>
      <c r="CB90" s="41">
        <v>0</v>
      </c>
      <c r="CC90" s="41">
        <v>0</v>
      </c>
      <c r="CD90" s="41">
        <v>0</v>
      </c>
      <c r="CE90" s="41">
        <v>0</v>
      </c>
      <c r="CF90" s="41">
        <v>9.7439999999999992E-3</v>
      </c>
      <c r="CG90" s="41">
        <v>0</v>
      </c>
      <c r="CH90" s="41">
        <v>0</v>
      </c>
      <c r="CI90" s="41">
        <v>0</v>
      </c>
      <c r="CJ90" s="41">
        <v>2.2877999999999999E-2</v>
      </c>
      <c r="CK90" s="41">
        <v>0.12230000000000001</v>
      </c>
      <c r="CL90" s="41">
        <v>83.263535000000005</v>
      </c>
      <c r="CM90" s="41">
        <v>16.678291000000002</v>
      </c>
      <c r="CN90" s="41">
        <v>71.435646000000006</v>
      </c>
      <c r="CO90" s="41">
        <v>71.541573</v>
      </c>
      <c r="CP90" s="41">
        <v>72.682456999999999</v>
      </c>
      <c r="CQ90" s="41">
        <v>0.60399000000000003</v>
      </c>
    </row>
    <row r="91" spans="1:96">
      <c r="A91" s="76" t="s">
        <v>923</v>
      </c>
      <c r="B91" s="41">
        <v>7</v>
      </c>
      <c r="C91" s="41">
        <v>200</v>
      </c>
      <c r="D91" s="41">
        <v>210.1</v>
      </c>
      <c r="E91" s="41">
        <v>25.241599999999998</v>
      </c>
      <c r="F91" s="41">
        <v>25.047699999999999</v>
      </c>
      <c r="G91" s="41">
        <v>1441.69</v>
      </c>
      <c r="H91" s="41">
        <v>1442.96</v>
      </c>
      <c r="I91" s="41">
        <v>1441.89</v>
      </c>
      <c r="J91" s="41">
        <v>1442.44</v>
      </c>
      <c r="K91" s="41">
        <v>1442.03</v>
      </c>
      <c r="L91" s="41">
        <v>1442.6</v>
      </c>
      <c r="M91" s="41">
        <v>1442.32</v>
      </c>
      <c r="N91" s="41">
        <v>1442.68</v>
      </c>
      <c r="O91" s="41">
        <v>0.935446</v>
      </c>
      <c r="P91" s="41">
        <v>2499.75</v>
      </c>
      <c r="Q91" s="41">
        <v>2499.4</v>
      </c>
      <c r="R91" s="41">
        <v>2499.33</v>
      </c>
      <c r="S91" s="41">
        <v>2499.84</v>
      </c>
      <c r="T91" s="41">
        <v>2499.84</v>
      </c>
      <c r="U91" s="41">
        <v>2500.12</v>
      </c>
      <c r="V91" s="41">
        <v>2499.33</v>
      </c>
      <c r="W91" s="41">
        <v>2499.61</v>
      </c>
      <c r="X91" s="41">
        <v>209.9</v>
      </c>
      <c r="Y91" s="41">
        <v>6.6911999999999999E-2</v>
      </c>
      <c r="Z91" s="41">
        <v>-6.3911399999999993E-2</v>
      </c>
      <c r="AA91" s="41">
        <v>-5.5354199999999999E-2</v>
      </c>
      <c r="AB91" s="41">
        <v>-4.5588800000000004E-3</v>
      </c>
      <c r="AC91" s="41">
        <v>-7.2342400000000001E-2</v>
      </c>
      <c r="AD91" s="41">
        <v>-6.0213000000000003E-2</v>
      </c>
      <c r="AE91" s="41">
        <v>1.99943</v>
      </c>
      <c r="AF91" s="41">
        <v>-6.5943600000000005E-2</v>
      </c>
      <c r="AG91" s="76" t="s">
        <v>924</v>
      </c>
      <c r="AH91" s="41" t="s">
        <v>173</v>
      </c>
      <c r="AI91" s="41">
        <v>34.729129</v>
      </c>
      <c r="AJ91" s="41">
        <v>30.526602</v>
      </c>
      <c r="AK91" s="41">
        <v>5421708</v>
      </c>
      <c r="AL91" s="41">
        <v>1.6150000095367001</v>
      </c>
      <c r="AM91" s="41">
        <v>65.270871</v>
      </c>
      <c r="AN91" s="41">
        <v>57.372526999999998</v>
      </c>
      <c r="AO91" s="41">
        <v>273800960</v>
      </c>
      <c r="AP91" s="41">
        <v>4.05</v>
      </c>
      <c r="AR91" s="113">
        <f t="shared" si="40"/>
        <v>56.84601854802748</v>
      </c>
      <c r="AS91" s="113">
        <f t="shared" si="41"/>
        <v>29.248815628679363</v>
      </c>
      <c r="AU91" s="106">
        <f t="shared" si="58"/>
        <v>46259</v>
      </c>
      <c r="AV91" s="107">
        <f t="shared" si="59"/>
        <v>9.2453703703703705E-2</v>
      </c>
      <c r="AW91" s="106">
        <f t="shared" si="60"/>
        <v>46259</v>
      </c>
      <c r="AX91" s="107">
        <f t="shared" si="61"/>
        <v>0.16369212962962962</v>
      </c>
      <c r="AY91" s="142">
        <v>46259</v>
      </c>
      <c r="AZ91" s="116">
        <v>9.2476851851851852E-2</v>
      </c>
      <c r="BA91" s="41" t="s">
        <v>925</v>
      </c>
      <c r="BB91" s="41">
        <v>0</v>
      </c>
      <c r="BC91" s="41">
        <v>0</v>
      </c>
      <c r="BD91" s="41">
        <v>7.8354730000000004</v>
      </c>
      <c r="BE91" s="41">
        <v>3.5211749999999999</v>
      </c>
      <c r="BF91" s="41">
        <v>15.870238000000001</v>
      </c>
      <c r="BG91" s="41">
        <v>12.241673</v>
      </c>
      <c r="BH91" s="41">
        <v>10.939192</v>
      </c>
      <c r="BI91" s="41">
        <v>0</v>
      </c>
      <c r="BJ91" s="41">
        <v>13.225744000000001</v>
      </c>
      <c r="BK91" s="41">
        <v>8.5754809999999999</v>
      </c>
      <c r="BL91" s="41">
        <v>5.2289099999999999</v>
      </c>
      <c r="BM91" s="41">
        <v>2.6852990000000001</v>
      </c>
      <c r="BN91" s="41">
        <v>0.48268299999999997</v>
      </c>
      <c r="BO91" s="41">
        <v>0.30360199999999998</v>
      </c>
      <c r="BP91" s="41">
        <v>0.58013700000000001</v>
      </c>
      <c r="BQ91" s="41">
        <v>0</v>
      </c>
      <c r="BR91" s="41">
        <v>5.4613100000000001</v>
      </c>
      <c r="BS91" s="41">
        <v>7.4793799999999999</v>
      </c>
      <c r="BT91" s="41">
        <v>3.0454859999999999</v>
      </c>
      <c r="BU91" s="41">
        <v>0.96823599999999999</v>
      </c>
      <c r="BV91" s="41">
        <v>0</v>
      </c>
      <c r="BW91" s="41">
        <v>0.64105800000000002</v>
      </c>
      <c r="BX91" s="41">
        <v>0.64083900000000005</v>
      </c>
      <c r="BY91" s="41">
        <v>0</v>
      </c>
      <c r="BZ91" s="41">
        <v>0.116786</v>
      </c>
      <c r="CA91" s="41">
        <v>2.4139999999999999E-3</v>
      </c>
      <c r="CB91" s="41">
        <v>0</v>
      </c>
      <c r="CC91" s="41">
        <v>0</v>
      </c>
      <c r="CD91" s="41">
        <v>0</v>
      </c>
      <c r="CE91" s="41">
        <v>0</v>
      </c>
      <c r="CF91" s="41">
        <v>9.9520000000000008E-3</v>
      </c>
      <c r="CG91" s="41">
        <v>0</v>
      </c>
      <c r="CH91" s="41">
        <v>0</v>
      </c>
      <c r="CI91" s="41">
        <v>0</v>
      </c>
      <c r="CJ91" s="41">
        <v>2.3715E-2</v>
      </c>
      <c r="CK91" s="41">
        <v>0.12121</v>
      </c>
      <c r="CL91" s="41">
        <v>83.263046000000003</v>
      </c>
      <c r="CM91" s="41">
        <v>16.678847999999999</v>
      </c>
      <c r="CN91" s="41">
        <v>71.471312999999995</v>
      </c>
      <c r="CO91" s="41">
        <v>71.581695999999994</v>
      </c>
      <c r="CP91" s="41">
        <v>72.664482000000007</v>
      </c>
      <c r="CQ91" s="41">
        <v>0.60389400000000004</v>
      </c>
    </row>
    <row r="92" spans="1:96">
      <c r="A92" s="76" t="s">
        <v>926</v>
      </c>
      <c r="B92" s="41">
        <v>7</v>
      </c>
      <c r="C92" s="41">
        <v>200</v>
      </c>
      <c r="D92" s="41">
        <v>210</v>
      </c>
      <c r="E92" s="41">
        <v>25.347200000000001</v>
      </c>
      <c r="F92" s="41">
        <v>25.052099999999999</v>
      </c>
      <c r="G92" s="41">
        <v>1458.91</v>
      </c>
      <c r="H92" s="41">
        <v>1459.33</v>
      </c>
      <c r="I92" s="41">
        <v>1459.14</v>
      </c>
      <c r="J92" s="41">
        <v>1459.01</v>
      </c>
      <c r="K92" s="41">
        <v>1459.16</v>
      </c>
      <c r="L92" s="41">
        <v>1458.85</v>
      </c>
      <c r="M92" s="41">
        <v>1459.2</v>
      </c>
      <c r="N92" s="41">
        <v>1459.4</v>
      </c>
      <c r="O92" s="41">
        <v>0.86296099999999998</v>
      </c>
      <c r="P92" s="41">
        <v>2500.98</v>
      </c>
      <c r="Q92" s="41">
        <v>2499.65</v>
      </c>
      <c r="R92" s="41">
        <v>2500.1999999999998</v>
      </c>
      <c r="S92" s="41">
        <v>2499.83</v>
      </c>
      <c r="T92" s="41">
        <v>2500.14</v>
      </c>
      <c r="U92" s="41">
        <v>2500.67</v>
      </c>
      <c r="V92" s="41">
        <v>2500.12</v>
      </c>
      <c r="W92" s="41">
        <v>2500.48</v>
      </c>
      <c r="X92" s="41">
        <v>210</v>
      </c>
      <c r="Y92" s="41">
        <v>7.0568500000000006E-2</v>
      </c>
      <c r="Z92" s="41">
        <v>-5.9186200000000001E-2</v>
      </c>
      <c r="AA92" s="41">
        <v>-5.8640200000000003E-2</v>
      </c>
      <c r="AB92" s="41">
        <v>4.9969799999999998E-3</v>
      </c>
      <c r="AC92" s="41">
        <v>-7.1749199999999999E-2</v>
      </c>
      <c r="AD92" s="41">
        <v>-5.50555E-2</v>
      </c>
      <c r="AE92" s="41">
        <v>2.0007899999999998</v>
      </c>
      <c r="AF92" s="41">
        <v>-6.15022E-2</v>
      </c>
      <c r="AG92" s="76" t="s">
        <v>927</v>
      </c>
      <c r="AH92" s="41" t="s">
        <v>173</v>
      </c>
      <c r="AI92" s="41">
        <v>34.752454999999998</v>
      </c>
      <c r="AJ92" s="41">
        <v>30.507559000000001</v>
      </c>
      <c r="AK92" s="41">
        <v>5418326</v>
      </c>
      <c r="AL92" s="41">
        <v>1.6150000095367001</v>
      </c>
      <c r="AM92" s="41">
        <v>65.247545000000002</v>
      </c>
      <c r="AN92" s="41">
        <v>57.277777999999998</v>
      </c>
      <c r="AO92" s="41">
        <v>273348784</v>
      </c>
      <c r="AP92" s="41">
        <v>4.05</v>
      </c>
      <c r="AR92" s="113">
        <f t="shared" si="40"/>
        <v>56.750138939513548</v>
      </c>
      <c r="AS92" s="113">
        <f t="shared" si="41"/>
        <v>29.229943808625684</v>
      </c>
      <c r="AU92" s="106">
        <f t="shared" si="58"/>
        <v>46259</v>
      </c>
      <c r="AV92" s="107">
        <f t="shared" si="59"/>
        <v>0.17857638888888888</v>
      </c>
      <c r="AW92" s="106">
        <f t="shared" si="60"/>
        <v>46259</v>
      </c>
      <c r="AX92" s="107">
        <f t="shared" si="61"/>
        <v>0.24986111111111112</v>
      </c>
      <c r="AY92" s="142">
        <v>46259</v>
      </c>
      <c r="AZ92" s="116">
        <v>0.17861111111111111</v>
      </c>
      <c r="BA92" s="41" t="s">
        <v>928</v>
      </c>
      <c r="BB92" s="41">
        <v>0</v>
      </c>
      <c r="BC92" s="41">
        <v>0</v>
      </c>
      <c r="BD92" s="41">
        <v>7.8231549999999999</v>
      </c>
      <c r="BE92" s="41">
        <v>3.515504</v>
      </c>
      <c r="BF92" s="41">
        <v>15.855604</v>
      </c>
      <c r="BG92" s="41">
        <v>12.227271999999999</v>
      </c>
      <c r="BH92" s="41">
        <v>10.925393</v>
      </c>
      <c r="BI92" s="41">
        <v>0</v>
      </c>
      <c r="BJ92" s="41">
        <v>13.232051</v>
      </c>
      <c r="BK92" s="41">
        <v>8.5742700000000003</v>
      </c>
      <c r="BL92" s="41">
        <v>5.2298270000000002</v>
      </c>
      <c r="BM92" s="41">
        <v>2.6842060000000001</v>
      </c>
      <c r="BN92" s="41">
        <v>0.483124</v>
      </c>
      <c r="BO92" s="41">
        <v>0.303726</v>
      </c>
      <c r="BP92" s="41">
        <v>0.58035700000000001</v>
      </c>
      <c r="BQ92" s="41">
        <v>0</v>
      </c>
      <c r="BR92" s="41">
        <v>5.4785690000000002</v>
      </c>
      <c r="BS92" s="41">
        <v>7.5003669999999998</v>
      </c>
      <c r="BT92" s="41">
        <v>3.0499390000000002</v>
      </c>
      <c r="BU92" s="41">
        <v>0.96757000000000004</v>
      </c>
      <c r="BV92" s="41">
        <v>0</v>
      </c>
      <c r="BW92" s="41">
        <v>0.64705400000000002</v>
      </c>
      <c r="BX92" s="41">
        <v>0.64272099999999999</v>
      </c>
      <c r="BY92" s="41">
        <v>0</v>
      </c>
      <c r="BZ92" s="41">
        <v>0.115924</v>
      </c>
      <c r="CA92" s="41">
        <v>2.2799999999999999E-3</v>
      </c>
      <c r="CB92" s="41">
        <v>0</v>
      </c>
      <c r="CC92" s="41">
        <v>0</v>
      </c>
      <c r="CD92" s="41">
        <v>0</v>
      </c>
      <c r="CE92" s="41">
        <v>0</v>
      </c>
      <c r="CF92" s="41">
        <v>1.0142999999999999E-2</v>
      </c>
      <c r="CG92" s="41">
        <v>0</v>
      </c>
      <c r="CH92" s="41">
        <v>0</v>
      </c>
      <c r="CI92" s="41">
        <v>0</v>
      </c>
      <c r="CJ92" s="41">
        <v>2.2634000000000001E-2</v>
      </c>
      <c r="CK92" s="41">
        <v>0.12731600000000001</v>
      </c>
      <c r="CL92" s="41">
        <v>83.265075999999993</v>
      </c>
      <c r="CM92" s="41">
        <v>16.677275000000002</v>
      </c>
      <c r="CN92" s="41">
        <v>71.432961000000006</v>
      </c>
      <c r="CO92" s="41">
        <v>71.538826</v>
      </c>
      <c r="CP92" s="41">
        <v>72.687134</v>
      </c>
      <c r="CQ92" s="41">
        <v>0.60392299999999999</v>
      </c>
    </row>
    <row r="93" spans="1:96">
      <c r="A93" s="76" t="s">
        <v>929</v>
      </c>
      <c r="B93" s="41">
        <v>7</v>
      </c>
      <c r="C93" s="41">
        <v>200</v>
      </c>
      <c r="D93" s="41">
        <v>210</v>
      </c>
      <c r="E93" s="41">
        <v>25.415199999999999</v>
      </c>
      <c r="F93" s="41">
        <v>25.069400000000002</v>
      </c>
      <c r="G93" s="41">
        <v>1439.31</v>
      </c>
      <c r="H93" s="41">
        <v>1439.77</v>
      </c>
      <c r="I93" s="41">
        <v>1439.31</v>
      </c>
      <c r="J93" s="41">
        <v>1439.57</v>
      </c>
      <c r="K93" s="41">
        <v>1439.94</v>
      </c>
      <c r="L93" s="41">
        <v>1439.29</v>
      </c>
      <c r="M93" s="41">
        <v>1439.24</v>
      </c>
      <c r="N93" s="41">
        <v>1439.22</v>
      </c>
      <c r="O93" s="41">
        <v>0.881382</v>
      </c>
      <c r="P93" s="41">
        <v>2500.13</v>
      </c>
      <c r="Q93" s="41">
        <v>2500.21</v>
      </c>
      <c r="R93" s="41">
        <v>2499.1799999999998</v>
      </c>
      <c r="S93" s="41">
        <v>2499.61</v>
      </c>
      <c r="T93" s="41">
        <v>2499.44</v>
      </c>
      <c r="U93" s="41">
        <v>2499.41</v>
      </c>
      <c r="V93" s="41">
        <v>2500.86</v>
      </c>
      <c r="W93" s="41">
        <v>2499.94</v>
      </c>
      <c r="X93" s="41">
        <v>210.2</v>
      </c>
      <c r="Y93" s="41">
        <v>7.1608400000000003E-2</v>
      </c>
      <c r="Z93" s="41">
        <v>-6.5637799999999996E-2</v>
      </c>
      <c r="AA93" s="41">
        <v>-5.9020599999999999E-2</v>
      </c>
      <c r="AB93" s="41">
        <v>-2.2591E-3</v>
      </c>
      <c r="AC93" s="41">
        <v>-7.0563500000000001E-2</v>
      </c>
      <c r="AD93" s="41">
        <v>-6.0950499999999998E-2</v>
      </c>
      <c r="AE93" s="41">
        <v>2.0019200000000001</v>
      </c>
      <c r="AF93" s="41">
        <v>-0.17083300000000001</v>
      </c>
      <c r="AG93" s="76" t="s">
        <v>930</v>
      </c>
      <c r="AH93" s="41" t="s">
        <v>173</v>
      </c>
      <c r="AI93" s="41">
        <v>34.803195000000002</v>
      </c>
      <c r="AJ93" s="41">
        <v>30.462831000000001</v>
      </c>
      <c r="AK93" s="41">
        <v>5410382</v>
      </c>
      <c r="AL93" s="41">
        <v>1.6150000095367001</v>
      </c>
      <c r="AM93" s="41">
        <v>65.196804999999998</v>
      </c>
      <c r="AN93" s="41">
        <v>57.066003000000002</v>
      </c>
      <c r="AO93" s="41">
        <v>272338126</v>
      </c>
      <c r="AP93" s="41">
        <v>4.048</v>
      </c>
      <c r="AR93" s="113">
        <f t="shared" si="40"/>
        <v>56.535838548998626</v>
      </c>
      <c r="AS93" s="113">
        <f t="shared" si="41"/>
        <v>29.185615677784039</v>
      </c>
      <c r="AU93" s="106">
        <f t="shared" si="58"/>
        <v>46259</v>
      </c>
      <c r="AV93" s="107">
        <f t="shared" si="59"/>
        <v>0.26471064814814815</v>
      </c>
      <c r="AW93" s="106">
        <f t="shared" si="60"/>
        <v>46259</v>
      </c>
      <c r="AX93" s="107">
        <f t="shared" si="61"/>
        <v>0.33594907407407409</v>
      </c>
      <c r="AY93" s="142">
        <v>46259</v>
      </c>
      <c r="AZ93" s="116">
        <v>0.26474537037037038</v>
      </c>
      <c r="BA93" s="41" t="s">
        <v>931</v>
      </c>
      <c r="BB93" s="41">
        <v>0</v>
      </c>
      <c r="BC93" s="41">
        <v>0</v>
      </c>
      <c r="BD93" s="41">
        <v>7.776637</v>
      </c>
      <c r="BE93" s="41">
        <v>3.516537</v>
      </c>
      <c r="BF93" s="41">
        <v>15.774815</v>
      </c>
      <c r="BG93" s="41">
        <v>12.282621000000001</v>
      </c>
      <c r="BH93" s="41">
        <v>10.948058</v>
      </c>
      <c r="BI93" s="41">
        <v>0</v>
      </c>
      <c r="BJ93" s="41">
        <v>13.266182000000001</v>
      </c>
      <c r="BK93" s="41">
        <v>8.5694780000000002</v>
      </c>
      <c r="BL93" s="41">
        <v>5.2264699999999999</v>
      </c>
      <c r="BM93" s="41">
        <v>2.6824219999999999</v>
      </c>
      <c r="BN93" s="41">
        <v>0.48100399999999999</v>
      </c>
      <c r="BO93" s="41">
        <v>0.30168800000000001</v>
      </c>
      <c r="BP93" s="41">
        <v>0.577739</v>
      </c>
      <c r="BQ93" s="41">
        <v>0</v>
      </c>
      <c r="BR93" s="41">
        <v>5.5057790000000004</v>
      </c>
      <c r="BS93" s="41">
        <v>7.5030999999999999</v>
      </c>
      <c r="BT93" s="41">
        <v>3.0502220000000002</v>
      </c>
      <c r="BU93" s="41">
        <v>0.96581399999999995</v>
      </c>
      <c r="BV93" s="41">
        <v>0</v>
      </c>
      <c r="BW93" s="41">
        <v>0.65639899999999995</v>
      </c>
      <c r="BX93" s="41">
        <v>0.63975300000000002</v>
      </c>
      <c r="BY93" s="41">
        <v>0</v>
      </c>
      <c r="BZ93" s="41">
        <v>0.116379</v>
      </c>
      <c r="CA93" s="41">
        <v>2.238E-3</v>
      </c>
      <c r="CB93" s="41">
        <v>0</v>
      </c>
      <c r="CC93" s="41">
        <v>0</v>
      </c>
      <c r="CD93" s="41">
        <v>0</v>
      </c>
      <c r="CE93" s="41">
        <v>0</v>
      </c>
      <c r="CF93" s="41">
        <v>9.6710000000000008E-3</v>
      </c>
      <c r="CG93" s="41">
        <v>0</v>
      </c>
      <c r="CH93" s="41">
        <v>0</v>
      </c>
      <c r="CI93" s="41">
        <v>0</v>
      </c>
      <c r="CJ93" s="41">
        <v>2.3487000000000001E-2</v>
      </c>
      <c r="CK93" s="41">
        <v>0.123519</v>
      </c>
      <c r="CL93" s="41">
        <v>83.265518</v>
      </c>
      <c r="CM93" s="41">
        <v>16.676542000000001</v>
      </c>
      <c r="CN93" s="41">
        <v>71.346214000000003</v>
      </c>
      <c r="CO93" s="41">
        <v>71.438972000000007</v>
      </c>
      <c r="CP93" s="41">
        <v>72.731262000000001</v>
      </c>
      <c r="CQ93" s="41">
        <v>0.59942399999999996</v>
      </c>
    </row>
    <row r="94" spans="1:96">
      <c r="A94" s="76" t="s">
        <v>932</v>
      </c>
      <c r="C94" s="41">
        <v>193.6</v>
      </c>
      <c r="D94" s="41">
        <v>201.5</v>
      </c>
      <c r="E94" s="41">
        <v>25.091100000000001</v>
      </c>
      <c r="F94" s="41">
        <v>25.047699999999999</v>
      </c>
      <c r="G94" s="41">
        <v>1418.82</v>
      </c>
      <c r="H94" s="41">
        <v>1419.15</v>
      </c>
      <c r="I94" s="41">
        <v>1419.39</v>
      </c>
      <c r="J94" s="41">
        <v>1418.61</v>
      </c>
      <c r="K94" s="41">
        <v>1419.06</v>
      </c>
      <c r="L94" s="41">
        <v>1419.54</v>
      </c>
      <c r="M94" s="41">
        <v>1419.17</v>
      </c>
      <c r="N94" s="41">
        <v>1418.79</v>
      </c>
      <c r="O94" s="41">
        <v>0.99762399999999996</v>
      </c>
      <c r="P94" s="41">
        <v>2499.67</v>
      </c>
      <c r="Q94" s="41">
        <v>2499.69</v>
      </c>
      <c r="R94" s="41">
        <v>2500.19</v>
      </c>
      <c r="S94" s="41">
        <v>2499.8000000000002</v>
      </c>
      <c r="T94" s="41">
        <v>2500.1999999999998</v>
      </c>
      <c r="U94" s="41">
        <v>2499.2399999999998</v>
      </c>
      <c r="V94" s="41">
        <v>2499.77</v>
      </c>
      <c r="W94" s="41">
        <v>2500.21</v>
      </c>
      <c r="X94" s="41">
        <v>210</v>
      </c>
      <c r="Y94" s="41">
        <v>6.7323999999999995E-2</v>
      </c>
      <c r="Z94" s="41">
        <v>-6.1621000000000002E-2</v>
      </c>
      <c r="AA94" s="41">
        <v>-5.6319899999999999E-2</v>
      </c>
      <c r="AB94" s="41">
        <v>3.9563699999999999E-3</v>
      </c>
      <c r="AC94" s="41">
        <v>-7.2251800000000005E-2</v>
      </c>
      <c r="AD94" s="41">
        <v>-6.1091699999999999E-2</v>
      </c>
      <c r="AE94" s="41">
        <v>1.9998</v>
      </c>
      <c r="AF94" s="41">
        <v>-5.7505399999999998E-2</v>
      </c>
      <c r="AG94" s="76" t="s">
        <v>933</v>
      </c>
      <c r="AH94" s="41" t="s">
        <v>173</v>
      </c>
      <c r="AI94" s="41">
        <v>35.141756999999998</v>
      </c>
      <c r="AJ94" s="41">
        <v>31.164045999999999</v>
      </c>
      <c r="AK94" s="41">
        <v>5534922</v>
      </c>
      <c r="AL94" s="41">
        <v>1.6133333444594999</v>
      </c>
      <c r="AM94" s="41">
        <v>64.858243000000002</v>
      </c>
      <c r="AN94" s="41">
        <v>57.516910000000003</v>
      </c>
      <c r="AO94" s="41">
        <v>274490005</v>
      </c>
      <c r="AP94" s="41">
        <v>4.0469999999999997</v>
      </c>
      <c r="AR94" s="113">
        <f t="shared" si="40"/>
        <v>56.992123969032761</v>
      </c>
      <c r="AS94" s="113">
        <f t="shared" si="41"/>
        <v>29.880558454095496</v>
      </c>
      <c r="AU94" s="106">
        <f t="shared" ref="AU94:AU95" si="62">DATEVALUE(SUBSTITUTE(LEFT(A94,10),".","/"))</f>
        <v>46259</v>
      </c>
      <c r="AV94" s="107">
        <f t="shared" ref="AV94:AV95" si="63">TIMEVALUE(RIGHT(A94,8))</f>
        <v>0.35083333333333333</v>
      </c>
      <c r="AW94" s="106">
        <f t="shared" ref="AW94:AW95" si="64">DATEVALUE(SUBSTITUTE(LEFT(AG94,10),".","/"))</f>
        <v>46259</v>
      </c>
      <c r="AX94" s="107">
        <f t="shared" ref="AX94:AX95" si="65">TIMEVALUE(RIGHT(AG94,8))</f>
        <v>0.42207175925925927</v>
      </c>
      <c r="AY94" s="142">
        <v>46259</v>
      </c>
      <c r="AZ94" s="116">
        <v>0.35085648148148146</v>
      </c>
      <c r="BA94" s="41" t="s">
        <v>934</v>
      </c>
      <c r="BB94" s="41">
        <v>0</v>
      </c>
      <c r="BC94" s="41">
        <v>0</v>
      </c>
      <c r="BD94" s="41">
        <v>5.5611990000000002</v>
      </c>
      <c r="BE94" s="41">
        <v>3.2621259999999999</v>
      </c>
      <c r="BF94" s="41">
        <v>12.552619</v>
      </c>
      <c r="BG94" s="41">
        <v>12.475557</v>
      </c>
      <c r="BH94" s="41">
        <v>10.419964999999999</v>
      </c>
      <c r="BI94" s="41">
        <v>0</v>
      </c>
      <c r="BJ94" s="41">
        <v>14.702401999999999</v>
      </c>
      <c r="BK94" s="41">
        <v>8.0349780000000006</v>
      </c>
      <c r="BL94" s="41">
        <v>4.8695630000000003</v>
      </c>
      <c r="BM94" s="41">
        <v>2.4751310000000002</v>
      </c>
      <c r="BN94" s="41">
        <v>0.33107399999999998</v>
      </c>
      <c r="BO94" s="41">
        <v>0.34067700000000001</v>
      </c>
      <c r="BP94" s="41">
        <v>0.57860299999999998</v>
      </c>
      <c r="BQ94" s="41">
        <v>0</v>
      </c>
      <c r="BR94" s="41">
        <v>7.9198769999999996</v>
      </c>
      <c r="BS94" s="41">
        <v>9.3776790000000005</v>
      </c>
      <c r="BT94" s="41">
        <v>3.6052960000000001</v>
      </c>
      <c r="BU94" s="41">
        <v>1.006386</v>
      </c>
      <c r="BV94" s="41">
        <v>0</v>
      </c>
      <c r="BW94" s="41">
        <v>1.4932970000000001</v>
      </c>
      <c r="BX94" s="41">
        <v>0.70869099999999996</v>
      </c>
      <c r="BY94" s="41">
        <v>0</v>
      </c>
      <c r="BZ94" s="41">
        <v>0.117234</v>
      </c>
      <c r="CA94" s="41">
        <v>2.1879999999999998E-3</v>
      </c>
      <c r="CB94" s="41">
        <v>0</v>
      </c>
      <c r="CC94" s="41">
        <v>0</v>
      </c>
      <c r="CD94" s="41">
        <v>0</v>
      </c>
      <c r="CE94" s="41">
        <v>0</v>
      </c>
      <c r="CF94" s="41">
        <v>7.685E-3</v>
      </c>
      <c r="CG94" s="41">
        <v>0</v>
      </c>
      <c r="CH94" s="41">
        <v>0</v>
      </c>
      <c r="CI94" s="41">
        <v>0</v>
      </c>
      <c r="CJ94" s="41">
        <v>3.4398999999999999E-2</v>
      </c>
      <c r="CK94" s="41">
        <v>0.12339</v>
      </c>
      <c r="CL94" s="41">
        <v>83.366225999999997</v>
      </c>
      <c r="CM94" s="41">
        <v>16.577138999999999</v>
      </c>
      <c r="CN94" s="41">
        <v>65.899154999999993</v>
      </c>
      <c r="CO94" s="41">
        <v>65.215407999999996</v>
      </c>
      <c r="CP94" s="41">
        <v>75.778617999999994</v>
      </c>
      <c r="CQ94" s="41">
        <v>0.61238400000000004</v>
      </c>
      <c r="CR94" s="41" t="s">
        <v>916</v>
      </c>
    </row>
    <row r="95" spans="1:96">
      <c r="A95" s="76" t="s">
        <v>935</v>
      </c>
      <c r="B95" s="41">
        <v>7</v>
      </c>
      <c r="C95" s="41">
        <v>190</v>
      </c>
      <c r="D95" s="41">
        <v>190.2</v>
      </c>
      <c r="E95" s="41">
        <v>25.245999999999999</v>
      </c>
      <c r="F95" s="41">
        <v>25.062200000000001</v>
      </c>
      <c r="G95" s="41">
        <v>1449.65</v>
      </c>
      <c r="H95" s="41">
        <v>1448.32</v>
      </c>
      <c r="I95" s="41">
        <v>1448.72</v>
      </c>
      <c r="J95" s="41">
        <v>1449.06</v>
      </c>
      <c r="K95" s="41">
        <v>1449.26</v>
      </c>
      <c r="L95" s="41">
        <v>1448.91</v>
      </c>
      <c r="M95" s="41">
        <v>1448.66</v>
      </c>
      <c r="N95" s="41">
        <v>1449.15</v>
      </c>
      <c r="O95" s="41">
        <v>0.86139200000000005</v>
      </c>
      <c r="P95" s="41">
        <v>2499.61</v>
      </c>
      <c r="Q95" s="41">
        <v>2499.8000000000002</v>
      </c>
      <c r="R95" s="41">
        <v>2499.69</v>
      </c>
      <c r="S95" s="41">
        <v>2501.0700000000002</v>
      </c>
      <c r="T95" s="41">
        <v>2500.0500000000002</v>
      </c>
      <c r="U95" s="41">
        <v>2500.08</v>
      </c>
      <c r="V95" s="41">
        <v>2498.98</v>
      </c>
      <c r="W95" s="41">
        <v>2499.0700000000002</v>
      </c>
      <c r="X95" s="41">
        <v>210.1</v>
      </c>
      <c r="Y95" s="41">
        <v>6.71379E-2</v>
      </c>
      <c r="Z95" s="41">
        <v>-6.1602299999999999E-2</v>
      </c>
      <c r="AA95" s="41">
        <v>-5.9724699999999999E-2</v>
      </c>
      <c r="AB95" s="41">
        <v>1.6981200000000001E-4</v>
      </c>
      <c r="AC95" s="41">
        <v>-7.1210399999999993E-2</v>
      </c>
      <c r="AD95" s="41">
        <v>-5.8358500000000001E-2</v>
      </c>
      <c r="AE95" s="41">
        <v>1.99953</v>
      </c>
      <c r="AF95" s="41">
        <v>-6.0350399999999998E-2</v>
      </c>
      <c r="AG95" s="76" t="s">
        <v>936</v>
      </c>
      <c r="AH95" s="41" t="s">
        <v>173</v>
      </c>
      <c r="AI95" s="41">
        <v>35.697467000000003</v>
      </c>
      <c r="AJ95" s="41">
        <v>31.866382000000002</v>
      </c>
      <c r="AK95" s="41">
        <v>5659661</v>
      </c>
      <c r="AL95" s="41">
        <v>1.6133333444594999</v>
      </c>
      <c r="AM95" s="41">
        <v>64.302532999999997</v>
      </c>
      <c r="AN95" s="41">
        <v>57.401524999999999</v>
      </c>
      <c r="AO95" s="41">
        <v>273939348</v>
      </c>
      <c r="AP95" s="41">
        <v>4.0469999999999997</v>
      </c>
      <c r="AR95" s="113">
        <f t="shared" si="40"/>
        <v>56.875362403656766</v>
      </c>
      <c r="AS95" s="113">
        <f t="shared" si="41"/>
        <v>30.576611665708754</v>
      </c>
      <c r="AU95" s="106">
        <f t="shared" si="62"/>
        <v>46259</v>
      </c>
      <c r="AV95" s="107">
        <f t="shared" si="63"/>
        <v>0.4369675925925926</v>
      </c>
      <c r="AW95" s="106">
        <f t="shared" si="64"/>
        <v>46259</v>
      </c>
      <c r="AX95" s="107">
        <f t="shared" si="65"/>
        <v>0.50825231481481481</v>
      </c>
      <c r="AY95" s="142">
        <v>46259</v>
      </c>
      <c r="AZ95" s="116">
        <v>0.43697916666666664</v>
      </c>
      <c r="BA95" s="41" t="s">
        <v>937</v>
      </c>
      <c r="BB95" s="41">
        <v>0</v>
      </c>
      <c r="BC95" s="41">
        <v>0</v>
      </c>
      <c r="BD95" s="41">
        <v>2.5628570000000002</v>
      </c>
      <c r="BE95" s="41">
        <v>2.6810360000000002</v>
      </c>
      <c r="BF95" s="41">
        <v>7.5486300000000002</v>
      </c>
      <c r="BG95" s="41">
        <v>12.621606</v>
      </c>
      <c r="BH95" s="41">
        <v>9.3874169999999992</v>
      </c>
      <c r="BI95" s="41">
        <v>0</v>
      </c>
      <c r="BJ95" s="41">
        <v>16.354994000000001</v>
      </c>
      <c r="BK95" s="41">
        <v>7.3540089999999996</v>
      </c>
      <c r="BL95" s="41">
        <v>4.3787820000000002</v>
      </c>
      <c r="BM95" s="41">
        <v>2.0431110000000001</v>
      </c>
      <c r="BN95" s="41">
        <v>0.152092</v>
      </c>
      <c r="BO95" s="41">
        <v>0.39536100000000002</v>
      </c>
      <c r="BP95" s="41">
        <v>0.55936900000000001</v>
      </c>
      <c r="BQ95" s="41">
        <v>0</v>
      </c>
      <c r="BR95" s="41">
        <v>11.818125</v>
      </c>
      <c r="BS95" s="41">
        <v>11.205767</v>
      </c>
      <c r="BT95" s="41">
        <v>4.0354140000000003</v>
      </c>
      <c r="BU95" s="41">
        <v>1.046656</v>
      </c>
      <c r="BV95" s="41">
        <v>0</v>
      </c>
      <c r="BW95" s="41">
        <v>4.7965400000000002</v>
      </c>
      <c r="BX95" s="41">
        <v>0.75836599999999998</v>
      </c>
      <c r="BY95" s="41">
        <v>0</v>
      </c>
      <c r="BZ95" s="41">
        <v>0.112286</v>
      </c>
      <c r="CA95" s="41">
        <v>3.4150000000000001E-3</v>
      </c>
      <c r="CB95" s="41">
        <v>0</v>
      </c>
      <c r="CC95" s="41">
        <v>0</v>
      </c>
      <c r="CD95" s="41">
        <v>0</v>
      </c>
      <c r="CE95" s="41">
        <v>0</v>
      </c>
      <c r="CF95" s="41">
        <v>4.6889999999999996E-3</v>
      </c>
      <c r="CG95" s="41">
        <v>0</v>
      </c>
      <c r="CH95" s="41">
        <v>0</v>
      </c>
      <c r="CI95" s="41">
        <v>7.6860000000000001E-3</v>
      </c>
      <c r="CJ95" s="41">
        <v>6.1733000000000003E-2</v>
      </c>
      <c r="CK95" s="41">
        <v>0.110069</v>
      </c>
      <c r="CL95" s="41">
        <v>83.525734</v>
      </c>
      <c r="CM95" s="41">
        <v>16.423287999999999</v>
      </c>
      <c r="CN95" s="41">
        <v>56.670451999999997</v>
      </c>
      <c r="CO95" s="41">
        <v>55.101421000000002</v>
      </c>
      <c r="CP95" s="41">
        <v>81.071563999999995</v>
      </c>
      <c r="CQ95" s="41">
        <v>0.62612500000000004</v>
      </c>
    </row>
    <row r="96" spans="1:96">
      <c r="AY96" s="142">
        <v>46259</v>
      </c>
      <c r="AZ96" s="116">
        <v>0.52311342592592591</v>
      </c>
      <c r="BA96" s="41" t="s">
        <v>938</v>
      </c>
      <c r="BB96" s="41">
        <v>0</v>
      </c>
      <c r="BC96" s="41">
        <v>0</v>
      </c>
      <c r="BD96" s="41">
        <v>2.609864</v>
      </c>
      <c r="BE96" s="41">
        <v>2.6977920000000002</v>
      </c>
      <c r="BF96" s="41">
        <v>7.6514759999999997</v>
      </c>
      <c r="BG96" s="41">
        <v>12.63951</v>
      </c>
      <c r="BH96" s="41">
        <v>9.4176599999999997</v>
      </c>
      <c r="BI96" s="41">
        <v>0</v>
      </c>
      <c r="BJ96" s="41">
        <v>16.35173</v>
      </c>
      <c r="BK96" s="41">
        <v>7.3555409999999997</v>
      </c>
      <c r="BL96" s="41">
        <v>4.3848839999999996</v>
      </c>
      <c r="BM96" s="41">
        <v>2.0580219999999998</v>
      </c>
      <c r="BN96" s="41">
        <v>0.15462999999999999</v>
      </c>
      <c r="BO96" s="41">
        <v>0.39594600000000002</v>
      </c>
      <c r="BP96" s="41">
        <v>0.55915400000000004</v>
      </c>
      <c r="BQ96" s="41">
        <v>0</v>
      </c>
      <c r="BR96" s="41">
        <v>11.772819999999999</v>
      </c>
      <c r="BS96" s="41">
        <v>11.187414</v>
      </c>
      <c r="BT96" s="41">
        <v>4.0443379999999998</v>
      </c>
      <c r="BU96" s="41">
        <v>1.048894</v>
      </c>
      <c r="BV96" s="41">
        <v>0</v>
      </c>
      <c r="BW96" s="41">
        <v>4.5951079999999997</v>
      </c>
      <c r="BX96" s="41">
        <v>0.76752900000000002</v>
      </c>
      <c r="BY96" s="41">
        <v>0</v>
      </c>
      <c r="BZ96" s="41">
        <v>0.11591600000000001</v>
      </c>
      <c r="CA96" s="41">
        <v>3.3479999999999998E-3</v>
      </c>
      <c r="CB96" s="41">
        <v>0</v>
      </c>
      <c r="CC96" s="41">
        <v>0</v>
      </c>
      <c r="CD96" s="41">
        <v>0</v>
      </c>
      <c r="CE96" s="41">
        <v>0</v>
      </c>
      <c r="CF96" s="41">
        <v>4.3229999999999996E-3</v>
      </c>
      <c r="CG96" s="41">
        <v>0</v>
      </c>
      <c r="CH96" s="41">
        <v>0</v>
      </c>
      <c r="CI96" s="41">
        <v>7.0479999999999996E-3</v>
      </c>
      <c r="CJ96" s="41">
        <v>6.0824000000000003E-2</v>
      </c>
      <c r="CK96" s="41">
        <v>0.11523600000000001</v>
      </c>
      <c r="CL96" s="41">
        <v>83.523178000000001</v>
      </c>
      <c r="CM96" s="41">
        <v>16.425884</v>
      </c>
      <c r="CN96" s="41">
        <v>56.885596999999997</v>
      </c>
      <c r="CO96" s="41">
        <v>55.328296999999999</v>
      </c>
      <c r="CP96" s="41">
        <v>80.946747000000002</v>
      </c>
      <c r="CQ96" s="41">
        <v>0.62573100000000004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D6C47-5A1F-453F-A3AB-502F74057CC2}">
  <dimension ref="A1:O156"/>
  <sheetViews>
    <sheetView tabSelected="1" topLeftCell="A78" zoomScaleNormal="100" workbookViewId="0">
      <selection activeCell="D109" sqref="D109"/>
    </sheetView>
  </sheetViews>
  <sheetFormatPr defaultColWidth="9.140625" defaultRowHeight="15"/>
  <cols>
    <col min="1" max="1" width="29.7109375" style="2" bestFit="1" customWidth="1"/>
    <col min="2" max="2" width="11.7109375" style="2" bestFit="1" customWidth="1"/>
    <col min="3" max="3" width="11.7109375" style="2" customWidth="1"/>
    <col min="4" max="4" width="25.42578125" style="2" customWidth="1"/>
    <col min="5" max="5" width="27" style="2" bestFit="1" customWidth="1"/>
    <col min="6" max="6" width="16.42578125" style="2" bestFit="1" customWidth="1"/>
    <col min="7" max="7" width="18.85546875" style="2" customWidth="1"/>
    <col min="8" max="10" width="16.42578125" style="2" bestFit="1" customWidth="1"/>
    <col min="11" max="12" width="16.42578125" style="1" bestFit="1" customWidth="1"/>
    <col min="13" max="15" width="15.85546875" style="2" bestFit="1" customWidth="1"/>
    <col min="16" max="16384" width="9.140625" style="1"/>
  </cols>
  <sheetData>
    <row r="1" spans="1:12" s="2" customFormat="1">
      <c r="A1" s="246" t="s">
        <v>939</v>
      </c>
      <c r="B1" s="246"/>
      <c r="C1" s="246"/>
      <c r="D1" s="246"/>
      <c r="K1" s="1"/>
      <c r="L1" s="1"/>
    </row>
    <row r="2" spans="1:12" s="2" customFormat="1">
      <c r="A2" s="31" t="s">
        <v>940</v>
      </c>
      <c r="B2" s="16" t="s">
        <v>8</v>
      </c>
      <c r="C2" s="16"/>
      <c r="D2" s="105">
        <v>83.84</v>
      </c>
      <c r="G2" s="1"/>
      <c r="K2" s="1"/>
      <c r="L2" s="1"/>
    </row>
    <row r="3" spans="1:12" s="2" customFormat="1">
      <c r="A3" s="31" t="s">
        <v>941</v>
      </c>
      <c r="B3" s="16" t="s">
        <v>8</v>
      </c>
      <c r="C3" s="16"/>
      <c r="D3" s="105">
        <f>100-D2</f>
        <v>16.159999999999997</v>
      </c>
      <c r="K3" s="1"/>
      <c r="L3" s="1"/>
    </row>
    <row r="4" spans="1:12" s="2" customFormat="1">
      <c r="A4" s="31" t="s">
        <v>942</v>
      </c>
      <c r="B4" s="16" t="s">
        <v>8</v>
      </c>
      <c r="C4" s="16"/>
      <c r="D4" s="105">
        <f>SUM(D2:D3)</f>
        <v>100</v>
      </c>
      <c r="K4" s="1"/>
      <c r="L4" s="1"/>
    </row>
    <row r="5" spans="1:12" s="2" customFormat="1">
      <c r="A5" s="31" t="s">
        <v>943</v>
      </c>
      <c r="B5" s="114" t="s">
        <v>89</v>
      </c>
      <c r="C5" s="114"/>
      <c r="D5" s="105"/>
      <c r="K5" s="1"/>
      <c r="L5" s="1"/>
    </row>
    <row r="6" spans="1:12" s="2" customFormat="1">
      <c r="A6" s="31" t="s">
        <v>944</v>
      </c>
      <c r="B6" s="114" t="s">
        <v>89</v>
      </c>
      <c r="C6" s="114"/>
      <c r="D6" s="105">
        <v>89</v>
      </c>
      <c r="F6" s="2" t="s">
        <v>945</v>
      </c>
      <c r="G6" s="102">
        <v>46247</v>
      </c>
      <c r="K6" s="1"/>
      <c r="L6" s="1"/>
    </row>
    <row r="7" spans="1:12" s="2" customFormat="1">
      <c r="A7" s="31" t="s">
        <v>946</v>
      </c>
      <c r="B7" s="16" t="s">
        <v>102</v>
      </c>
      <c r="C7" s="16"/>
      <c r="D7" s="210">
        <v>0.66500000000000004</v>
      </c>
      <c r="G7" s="138">
        <v>0.66666666666666663</v>
      </c>
      <c r="K7" s="1"/>
      <c r="L7" s="1"/>
    </row>
    <row r="8" spans="1:12">
      <c r="A8" s="29" t="s">
        <v>17</v>
      </c>
      <c r="B8" s="28" t="s">
        <v>8</v>
      </c>
      <c r="C8" s="28"/>
      <c r="D8" s="227">
        <v>17.808794750000001</v>
      </c>
      <c r="E8" s="1"/>
      <c r="F8" s="1"/>
      <c r="G8" s="1"/>
    </row>
    <row r="9" spans="1:12">
      <c r="A9" s="229" t="s">
        <v>18</v>
      </c>
      <c r="B9" s="28" t="s">
        <v>8</v>
      </c>
      <c r="C9" s="28"/>
      <c r="D9" s="227">
        <v>8.024783750000001</v>
      </c>
      <c r="E9" s="1"/>
      <c r="F9" s="1"/>
      <c r="G9" s="1"/>
    </row>
    <row r="10" spans="1:12">
      <c r="A10" s="229" t="s">
        <v>19</v>
      </c>
      <c r="B10" s="230" t="s">
        <v>8</v>
      </c>
      <c r="C10" s="229"/>
      <c r="D10" s="231">
        <v>3.6883509999999999</v>
      </c>
      <c r="E10" s="1"/>
      <c r="F10" s="1"/>
      <c r="G10" s="1"/>
    </row>
    <row r="11" spans="1:12">
      <c r="A11" s="229" t="s">
        <v>20</v>
      </c>
      <c r="B11" s="230" t="s">
        <v>8</v>
      </c>
      <c r="C11" s="229"/>
      <c r="D11" s="231">
        <v>0.72080225000000009</v>
      </c>
      <c r="E11" s="1"/>
      <c r="F11" s="1"/>
      <c r="G11" s="1"/>
    </row>
    <row r="12" spans="1:12">
      <c r="A12" s="229" t="s">
        <v>75</v>
      </c>
      <c r="B12" s="230" t="s">
        <v>8</v>
      </c>
      <c r="C12" s="229"/>
      <c r="D12" s="231">
        <v>1.6720374999999999E-2</v>
      </c>
      <c r="E12" s="1"/>
      <c r="F12" s="1"/>
      <c r="G12" s="1"/>
      <c r="H12" s="2" t="s">
        <v>947</v>
      </c>
      <c r="I12" s="2" t="s">
        <v>948</v>
      </c>
    </row>
    <row r="13" spans="1:12">
      <c r="A13" s="229" t="s">
        <v>25</v>
      </c>
      <c r="B13" s="230" t="s">
        <v>8</v>
      </c>
      <c r="C13" s="229"/>
      <c r="D13" s="231">
        <v>16.071277625</v>
      </c>
      <c r="E13" s="1"/>
      <c r="F13" s="1"/>
      <c r="G13" s="1"/>
      <c r="H13" s="2">
        <v>1.82</v>
      </c>
      <c r="I13" s="2">
        <v>2.2999999999999998</v>
      </c>
    </row>
    <row r="14" spans="1:12">
      <c r="A14" s="229" t="s">
        <v>26</v>
      </c>
      <c r="B14" s="230" t="s">
        <v>8</v>
      </c>
      <c r="C14" s="229"/>
      <c r="D14" s="231">
        <v>13.769736375000001</v>
      </c>
      <c r="E14" s="1"/>
      <c r="F14" s="1"/>
      <c r="G14" s="1"/>
    </row>
    <row r="15" spans="1:12">
      <c r="A15" s="229" t="s">
        <v>27</v>
      </c>
      <c r="B15" s="230" t="s">
        <v>8</v>
      </c>
      <c r="C15" s="229"/>
      <c r="D15" s="231">
        <v>0.99247037500000013</v>
      </c>
      <c r="E15" s="1"/>
      <c r="F15" s="1"/>
      <c r="G15" s="1"/>
    </row>
    <row r="16" spans="1:12">
      <c r="A16" s="22"/>
      <c r="D16" s="95"/>
      <c r="E16" s="1"/>
      <c r="F16" s="1"/>
      <c r="G16" s="1"/>
    </row>
    <row r="17" spans="1:15">
      <c r="A17" s="129" t="s">
        <v>949</v>
      </c>
      <c r="D17" s="95"/>
      <c r="E17" s="1"/>
      <c r="F17" s="1"/>
      <c r="G17" s="1"/>
    </row>
    <row r="18" spans="1:15" s="133" customFormat="1">
      <c r="A18" s="130"/>
      <c r="B18" s="131"/>
      <c r="C18" s="131"/>
      <c r="D18" s="132"/>
      <c r="H18" s="131"/>
      <c r="I18" s="131"/>
      <c r="J18" s="131"/>
      <c r="M18" s="131"/>
      <c r="N18" s="131"/>
      <c r="O18" s="131"/>
    </row>
    <row r="19" spans="1:15" s="101" customFormat="1">
      <c r="A19" s="103" t="s">
        <v>227</v>
      </c>
      <c r="B19" s="104" t="s">
        <v>89</v>
      </c>
      <c r="C19" s="104"/>
      <c r="D19" s="102" cm="1">
        <f t="array" ref="D19:O19">TRANSPOSE(_xlfn._xlws.FILTER('Raw Data'!AU2:AU505,('Raw Data'!B2:B505=1)*('Raw Data'!AU2:AU505&lt;&gt;"")))</f>
        <v>46248</v>
      </c>
      <c r="E19" s="102">
        <v>46251</v>
      </c>
      <c r="F19" s="102">
        <v>46252</v>
      </c>
      <c r="G19" s="102">
        <v>46252</v>
      </c>
      <c r="H19" s="102">
        <v>46253</v>
      </c>
      <c r="I19" s="102">
        <v>46253</v>
      </c>
      <c r="J19" s="102">
        <v>46254</v>
      </c>
      <c r="K19" s="102">
        <v>46255</v>
      </c>
      <c r="L19" s="102">
        <v>46255</v>
      </c>
      <c r="M19" s="102">
        <v>46256</v>
      </c>
      <c r="N19" s="102">
        <v>46257</v>
      </c>
      <c r="O19" s="102">
        <v>46257</v>
      </c>
    </row>
    <row r="20" spans="1:15" s="101" customFormat="1">
      <c r="A20" s="103" t="s">
        <v>950</v>
      </c>
      <c r="B20" s="104" t="s">
        <v>89</v>
      </c>
      <c r="C20" s="104"/>
      <c r="D20" s="108" cm="1">
        <f t="array" ref="D20:O20">TRANSPOSE(_xlfn._xlws.FILTER('Raw Data'!AV2:AV505,('Raw Data'!B2:B505=1)*('Raw Data'!AV2:AV505&lt;&gt;"")))</f>
        <v>0.90052083333333333</v>
      </c>
      <c r="E20" s="108">
        <v>0.58864583333333331</v>
      </c>
      <c r="F20" s="108">
        <v>0.27766203703703701</v>
      </c>
      <c r="G20" s="108">
        <v>0.47577546296296297</v>
      </c>
      <c r="H20" s="108">
        <v>0.1647800925925926</v>
      </c>
      <c r="I20" s="108">
        <v>0.85379629629629628</v>
      </c>
      <c r="J20" s="108">
        <v>0.54281250000000003</v>
      </c>
      <c r="K20" s="108">
        <v>0.23184027777777777</v>
      </c>
      <c r="L20" s="108">
        <v>0.92087962962962966</v>
      </c>
      <c r="M20" s="108">
        <v>0.6098958333333333</v>
      </c>
      <c r="N20" s="108">
        <v>0.29891203703703706</v>
      </c>
      <c r="O20" s="108">
        <v>0.9879282407407407</v>
      </c>
    </row>
    <row r="21" spans="1:15" s="101" customFormat="1">
      <c r="A21" s="103" t="s">
        <v>121</v>
      </c>
      <c r="B21" s="102" t="s">
        <v>122</v>
      </c>
      <c r="C21" s="102"/>
      <c r="D21" s="39">
        <f>((D19+D20)-(G6+G7))*24</f>
        <v>29.612500000046566</v>
      </c>
      <c r="E21" s="23">
        <f t="shared" ref="E21:I21" si="0">((E19+E20)-(D19+D20))*24</f>
        <v>64.51500000001397</v>
      </c>
      <c r="F21" s="23">
        <f t="shared" si="0"/>
        <v>16.536388888838701</v>
      </c>
      <c r="G21" s="23">
        <f t="shared" si="0"/>
        <v>4.7547222222201526</v>
      </c>
      <c r="H21" s="23">
        <f t="shared" si="0"/>
        <v>16.536111111170612</v>
      </c>
      <c r="I21" s="23">
        <f t="shared" si="0"/>
        <v>16.536388888838701</v>
      </c>
      <c r="J21" s="23">
        <f t="shared" ref="J21" si="1">((J19+J20)-(I19+I20))*24</f>
        <v>16.536388889013324</v>
      </c>
      <c r="K21" s="23">
        <f t="shared" ref="K21" si="2">((K19+K20)-(J19+J20))*24</f>
        <v>16.53666666650679</v>
      </c>
      <c r="L21" s="23">
        <f t="shared" ref="L21" si="3">((L19+L20)-(K19+K20))*24</f>
        <v>16.536944444524124</v>
      </c>
      <c r="M21" s="23">
        <f t="shared" ref="M21:O21" si="4">((M19+M20)-(L19+L20))*24</f>
        <v>16.536388888838701</v>
      </c>
      <c r="N21" s="23">
        <f t="shared" si="4"/>
        <v>16.536388889013324</v>
      </c>
      <c r="O21" s="23">
        <f t="shared" si="4"/>
        <v>16.536388888838701</v>
      </c>
    </row>
    <row r="22" spans="1:15" s="39" customFormat="1">
      <c r="A22" s="94" t="s">
        <v>951</v>
      </c>
      <c r="B22" s="39" t="s">
        <v>952</v>
      </c>
      <c r="D22" s="39">
        <f>D21</f>
        <v>29.612500000046566</v>
      </c>
      <c r="E22" s="39">
        <f>E21+D22-40</f>
        <v>54.127500000060536</v>
      </c>
      <c r="F22" s="39">
        <f t="shared" ref="F22:I22" si="5">F21+E22</f>
        <v>70.663888888899237</v>
      </c>
      <c r="G22" s="39">
        <f t="shared" si="5"/>
        <v>75.41861111111939</v>
      </c>
      <c r="H22" s="39">
        <f t="shared" si="5"/>
        <v>91.954722222290002</v>
      </c>
      <c r="I22" s="39">
        <f t="shared" si="5"/>
        <v>108.4911111111287</v>
      </c>
      <c r="J22" s="39">
        <f t="shared" ref="J22" si="6">J21+I22</f>
        <v>125.02750000014203</v>
      </c>
      <c r="K22" s="39">
        <f t="shared" ref="K22" si="7">K21+J22</f>
        <v>141.56416666664882</v>
      </c>
      <c r="L22" s="39">
        <f t="shared" ref="L22" si="8">L21+K22</f>
        <v>158.10111111117294</v>
      </c>
      <c r="M22" s="39">
        <f t="shared" ref="M22:O22" si="9">M21+L22</f>
        <v>174.63750000001164</v>
      </c>
      <c r="N22" s="39">
        <f t="shared" si="9"/>
        <v>191.17388888902497</v>
      </c>
      <c r="O22" s="39">
        <f t="shared" si="9"/>
        <v>207.71027777786367</v>
      </c>
    </row>
    <row r="23" spans="1:15" s="80" customFormat="1">
      <c r="A23" s="83" t="s">
        <v>114</v>
      </c>
      <c r="B23" s="81" t="s">
        <v>115</v>
      </c>
      <c r="C23" s="81"/>
      <c r="D23" s="23" cm="1">
        <f t="array" ref="D23:O23">TRANSPOSE(_xlfn._xlws.FILTER('Raw Data'!E2:E505,('Raw Data'!B2:B505=1)*('Raw Data'!E2:E505&lt;&gt;"")))</f>
        <v>25.0825</v>
      </c>
      <c r="E23" s="39">
        <v>25.3371</v>
      </c>
      <c r="F23" s="39">
        <v>25.234400000000001</v>
      </c>
      <c r="G23" s="39">
        <v>25.180800000000001</v>
      </c>
      <c r="H23" s="39">
        <v>25.046299999999999</v>
      </c>
      <c r="I23" s="39">
        <v>25.205400000000001</v>
      </c>
      <c r="J23" s="39">
        <v>25.380500000000001</v>
      </c>
      <c r="K23" s="39">
        <v>25.240200000000002</v>
      </c>
      <c r="L23" s="98">
        <v>25.1982</v>
      </c>
      <c r="M23" s="98">
        <v>25.325500000000002</v>
      </c>
      <c r="N23" s="98">
        <v>25.271999999999998</v>
      </c>
      <c r="O23" s="98">
        <v>25.2865</v>
      </c>
    </row>
    <row r="24" spans="1:15" s="80" customFormat="1">
      <c r="A24" s="83" t="s">
        <v>953</v>
      </c>
      <c r="B24" s="81" t="s">
        <v>954</v>
      </c>
      <c r="C24" s="81"/>
      <c r="D24" s="39" cm="1">
        <f t="array" ref="D24:O24">TRANSPOSE(_xlfn._xlws.FILTER('Raw Data'!C2:C505,('Raw Data'!B2:B505=1)*('Raw Data'!C2:C505&lt;&gt;"")))</f>
        <v>210.1</v>
      </c>
      <c r="E24" s="39">
        <v>220</v>
      </c>
      <c r="F24" s="39">
        <v>220</v>
      </c>
      <c r="G24" s="39">
        <v>220</v>
      </c>
      <c r="H24" s="39">
        <v>220</v>
      </c>
      <c r="I24" s="39">
        <v>215</v>
      </c>
      <c r="J24" s="39">
        <v>215</v>
      </c>
      <c r="K24" s="39">
        <v>215</v>
      </c>
      <c r="L24" s="98">
        <v>210</v>
      </c>
      <c r="M24" s="81">
        <v>205</v>
      </c>
      <c r="N24" s="81">
        <v>205</v>
      </c>
      <c r="O24" s="81">
        <v>200</v>
      </c>
    </row>
    <row r="25" spans="1:15">
      <c r="A25" s="83" t="s">
        <v>56</v>
      </c>
      <c r="B25" s="81" t="s">
        <v>118</v>
      </c>
      <c r="C25" s="81"/>
      <c r="D25" s="26">
        <f t="shared" ref="D25:I25" si="10">D37/$D$7*(1/2)</f>
        <v>1.3673641956880238</v>
      </c>
      <c r="E25" s="26">
        <f t="shared" si="10"/>
        <v>1.3417774445869086</v>
      </c>
      <c r="F25" s="26">
        <f t="shared" si="10"/>
        <v>1.3665799086644801</v>
      </c>
      <c r="G25" s="26">
        <f t="shared" si="10"/>
        <v>1.3274409652212091</v>
      </c>
      <c r="H25" s="26">
        <f t="shared" si="10"/>
        <v>1.3603188291376691</v>
      </c>
      <c r="I25" s="26">
        <f t="shared" si="10"/>
        <v>1.3227874042495738</v>
      </c>
      <c r="J25" s="26">
        <f t="shared" ref="J25:K25" si="11">J37/$D$7*(1/2)</f>
        <v>1.3412446053813427</v>
      </c>
      <c r="K25" s="26">
        <f t="shared" si="11"/>
        <v>1.3433799237981674</v>
      </c>
      <c r="L25" s="26">
        <f t="shared" ref="L25:M25" si="12">L37/$D$7*(1/2)</f>
        <v>1.3116588436572436</v>
      </c>
      <c r="M25" s="26">
        <f t="shared" si="12"/>
        <v>1.3484314849449106</v>
      </c>
      <c r="N25" s="26">
        <f t="shared" ref="N25" si="13">N37/$D$7*(1/2)</f>
        <v>1.2905716330891712</v>
      </c>
    </row>
    <row r="26" spans="1:15">
      <c r="A26" s="83" t="s">
        <v>119</v>
      </c>
      <c r="B26" s="81" t="s">
        <v>955</v>
      </c>
      <c r="C26" s="81"/>
      <c r="D26" s="23">
        <f t="shared" ref="D26:I26" si="14">(D35/2)/(D37/$D$6)</f>
        <v>4.5590792350270588</v>
      </c>
      <c r="E26" s="23">
        <f t="shared" si="14"/>
        <v>3.8929040085824038</v>
      </c>
      <c r="F26" s="23">
        <f t="shared" si="14"/>
        <v>3.838544486756839</v>
      </c>
      <c r="G26" s="23">
        <f t="shared" si="14"/>
        <v>3.9679025764684486</v>
      </c>
      <c r="H26" s="23">
        <f t="shared" si="14"/>
        <v>3.8461909183369904</v>
      </c>
      <c r="I26" s="23">
        <f t="shared" si="14"/>
        <v>4.0009755708718986</v>
      </c>
      <c r="J26" s="23">
        <f t="shared" ref="J26:K26" si="15">(J35/2)/(J37/$D$6)</f>
        <v>3.9609124062087262</v>
      </c>
      <c r="K26" s="23">
        <f t="shared" si="15"/>
        <v>3.938942078488969</v>
      </c>
      <c r="L26" s="23">
        <f t="shared" ref="L26:M26" si="16">(L35/2)/(L37/$D$6)</f>
        <v>4.0430318031108587</v>
      </c>
      <c r="M26" s="23">
        <f t="shared" si="16"/>
        <v>4.7018899625333272</v>
      </c>
      <c r="N26" s="23">
        <f t="shared" ref="N26" si="17">(N35/2)/(N37/$D$6)</f>
        <v>4.9280753244009858</v>
      </c>
    </row>
    <row r="27" spans="1:15">
      <c r="A27" s="22" t="s">
        <v>956</v>
      </c>
      <c r="B27" s="2" t="s">
        <v>130</v>
      </c>
      <c r="D27" s="2">
        <v>3.2</v>
      </c>
      <c r="E27" s="2">
        <v>3.2</v>
      </c>
      <c r="F27" s="2">
        <v>3.2</v>
      </c>
      <c r="G27" s="2">
        <v>3.2</v>
      </c>
      <c r="H27" s="2">
        <v>3.2</v>
      </c>
      <c r="I27" s="2">
        <v>3.2</v>
      </c>
      <c r="J27" s="2">
        <v>3.2</v>
      </c>
      <c r="K27" s="2">
        <v>3.2</v>
      </c>
      <c r="L27" s="2">
        <v>3.2</v>
      </c>
      <c r="M27" s="2">
        <v>3.2</v>
      </c>
      <c r="N27" s="2">
        <v>3.2</v>
      </c>
      <c r="O27" s="2">
        <v>3.2</v>
      </c>
    </row>
    <row r="28" spans="1:15" s="79" customFormat="1">
      <c r="A28" s="111" t="s">
        <v>957</v>
      </c>
      <c r="B28" s="23" t="s">
        <v>958</v>
      </c>
      <c r="C28" s="23"/>
      <c r="D28" s="23" cm="1">
        <f t="array" ref="D28:O28">TRANSPOSE(_xlfn._xlws.FILTER('Raw Data'!AJ2:AJ505,('Raw Data'!B2:B505=1)*('Raw Data'!AJ2:AJ505&lt;&gt;"")))</f>
        <v>37.760489999999997</v>
      </c>
      <c r="E28" s="23">
        <v>33.704794</v>
      </c>
      <c r="F28" s="23">
        <v>33.757584999999999</v>
      </c>
      <c r="G28" s="23">
        <v>33.937753000000001</v>
      </c>
      <c r="H28" s="23">
        <v>33.711177999999997</v>
      </c>
      <c r="I28" s="23">
        <v>34.064718999999997</v>
      </c>
      <c r="J28" s="23">
        <v>34.109211000000002</v>
      </c>
      <c r="K28" s="23">
        <v>34.015543000000001</v>
      </c>
      <c r="L28" s="23">
        <v>34.145347000000001</v>
      </c>
      <c r="M28" s="23">
        <v>38.189045</v>
      </c>
      <c r="N28" s="23">
        <v>38.395609</v>
      </c>
      <c r="O28" s="23">
        <v>37.514180000000003</v>
      </c>
    </row>
    <row r="29" spans="1:15" s="97" customFormat="1">
      <c r="A29" s="112" t="s">
        <v>956</v>
      </c>
      <c r="B29" s="26" t="s">
        <v>958</v>
      </c>
      <c r="C29" s="26"/>
      <c r="D29" s="23" cm="1">
        <f t="array" ref="D29:O29">TRANSPOSE(_xlfn._xlws.FILTER('Raw Data'!AN2:AN505,('Raw Data'!B2:B505=1)*('Raw Data'!AN2:AN505&lt;&gt;"")))</f>
        <v>53.952506999999997</v>
      </c>
      <c r="E29" s="26">
        <v>57.480319000000001</v>
      </c>
      <c r="F29" s="26">
        <v>57.325972999999998</v>
      </c>
      <c r="G29" s="26">
        <v>57.396914000000002</v>
      </c>
      <c r="H29" s="26">
        <v>57.396321</v>
      </c>
      <c r="I29" s="26">
        <v>57.336415000000002</v>
      </c>
      <c r="J29" s="26">
        <v>57.193953999999998</v>
      </c>
      <c r="K29" s="95">
        <v>57.263862000000003</v>
      </c>
      <c r="L29" s="26">
        <v>57.356831999999997</v>
      </c>
      <c r="M29" s="26">
        <v>53.656103000000002</v>
      </c>
      <c r="N29" s="26">
        <v>53.777892999999999</v>
      </c>
      <c r="O29" s="26">
        <v>63.786704999999998</v>
      </c>
    </row>
    <row r="30" spans="1:15">
      <c r="A30" s="22" t="s">
        <v>959</v>
      </c>
      <c r="B30" s="2" t="s">
        <v>958</v>
      </c>
      <c r="D30" s="26">
        <f t="shared" ref="D30:I30" si="18">100-D29-D28</f>
        <v>8.2870030000000057</v>
      </c>
      <c r="E30" s="26">
        <f t="shared" si="18"/>
        <v>8.8148869999999988</v>
      </c>
      <c r="F30" s="26">
        <f t="shared" si="18"/>
        <v>8.9164420000000035</v>
      </c>
      <c r="G30" s="26">
        <f t="shared" si="18"/>
        <v>8.6653329999999968</v>
      </c>
      <c r="H30" s="26">
        <f t="shared" si="18"/>
        <v>8.8925010000000029</v>
      </c>
      <c r="I30" s="26">
        <f t="shared" si="18"/>
        <v>8.598866000000001</v>
      </c>
      <c r="J30" s="26">
        <f t="shared" ref="J30:K30" si="19">100-J29-J28</f>
        <v>8.6968350000000001</v>
      </c>
      <c r="K30" s="26">
        <f t="shared" si="19"/>
        <v>8.7205949999999959</v>
      </c>
      <c r="L30" s="26">
        <f t="shared" ref="L30:M30" si="20">100-L29-L28</f>
        <v>8.4978210000000018</v>
      </c>
      <c r="M30" s="26">
        <f t="shared" si="20"/>
        <v>8.1548519999999982</v>
      </c>
      <c r="N30" s="26">
        <f t="shared" ref="N30" si="21">100-N29-N28</f>
        <v>7.8264980000000008</v>
      </c>
    </row>
    <row r="31" spans="1:15">
      <c r="A31" s="22" t="s">
        <v>81</v>
      </c>
      <c r="B31" s="2" t="s">
        <v>958</v>
      </c>
      <c r="D31" s="2">
        <f t="shared" ref="D31:I31" si="22">SUM(D28:D30)</f>
        <v>100</v>
      </c>
      <c r="E31" s="2">
        <f t="shared" si="22"/>
        <v>100</v>
      </c>
      <c r="F31" s="2">
        <f t="shared" si="22"/>
        <v>100</v>
      </c>
      <c r="G31" s="2">
        <f t="shared" si="22"/>
        <v>100</v>
      </c>
      <c r="H31" s="2">
        <f t="shared" si="22"/>
        <v>100</v>
      </c>
      <c r="I31" s="2">
        <f t="shared" si="22"/>
        <v>100</v>
      </c>
      <c r="J31" s="2">
        <f t="shared" ref="J31:K31" si="23">SUM(J28:J30)</f>
        <v>100</v>
      </c>
      <c r="K31" s="2">
        <f t="shared" si="23"/>
        <v>100</v>
      </c>
      <c r="L31" s="2">
        <f t="shared" ref="L31:M31" si="24">SUM(L28:L30)</f>
        <v>100</v>
      </c>
      <c r="M31" s="2">
        <f t="shared" si="24"/>
        <v>100</v>
      </c>
      <c r="N31" s="2">
        <f t="shared" ref="N31:O31" si="25">SUM(N28:N30)</f>
        <v>100</v>
      </c>
      <c r="O31" s="39">
        <f t="shared" si="25"/>
        <v>101.30088499999999</v>
      </c>
    </row>
    <row r="32" spans="1:15" s="26" customFormat="1">
      <c r="A32" s="112" t="s">
        <v>650</v>
      </c>
      <c r="B32" s="96" t="s">
        <v>89</v>
      </c>
      <c r="C32" s="96"/>
      <c r="D32" s="23" cm="1">
        <f t="array" ref="D32:O32">TRANSPOSE(_xlfn._xlws.FILTER('Raw Data'!CP2:CP505,('Raw Data'!B2:B505=1)*('Raw Data'!CP2:CP505&lt;&gt;"")))</f>
        <v>89.028351000000001</v>
      </c>
      <c r="E32" s="26">
        <v>87.936049999999994</v>
      </c>
      <c r="F32" s="26">
        <v>87.904762000000005</v>
      </c>
      <c r="G32" s="26">
        <v>87.945862000000005</v>
      </c>
      <c r="H32" s="26">
        <v>87.847733000000005</v>
      </c>
      <c r="I32" s="26">
        <v>88.216346999999999</v>
      </c>
      <c r="J32" s="26">
        <v>88.219795000000005</v>
      </c>
      <c r="K32" s="26">
        <v>88.227074000000002</v>
      </c>
      <c r="L32" s="26">
        <v>88.538155000000003</v>
      </c>
      <c r="M32" s="26">
        <v>88.727431999999993</v>
      </c>
      <c r="N32" s="26">
        <v>88.682822999999999</v>
      </c>
      <c r="O32" s="26">
        <v>70.470771999999997</v>
      </c>
    </row>
    <row r="33" spans="1:15" s="23" customFormat="1">
      <c r="A33" s="111" t="s">
        <v>960</v>
      </c>
      <c r="B33" s="23" t="s">
        <v>8</v>
      </c>
      <c r="D33" s="23">
        <f t="shared" ref="D33:I33" si="26">SUMPRODUCT($C$42:$C$77,D42:D77)</f>
        <v>83.767572848500009</v>
      </c>
      <c r="E33" s="23">
        <f t="shared" si="26"/>
        <v>83.344233229199986</v>
      </c>
      <c r="F33" s="23">
        <f t="shared" si="26"/>
        <v>83.722478498599969</v>
      </c>
      <c r="G33" s="23">
        <f t="shared" si="26"/>
        <v>83.745734035500021</v>
      </c>
      <c r="H33" s="23">
        <f t="shared" si="26"/>
        <v>83.720128388900008</v>
      </c>
      <c r="I33" s="23">
        <f t="shared" si="26"/>
        <v>83.750987475200006</v>
      </c>
      <c r="J33" s="23">
        <f t="shared" ref="J33:K33" si="27">SUMPRODUCT($C$42:$C$77,J42:J77)</f>
        <v>83.751083989500003</v>
      </c>
      <c r="K33" s="23">
        <f t="shared" si="27"/>
        <v>83.751211088899993</v>
      </c>
      <c r="L33" s="23">
        <f t="shared" ref="L33:M33" si="28">SUMPRODUCT($C$42:$C$77,L42:L77)</f>
        <v>83.758251533599989</v>
      </c>
      <c r="M33" s="23">
        <f t="shared" si="28"/>
        <v>83.759411530899982</v>
      </c>
      <c r="N33" s="23">
        <f t="shared" ref="N33" si="29">SUMPRODUCT($C$42:$C$77,N42:N77)</f>
        <v>83.760355405899986</v>
      </c>
    </row>
    <row r="34" spans="1:15" s="23" customFormat="1">
      <c r="A34" s="111" t="s">
        <v>961</v>
      </c>
      <c r="B34" s="23" t="s">
        <v>8</v>
      </c>
      <c r="D34" s="23">
        <f>100-D33</f>
        <v>16.232427151499991</v>
      </c>
      <c r="E34" s="23">
        <f t="shared" ref="E34:I34" si="30">100-E33</f>
        <v>16.655766770800014</v>
      </c>
      <c r="F34" s="23">
        <f t="shared" si="30"/>
        <v>16.277521501400031</v>
      </c>
      <c r="G34" s="23">
        <f t="shared" si="30"/>
        <v>16.254265964499979</v>
      </c>
      <c r="H34" s="23">
        <f t="shared" si="30"/>
        <v>16.279871611099992</v>
      </c>
      <c r="I34" s="23">
        <f t="shared" si="30"/>
        <v>16.249012524799994</v>
      </c>
      <c r="J34" s="23">
        <f t="shared" ref="J34:K34" si="31">100-J33</f>
        <v>16.248916010499997</v>
      </c>
      <c r="K34" s="23">
        <f t="shared" si="31"/>
        <v>16.248788911100007</v>
      </c>
      <c r="L34" s="23">
        <f t="shared" ref="L34:M34" si="32">100-L33</f>
        <v>16.241748466400011</v>
      </c>
      <c r="M34" s="23">
        <f t="shared" si="32"/>
        <v>16.240588469100018</v>
      </c>
      <c r="N34" s="23">
        <f t="shared" ref="N34" si="33">100-N33</f>
        <v>16.239644594100014</v>
      </c>
    </row>
    <row r="35" spans="1:15">
      <c r="A35" s="22" t="s">
        <v>957</v>
      </c>
      <c r="B35" s="2" t="s">
        <v>110</v>
      </c>
      <c r="D35" s="95">
        <f>(D27/(D29/100))*(D28/100)*(273/293)*(2/22.4)</f>
        <v>0.18631721069670543</v>
      </c>
      <c r="E35" s="95">
        <f t="shared" ref="E35:I35" si="34">(E27/(E29/100))*(E28/100)*(0.0416)*2</f>
        <v>0.15611542369067227</v>
      </c>
      <c r="F35" s="95">
        <f t="shared" si="34"/>
        <v>0.15678093122640938</v>
      </c>
      <c r="G35" s="95">
        <f t="shared" si="34"/>
        <v>0.15742287745156472</v>
      </c>
      <c r="H35" s="95">
        <f t="shared" si="34"/>
        <v>0.15637350747132378</v>
      </c>
      <c r="I35" s="95">
        <f t="shared" si="34"/>
        <v>0.15817854650591598</v>
      </c>
      <c r="J35" s="95">
        <f t="shared" ref="J35:K35" si="35">(J27/(J29/100))*(J28/100)*(0.0416)*2</f>
        <v>0.15877965591677751</v>
      </c>
      <c r="K35" s="95">
        <f t="shared" si="35"/>
        <v>0.15815032119768663</v>
      </c>
      <c r="L35" s="95">
        <f t="shared" ref="L35:N35" si="36">(L27/(L29/100))*(L28/100)*(0.0416)*2</f>
        <v>0.15849650108429977</v>
      </c>
      <c r="M35" s="95">
        <f t="shared" si="36"/>
        <v>0.18949291454878861</v>
      </c>
      <c r="N35" s="95">
        <f t="shared" si="36"/>
        <v>0.19008641599550954</v>
      </c>
    </row>
    <row r="36" spans="1:15">
      <c r="A36" s="22" t="s">
        <v>959</v>
      </c>
      <c r="B36" s="2" t="s">
        <v>110</v>
      </c>
      <c r="D36" s="23">
        <f>(D27/(D29/100))*(D30/100)*(273/293)*(D32/22.4)</f>
        <v>1.820166774047266</v>
      </c>
      <c r="E36" s="23">
        <f t="shared" ref="E36:I36" si="37">(E27/(E29/100))*(E30/100)*(0.0416)*(E32)</f>
        <v>1.7951793432136605</v>
      </c>
      <c r="F36" s="23">
        <f t="shared" si="37"/>
        <v>1.8201025808616036</v>
      </c>
      <c r="G36" s="23">
        <f t="shared" si="37"/>
        <v>1.7674837638221514</v>
      </c>
      <c r="H36" s="23">
        <f t="shared" si="37"/>
        <v>1.8118145141847515</v>
      </c>
      <c r="I36" s="23">
        <f t="shared" si="37"/>
        <v>1.76117708088893</v>
      </c>
      <c r="J36" s="23">
        <f t="shared" ref="J36:K36" si="38">(J27/(J29/100))*(J30/100)*(0.0416)*(J32)</f>
        <v>1.7857491907797738</v>
      </c>
      <c r="K36" s="23">
        <f t="shared" si="38"/>
        <v>1.7885894650519314</v>
      </c>
      <c r="L36" s="23">
        <f t="shared" ref="L36:M36" si="39">(L27/(L29/100))*(L30/100)*(0.0416)*(L32)</f>
        <v>1.7462089087758048</v>
      </c>
      <c r="M36" s="23">
        <f t="shared" si="39"/>
        <v>1.7951393942468108</v>
      </c>
      <c r="N36" s="23">
        <f t="shared" ref="N36" si="40">(N27/(N29/100))*(N30/100)*(0.0416)*(N32)</f>
        <v>1.7180923899836287</v>
      </c>
    </row>
    <row r="37" spans="1:15">
      <c r="A37" s="22" t="s">
        <v>962</v>
      </c>
      <c r="B37" s="2" t="s">
        <v>110</v>
      </c>
      <c r="D37" s="23">
        <f t="shared" ref="D37:I37" si="41">(D36*D33)/($D$2)</f>
        <v>1.8185943802650717</v>
      </c>
      <c r="E37" s="23">
        <f t="shared" si="41"/>
        <v>1.7845640013005886</v>
      </c>
      <c r="F37" s="23">
        <f t="shared" si="41"/>
        <v>1.8175512785237586</v>
      </c>
      <c r="G37" s="23">
        <f t="shared" si="41"/>
        <v>1.7654964837442082</v>
      </c>
      <c r="H37" s="23">
        <f t="shared" si="41"/>
        <v>1.8092240427530999</v>
      </c>
      <c r="I37" s="23">
        <f t="shared" si="41"/>
        <v>1.7593072476519331</v>
      </c>
      <c r="J37" s="23">
        <f t="shared" ref="J37" si="42">(J36*J33)/($D$2)</f>
        <v>1.783855325157186</v>
      </c>
      <c r="K37" s="23">
        <f t="shared" ref="K37:L37" si="43">(K36*K33)/($D$2)</f>
        <v>1.7866952986515627</v>
      </c>
      <c r="L37" s="23">
        <f t="shared" si="43"/>
        <v>1.7445062620641341</v>
      </c>
      <c r="M37" s="23">
        <f t="shared" ref="M37:N37" si="44">(M36*M33)/($D$2)</f>
        <v>1.7934138749767312</v>
      </c>
      <c r="N37" s="23">
        <f t="shared" si="44"/>
        <v>1.7164602720085977</v>
      </c>
    </row>
    <row r="38" spans="1:15">
      <c r="A38" s="22" t="s">
        <v>963</v>
      </c>
      <c r="B38" s="2" t="s">
        <v>964</v>
      </c>
      <c r="D38" s="23">
        <f>D36/D35</f>
        <v>9.7691821772182177</v>
      </c>
      <c r="E38" s="23">
        <f t="shared" ref="E38:I38" si="45">(E30*E32)/(E28*2)</f>
        <v>11.499051796257081</v>
      </c>
      <c r="F38" s="23">
        <f t="shared" si="45"/>
        <v>11.60920889182097</v>
      </c>
      <c r="G38" s="23">
        <f t="shared" si="45"/>
        <v>11.227616928587549</v>
      </c>
      <c r="H38" s="23">
        <f t="shared" si="45"/>
        <v>11.586454403198745</v>
      </c>
      <c r="I38" s="23">
        <f t="shared" si="45"/>
        <v>11.13410838443291</v>
      </c>
      <c r="J38" s="23">
        <f t="shared" ref="J38:K38" si="46">(J30*J32)/(J28*2)</f>
        <v>11.246712813861702</v>
      </c>
      <c r="K38" s="23">
        <f t="shared" si="46"/>
        <v>11.309426699274352</v>
      </c>
      <c r="L38" s="23">
        <f t="shared" ref="L38:M38" si="47">(L30*L32)/(L28*2)</f>
        <v>11.017334116713695</v>
      </c>
      <c r="M38" s="23">
        <f t="shared" si="47"/>
        <v>9.4733853163919619</v>
      </c>
      <c r="N38" s="23">
        <f t="shared" ref="N38" si="48">(N30*N32)/(N28*2)</f>
        <v>9.0384806351665627</v>
      </c>
    </row>
    <row r="39" spans="1:15">
      <c r="A39" s="94" t="s">
        <v>965</v>
      </c>
      <c r="B39" s="93" t="s">
        <v>89</v>
      </c>
      <c r="D39" s="23" cm="1">
        <f t="array" ref="D39:O39">TRANSPOSE(_xlfn._xlws.FILTER('Raw Data'!CO2:CO505,('Raw Data'!B2:B505=1)*('Raw Data'!CO2:CO505&lt;&gt;"")))</f>
        <v>41.119297000000003</v>
      </c>
      <c r="E39" s="23">
        <v>43.404808000000003</v>
      </c>
      <c r="F39" s="23">
        <v>43.299540999999998</v>
      </c>
      <c r="G39" s="23">
        <v>43.266727000000003</v>
      </c>
      <c r="H39" s="23">
        <v>43.381675999999999</v>
      </c>
      <c r="I39" s="23">
        <v>42.588988999999998</v>
      </c>
      <c r="J39" s="23">
        <v>42.599303999999997</v>
      </c>
      <c r="K39" s="23">
        <v>42.601185000000001</v>
      </c>
      <c r="L39" s="23">
        <v>41.942050999999999</v>
      </c>
      <c r="M39" s="39">
        <v>41.463332999999999</v>
      </c>
      <c r="N39" s="39">
        <v>41.551032999999997</v>
      </c>
      <c r="O39" s="39">
        <v>72.484443999999996</v>
      </c>
    </row>
    <row r="40" spans="1:15">
      <c r="A40" s="94" t="s">
        <v>966</v>
      </c>
      <c r="B40" s="93"/>
      <c r="D40" s="95" cm="1">
        <f t="array" ref="D40:O40">TRANSPOSE(_xlfn._xlws.FILTER('Raw Data'!CQ2:CQ506,('Raw Data'!B2:B506=1)*('Raw Data'!CQ2:CQ506&lt;&gt;"")))</f>
        <v>0.66420599999999996</v>
      </c>
      <c r="E40" s="95">
        <v>0.66015299999999999</v>
      </c>
      <c r="F40" s="95">
        <v>0.65900700000000001</v>
      </c>
      <c r="G40" s="95">
        <v>0.66155699999999995</v>
      </c>
      <c r="H40" s="95">
        <v>0.65991900000000003</v>
      </c>
      <c r="I40" s="95">
        <v>0.661578</v>
      </c>
      <c r="J40" s="95">
        <v>0.65956400000000004</v>
      </c>
      <c r="K40" s="95">
        <v>0.65961800000000004</v>
      </c>
      <c r="L40" s="95">
        <v>0.66387300000000005</v>
      </c>
      <c r="M40" s="95">
        <v>0.66426200000000002</v>
      </c>
      <c r="N40" s="95">
        <v>0.66446799999999995</v>
      </c>
      <c r="O40" s="95">
        <v>0.60865999999999998</v>
      </c>
    </row>
    <row r="41" spans="1:15" s="133" customFormat="1">
      <c r="A41" s="134"/>
      <c r="B41" s="131"/>
      <c r="C41" s="131" t="s">
        <v>651</v>
      </c>
      <c r="D41" s="135"/>
      <c r="E41" s="135"/>
      <c r="F41" s="135"/>
      <c r="G41" s="135"/>
      <c r="H41" s="135"/>
      <c r="I41" s="135"/>
      <c r="J41" s="135"/>
      <c r="K41" s="135"/>
      <c r="L41" s="135"/>
      <c r="M41" s="131"/>
      <c r="N41" s="131"/>
      <c r="O41" s="131"/>
    </row>
    <row r="42" spans="1:15" s="2" customFormat="1" ht="18.75" customHeight="1">
      <c r="A42" s="38" t="s">
        <v>9</v>
      </c>
      <c r="B42" s="2" t="s">
        <v>8</v>
      </c>
      <c r="C42" s="95">
        <v>0.749</v>
      </c>
      <c r="D42" s="23" cm="1">
        <f t="array" ref="D42:O42">TRANSPOSE(_xlfn._xlws.FILTER('Raw Data'!BB2:BB505,('Raw Data'!B2:B505=1)*('Raw Data'!BB2:BB505&lt;&gt;"")))</f>
        <v>0</v>
      </c>
      <c r="E42" s="23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">
        <v>0</v>
      </c>
      <c r="O42" s="26">
        <v>0</v>
      </c>
    </row>
    <row r="43" spans="1:15" s="2" customFormat="1">
      <c r="A43" s="38" t="s">
        <v>10</v>
      </c>
      <c r="B43" s="2" t="s">
        <v>8</v>
      </c>
      <c r="C43" s="95">
        <v>0.79900000000000004</v>
      </c>
      <c r="D43" s="23" cm="1">
        <f t="array" ref="D43:O43">TRANSPOSE(_xlfn._xlws.FILTER('Raw Data'!BC2:BC505,('Raw Data'!B2:B505=1)*('Raw Data'!BC2:BC505&lt;&gt;"")))</f>
        <v>0</v>
      </c>
      <c r="E43" s="23">
        <v>0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">
        <v>0</v>
      </c>
      <c r="O43" s="26">
        <v>0</v>
      </c>
    </row>
    <row r="44" spans="1:15" s="2" customFormat="1">
      <c r="A44" s="38" t="s">
        <v>11</v>
      </c>
      <c r="B44" s="2" t="s">
        <v>8</v>
      </c>
      <c r="C44" s="95">
        <v>0.81699999999999995</v>
      </c>
      <c r="D44" s="23" cm="1">
        <f t="array" ref="D44:O44">TRANSPOSE(_xlfn._xlws.FILTER('Raw Data'!BD2:BD505,('Raw Data'!B2:B505=1)*('Raw Data'!BD2:BD505&lt;&gt;"")))</f>
        <v>0.117733</v>
      </c>
      <c r="E44" s="23">
        <v>0.28497</v>
      </c>
      <c r="F44" s="26">
        <v>0.28583999999999998</v>
      </c>
      <c r="G44" s="26">
        <v>0.29238500000000001</v>
      </c>
      <c r="H44" s="26">
        <v>0.28605199999999997</v>
      </c>
      <c r="I44" s="26">
        <v>0.205121</v>
      </c>
      <c r="J44" s="26">
        <v>0.199323</v>
      </c>
      <c r="K44" s="26">
        <v>0.19844000000000001</v>
      </c>
      <c r="L44" s="26">
        <v>0.14174900000000001</v>
      </c>
      <c r="M44" s="26">
        <v>0.104713</v>
      </c>
      <c r="N44" s="26">
        <v>0.10524699999999999</v>
      </c>
      <c r="O44" s="26">
        <v>8.1189889999999991</v>
      </c>
    </row>
    <row r="45" spans="1:15" s="2" customFormat="1">
      <c r="A45" s="38" t="s">
        <v>12</v>
      </c>
      <c r="B45" s="2" t="s">
        <v>8</v>
      </c>
      <c r="C45" s="95">
        <v>0.82599999999999996</v>
      </c>
      <c r="D45" s="23" cm="1">
        <f t="array" ref="D45:O45">TRANSPOSE(_xlfn._xlws.FILTER('Raw Data'!BE2:BE505,('Raw Data'!B2:B505=1)*('Raw Data'!BE2:BE505&lt;&gt;"")))</f>
        <v>1.648836</v>
      </c>
      <c r="E45" s="23">
        <v>1.8188960000000001</v>
      </c>
      <c r="F45" s="26">
        <v>1.815977</v>
      </c>
      <c r="G45" s="26">
        <v>1.8197449999999999</v>
      </c>
      <c r="H45" s="26">
        <v>1.8197760000000001</v>
      </c>
      <c r="I45" s="26">
        <v>1.733201</v>
      </c>
      <c r="J45" s="26">
        <v>1.7276149999999999</v>
      </c>
      <c r="K45" s="26">
        <v>1.722799</v>
      </c>
      <c r="L45" s="26">
        <v>1.645691</v>
      </c>
      <c r="M45" s="26">
        <v>1.6142540000000001</v>
      </c>
      <c r="N45" s="26">
        <v>1.6165890000000001</v>
      </c>
      <c r="O45" s="26">
        <v>4.6657659999999996</v>
      </c>
    </row>
    <row r="46" spans="1:15" s="2" customFormat="1">
      <c r="A46" s="38" t="s">
        <v>13</v>
      </c>
      <c r="B46" s="2" t="s">
        <v>8</v>
      </c>
      <c r="C46" s="95">
        <v>0.82599999999999996</v>
      </c>
      <c r="D46" s="23" cm="1">
        <f t="array" ref="D46:O46">TRANSPOSE(_xlfn._xlws.FILTER('Raw Data'!BF2:BF505,('Raw Data'!B2:B505=1)*('Raw Data'!BF2:BF505&lt;&gt;"")))</f>
        <v>0.54999600000000004</v>
      </c>
      <c r="E46" s="23">
        <v>1.0557529999999999</v>
      </c>
      <c r="F46" s="26">
        <v>1.107602</v>
      </c>
      <c r="G46" s="26">
        <v>1.1322890000000001</v>
      </c>
      <c r="H46" s="26">
        <v>1.1389389999999999</v>
      </c>
      <c r="I46" s="26">
        <v>0.86843199999999998</v>
      </c>
      <c r="J46" s="26">
        <v>0.85676600000000003</v>
      </c>
      <c r="K46" s="26">
        <v>0.85979499999999998</v>
      </c>
      <c r="L46" s="26">
        <v>0.65792799999999996</v>
      </c>
      <c r="M46" s="26">
        <v>0.52150700000000005</v>
      </c>
      <c r="N46" s="26">
        <v>0.52613600000000005</v>
      </c>
      <c r="O46" s="26">
        <v>21.228971000000001</v>
      </c>
    </row>
    <row r="47" spans="1:15" s="2" customFormat="1">
      <c r="A47" s="38" t="s">
        <v>14</v>
      </c>
      <c r="B47" s="2" t="s">
        <v>8</v>
      </c>
      <c r="C47" s="95">
        <v>0.83299999999999996</v>
      </c>
      <c r="D47" s="23" cm="1">
        <f t="array" ref="D47:O47">TRANSPOSE(_xlfn._xlws.FILTER('Raw Data'!BG2:BG505,('Raw Data'!B2:B505=1)*('Raw Data'!BG2:BG505&lt;&gt;"")))</f>
        <v>12.49423</v>
      </c>
      <c r="E47" s="23">
        <v>12.831334999999999</v>
      </c>
      <c r="F47" s="26">
        <v>12.823763</v>
      </c>
      <c r="G47" s="26">
        <v>12.822315</v>
      </c>
      <c r="H47" s="26">
        <v>12.861259</v>
      </c>
      <c r="I47" s="26">
        <v>12.831433000000001</v>
      </c>
      <c r="J47" s="26">
        <v>12.846728000000001</v>
      </c>
      <c r="K47" s="26">
        <v>12.836833</v>
      </c>
      <c r="L47" s="26">
        <v>12.769761000000001</v>
      </c>
      <c r="M47" s="26">
        <v>12.775618</v>
      </c>
      <c r="N47" s="26">
        <v>12.800599999999999</v>
      </c>
      <c r="O47" s="26">
        <v>12.114812000000001</v>
      </c>
    </row>
    <row r="48" spans="1:15" s="2" customFormat="1">
      <c r="A48" s="38" t="s">
        <v>15</v>
      </c>
      <c r="B48" s="2" t="s">
        <v>8</v>
      </c>
      <c r="C48" s="95">
        <v>0.83299999999999996</v>
      </c>
      <c r="D48" s="23" cm="1">
        <f t="array" ref="D48:O48">TRANSPOSE(_xlfn._xlws.FILTER('Raw Data'!BH2:BH505,('Raw Data'!B2:B505=1)*('Raw Data'!BH2:BH505&lt;&gt;"")))</f>
        <v>7.5639050000000001</v>
      </c>
      <c r="E48" s="23">
        <v>7.9914630000000004</v>
      </c>
      <c r="F48" s="26">
        <v>7.9711179999999997</v>
      </c>
      <c r="G48" s="26">
        <v>7.9790429999999999</v>
      </c>
      <c r="H48" s="26">
        <v>8.0015020000000003</v>
      </c>
      <c r="I48" s="26">
        <v>7.8333579999999996</v>
      </c>
      <c r="J48" s="26">
        <v>7.8290290000000002</v>
      </c>
      <c r="K48" s="26">
        <v>7.8237379999999996</v>
      </c>
      <c r="L48" s="26">
        <v>7.6705220000000001</v>
      </c>
      <c r="M48" s="26">
        <v>7.6028440000000002</v>
      </c>
      <c r="N48" s="26">
        <v>7.618309</v>
      </c>
      <c r="O48" s="26">
        <v>13.628721000000001</v>
      </c>
    </row>
    <row r="49" spans="1:15" s="2" customFormat="1">
      <c r="A49" s="38" t="s">
        <v>16</v>
      </c>
      <c r="B49" s="2" t="s">
        <v>8</v>
      </c>
      <c r="C49" s="95">
        <v>0.85699999999999998</v>
      </c>
      <c r="D49" s="23" cm="1">
        <f t="array" ref="D49:O49">TRANSPOSE(_xlfn._xlws.FILTER('Raw Data'!BI2:BI505,('Raw Data'!B2:B505=1)*('Raw Data'!BI2:BI505&lt;&gt;"")))</f>
        <v>0</v>
      </c>
      <c r="E49" s="23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</row>
    <row r="50" spans="1:15" s="2" customFormat="1">
      <c r="A50" s="38" t="s">
        <v>17</v>
      </c>
      <c r="B50" s="2" t="s">
        <v>8</v>
      </c>
      <c r="C50" s="95">
        <v>0.83699999999999997</v>
      </c>
      <c r="D50" s="23" cm="1">
        <f t="array" ref="D50:O50">TRANSPOSE(_xlfn._xlws.FILTER('Raw Data'!BJ2:BJ505,('Raw Data'!B2:B505=1)*('Raw Data'!BJ2:BJ505&lt;&gt;"")))</f>
        <v>17.332419999999999</v>
      </c>
      <c r="E50" s="23">
        <v>17.402657999999999</v>
      </c>
      <c r="F50" s="26">
        <v>17.453924000000001</v>
      </c>
      <c r="G50" s="26">
        <v>17.415951</v>
      </c>
      <c r="H50" s="26">
        <v>17.484605999999999</v>
      </c>
      <c r="I50" s="26">
        <v>17.589310000000001</v>
      </c>
      <c r="J50" s="26">
        <v>17.607956000000001</v>
      </c>
      <c r="K50" s="26">
        <v>17.610229</v>
      </c>
      <c r="L50" s="26">
        <v>17.680426000000001</v>
      </c>
      <c r="M50" s="26">
        <v>17.690884</v>
      </c>
      <c r="N50" s="26">
        <v>17.741339</v>
      </c>
      <c r="O50" s="26">
        <v>11.552959</v>
      </c>
    </row>
    <row r="51" spans="1:15" s="2" customFormat="1">
      <c r="A51" s="38" t="s">
        <v>18</v>
      </c>
      <c r="B51" s="2" t="s">
        <v>8</v>
      </c>
      <c r="C51" s="95">
        <v>0.83699999999999997</v>
      </c>
      <c r="D51" s="23" cm="1">
        <f t="array" ref="D51:O51">TRANSPOSE(_xlfn._xlws.FILTER('Raw Data'!BK2:BK505,('Raw Data'!B2:B505=1)*('Raw Data'!BK2:BK505&lt;&gt;"")))</f>
        <v>7.7424860000000004</v>
      </c>
      <c r="E51" s="23">
        <v>7.7180580000000001</v>
      </c>
      <c r="F51" s="26">
        <v>7.662102</v>
      </c>
      <c r="G51" s="26">
        <v>7.6427040000000002</v>
      </c>
      <c r="H51" s="26">
        <v>7.654064</v>
      </c>
      <c r="I51" s="26">
        <v>7.7359070000000001</v>
      </c>
      <c r="J51" s="26">
        <v>7.7352270000000001</v>
      </c>
      <c r="K51" s="26">
        <v>7.7265040000000003</v>
      </c>
      <c r="L51" s="26">
        <v>7.7918279999999998</v>
      </c>
      <c r="M51" s="26">
        <v>7.8419150000000002</v>
      </c>
      <c r="N51" s="26">
        <v>7.8593679999999999</v>
      </c>
      <c r="O51" s="26">
        <v>6.7600470000000001</v>
      </c>
    </row>
    <row r="52" spans="1:15" s="2" customFormat="1">
      <c r="A52" s="38" t="s">
        <v>19</v>
      </c>
      <c r="B52" s="2" t="s">
        <v>8</v>
      </c>
      <c r="C52" s="95">
        <v>0.83699999999999997</v>
      </c>
      <c r="D52" s="23" cm="1">
        <f t="array" ref="D52:O52">TRANSPOSE(_xlfn._xlws.FILTER('Raw Data'!BL2:BL505,('Raw Data'!B2:B505=1)*('Raw Data'!BL2:BL505&lt;&gt;"")))</f>
        <v>3.727007</v>
      </c>
      <c r="E52" s="23">
        <v>3.9618440000000001</v>
      </c>
      <c r="F52" s="26">
        <v>3.943781</v>
      </c>
      <c r="G52" s="26">
        <v>3.9357530000000001</v>
      </c>
      <c r="H52" s="26">
        <v>3.952102</v>
      </c>
      <c r="I52" s="26">
        <v>3.891305</v>
      </c>
      <c r="J52" s="26">
        <v>3.9023189999999999</v>
      </c>
      <c r="K52" s="26">
        <v>3.9039820000000001</v>
      </c>
      <c r="L52" s="26">
        <v>3.8495240000000002</v>
      </c>
      <c r="M52" s="26">
        <v>3.7950460000000001</v>
      </c>
      <c r="N52" s="26">
        <v>3.8113890000000001</v>
      </c>
      <c r="O52" s="26">
        <v>3.834857</v>
      </c>
    </row>
    <row r="53" spans="1:15" s="2" customFormat="1">
      <c r="A53" s="38" t="s">
        <v>20</v>
      </c>
      <c r="B53" s="2" t="s">
        <v>8</v>
      </c>
      <c r="C53" s="95">
        <v>0.83699999999999997</v>
      </c>
      <c r="D53" s="23" cm="1">
        <f t="array" ref="D53:O53">TRANSPOSE(_xlfn._xlws.FILTER('Raw Data'!BM2:BM505,('Raw Data'!B2:B505=1)*('Raw Data'!BM2:BM505&lt;&gt;"")))</f>
        <v>0.81059400000000004</v>
      </c>
      <c r="E53" s="23">
        <v>1.020448</v>
      </c>
      <c r="F53" s="26">
        <v>1.051682</v>
      </c>
      <c r="G53" s="26">
        <v>1.061426</v>
      </c>
      <c r="H53" s="26">
        <v>1.0753459999999999</v>
      </c>
      <c r="I53" s="26">
        <v>0.98001499999999997</v>
      </c>
      <c r="J53" s="26">
        <v>0.98668299999999998</v>
      </c>
      <c r="K53" s="26">
        <v>0.99134800000000001</v>
      </c>
      <c r="L53" s="26">
        <v>0.91436099999999998</v>
      </c>
      <c r="M53" s="26">
        <v>0.84968200000000005</v>
      </c>
      <c r="N53" s="26">
        <v>0.85708600000000001</v>
      </c>
      <c r="O53" s="26">
        <v>1.4850289999999999</v>
      </c>
    </row>
    <row r="54" spans="1:15" s="2" customFormat="1">
      <c r="A54" s="38" t="s">
        <v>75</v>
      </c>
      <c r="B54" s="2" t="s">
        <v>8</v>
      </c>
      <c r="C54" s="95">
        <v>0.83699999999999997</v>
      </c>
      <c r="D54" s="23" cm="1">
        <f t="array" ref="D54:O54">TRANSPOSE(_xlfn._xlws.FILTER('Raw Data'!BN2:BN505,('Raw Data'!B2:B505=1)*('Raw Data'!BN2:BN505&lt;&gt;"")))</f>
        <v>3.882E-2</v>
      </c>
      <c r="E54" s="23">
        <v>8.0764000000000002E-2</v>
      </c>
      <c r="F54" s="26">
        <v>7.5098999999999999E-2</v>
      </c>
      <c r="G54" s="26">
        <v>7.3532E-2</v>
      </c>
      <c r="H54" s="26">
        <v>7.3416999999999996E-2</v>
      </c>
      <c r="I54" s="26">
        <v>5.8862999999999999E-2</v>
      </c>
      <c r="J54" s="26">
        <v>5.7827999999999997E-2</v>
      </c>
      <c r="K54" s="26">
        <v>5.8273999999999999E-2</v>
      </c>
      <c r="L54" s="26">
        <v>4.6292E-2</v>
      </c>
      <c r="M54" s="26">
        <v>3.6176E-2</v>
      </c>
      <c r="N54" s="26">
        <v>3.6589999999999998E-2</v>
      </c>
      <c r="O54" s="26">
        <v>0.83488899999999999</v>
      </c>
    </row>
    <row r="55" spans="1:15" s="2" customFormat="1">
      <c r="A55" s="38" t="s">
        <v>22</v>
      </c>
      <c r="B55" s="2" t="s">
        <v>8</v>
      </c>
      <c r="C55" s="95">
        <v>0.85699999999999998</v>
      </c>
      <c r="D55" s="23" cm="1">
        <f t="array" ref="D55:O55">TRANSPOSE(_xlfn._xlws.FILTER('Raw Data'!BO2:BO505,('Raw Data'!B2:B505=1)*('Raw Data'!BO2:BO505&lt;&gt;"")))</f>
        <v>0.353294</v>
      </c>
      <c r="E55" s="23">
        <v>0.33352500000000002</v>
      </c>
      <c r="F55" s="26">
        <v>0.33433000000000002</v>
      </c>
      <c r="G55" s="26">
        <v>0.33335100000000001</v>
      </c>
      <c r="H55" s="26">
        <v>0.335032</v>
      </c>
      <c r="I55" s="26">
        <v>0.34137600000000001</v>
      </c>
      <c r="J55" s="26">
        <v>0.34205799999999997</v>
      </c>
      <c r="K55" s="26">
        <v>0.34183599999999997</v>
      </c>
      <c r="L55" s="26">
        <v>0.34815200000000002</v>
      </c>
      <c r="M55" s="26">
        <v>0.35233399999999998</v>
      </c>
      <c r="N55" s="26">
        <v>0.352323</v>
      </c>
      <c r="O55" s="26">
        <v>0</v>
      </c>
    </row>
    <row r="56" spans="1:15" s="2" customFormat="1">
      <c r="A56" s="38" t="s">
        <v>23</v>
      </c>
      <c r="B56" s="2" t="s">
        <v>8</v>
      </c>
      <c r="C56" s="95">
        <v>0.85699999999999998</v>
      </c>
      <c r="D56" s="23" cm="1">
        <f t="array" ref="D56:O56">TRANSPOSE(_xlfn._xlws.FILTER('Raw Data'!BP2:BP506,('Raw Data'!B2:B506=1)*('Raw Data'!BP2:BP506&lt;&gt;"")))</f>
        <v>0.66711100000000001</v>
      </c>
      <c r="E56" s="23">
        <v>0.67296599999999995</v>
      </c>
      <c r="F56" s="26">
        <v>0.67473700000000003</v>
      </c>
      <c r="G56" s="26">
        <v>0.672149</v>
      </c>
      <c r="H56" s="26">
        <v>0.67518299999999998</v>
      </c>
      <c r="I56" s="26">
        <v>0.675786</v>
      </c>
      <c r="J56" s="26">
        <v>0.67704600000000004</v>
      </c>
      <c r="K56" s="26">
        <v>0.67888700000000002</v>
      </c>
      <c r="L56" s="26">
        <v>0.67912600000000001</v>
      </c>
      <c r="M56" s="26">
        <v>0.67784800000000001</v>
      </c>
      <c r="N56" s="26">
        <v>0.67986000000000002</v>
      </c>
      <c r="O56" s="26">
        <v>0</v>
      </c>
    </row>
    <row r="57" spans="1:15" s="2" customFormat="1">
      <c r="A57" s="38" t="s">
        <v>24</v>
      </c>
      <c r="B57" s="2" t="s">
        <v>8</v>
      </c>
      <c r="C57" s="95">
        <v>0.92300000000000004</v>
      </c>
      <c r="D57" s="23" cm="1">
        <f t="array" ref="D57:O57">TRANSPOSE(_xlfn._xlws.FILTER('Raw Data'!BQ2:BQ505,('Raw Data'!B2:B505=1)*('Raw Data'!BQ2:BQ505&lt;&gt;"")))</f>
        <v>0</v>
      </c>
      <c r="E57" s="23">
        <v>0</v>
      </c>
      <c r="F57" s="26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>
        <v>0</v>
      </c>
    </row>
    <row r="58" spans="1:15">
      <c r="A58" s="38" t="s">
        <v>25</v>
      </c>
      <c r="B58" s="2" t="s">
        <v>8</v>
      </c>
      <c r="C58" s="95">
        <v>0.83899999999999997</v>
      </c>
      <c r="D58" s="23" cm="1">
        <f t="array" ref="D58:O58">TRANSPOSE(_xlfn._xlws.FILTER('Raw Data'!BR2:BR505,('Raw Data'!B2:B505=1)*('Raw Data'!BR2:BR505&lt;&gt;"")))</f>
        <v>15.871069</v>
      </c>
      <c r="E58" s="23">
        <v>15.10768</v>
      </c>
      <c r="F58" s="26">
        <v>15.257998000000001</v>
      </c>
      <c r="G58" s="26">
        <v>15.208715</v>
      </c>
      <c r="H58" s="26">
        <v>15.250907</v>
      </c>
      <c r="I58" s="26">
        <v>15.532736</v>
      </c>
      <c r="J58" s="26">
        <v>15.516939000000001</v>
      </c>
      <c r="K58" s="26">
        <v>15.517382</v>
      </c>
      <c r="L58" s="26">
        <v>15.772957</v>
      </c>
      <c r="M58" s="26">
        <v>15.885249</v>
      </c>
      <c r="N58" s="26">
        <v>15.875308</v>
      </c>
      <c r="O58" s="26">
        <v>7.3114410000000003</v>
      </c>
    </row>
    <row r="59" spans="1:15">
      <c r="A59" s="38" t="s">
        <v>26</v>
      </c>
      <c r="B59" s="2" t="s">
        <v>8</v>
      </c>
      <c r="C59" s="95">
        <v>0.83899999999999997</v>
      </c>
      <c r="D59" s="23" cm="1">
        <f t="array" ref="D59:O59">TRANSPOSE(_xlfn._xlws.FILTER('Raw Data'!BS2:BS505,('Raw Data'!B2:B505=1)*('Raw Data'!BS2:BS505&lt;&gt;"")))</f>
        <v>13.507695</v>
      </c>
      <c r="E59" s="23">
        <v>13.079929</v>
      </c>
      <c r="F59" s="26">
        <v>12.872382</v>
      </c>
      <c r="G59" s="26">
        <v>12.762138999999999</v>
      </c>
      <c r="H59" s="26">
        <v>12.768053999999999</v>
      </c>
      <c r="I59" s="26">
        <v>13.014289</v>
      </c>
      <c r="J59" s="26">
        <v>12.99057</v>
      </c>
      <c r="K59" s="26">
        <v>12.970174999999999</v>
      </c>
      <c r="L59" s="26">
        <v>13.2126</v>
      </c>
      <c r="M59" s="26">
        <v>13.352736</v>
      </c>
      <c r="N59" s="26">
        <v>13.358385</v>
      </c>
      <c r="O59" s="26">
        <v>5.0366929999999996</v>
      </c>
    </row>
    <row r="60" spans="1:15">
      <c r="A60" s="38" t="s">
        <v>27</v>
      </c>
      <c r="B60" s="2" t="s">
        <v>8</v>
      </c>
      <c r="C60" s="95">
        <v>0.83899999999999997</v>
      </c>
      <c r="D60" s="23" cm="1">
        <f t="array" ref="D60:O60">TRANSPOSE(_xlfn._xlws.FILTER('Raw Data'!BT2:BT505,('Raw Data'!B2:B505=1)*('Raw Data'!BT2:BT505&lt;&gt;"")))</f>
        <v>1.3295669999999999</v>
      </c>
      <c r="E60" s="23">
        <v>2.044778</v>
      </c>
      <c r="F60" s="26">
        <v>2.3185889999999998</v>
      </c>
      <c r="G60" s="26">
        <v>2.3285800000000001</v>
      </c>
      <c r="H60" s="26">
        <v>2.3752939999999998</v>
      </c>
      <c r="I60" s="26">
        <v>2.075717</v>
      </c>
      <c r="J60" s="26">
        <v>2.096311</v>
      </c>
      <c r="K60" s="26">
        <v>2.1217410000000001</v>
      </c>
      <c r="L60" s="26">
        <v>1.85324</v>
      </c>
      <c r="M60" s="26">
        <v>1.6068119999999999</v>
      </c>
      <c r="N60" s="26">
        <v>1.63761</v>
      </c>
      <c r="O60" s="26">
        <v>0</v>
      </c>
    </row>
    <row r="61" spans="1:15">
      <c r="A61" s="38" t="s">
        <v>28</v>
      </c>
      <c r="B61" s="2" t="s">
        <v>8</v>
      </c>
      <c r="C61" s="95">
        <v>0.85619999999999996</v>
      </c>
      <c r="D61" s="23" cm="1">
        <f t="array" ref="D61:O61">TRANSPOSE(_xlfn._xlws.FILTER('Raw Data'!BU2:BU505,('Raw Data'!B2:B505=1)*('Raw Data'!BU2:BU505&lt;&gt;"")))</f>
        <v>1.140245</v>
      </c>
      <c r="E61" s="23">
        <v>1.0899319999999999</v>
      </c>
      <c r="F61" s="26">
        <v>1.0903290000000001</v>
      </c>
      <c r="G61" s="26">
        <v>1.087186</v>
      </c>
      <c r="H61" s="26">
        <v>1.09012</v>
      </c>
      <c r="I61" s="26">
        <v>1.099623</v>
      </c>
      <c r="J61" s="26">
        <v>1.1000939999999999</v>
      </c>
      <c r="K61" s="26">
        <v>1.096938</v>
      </c>
      <c r="L61" s="26">
        <v>1.1097220000000001</v>
      </c>
      <c r="M61" s="26">
        <v>1.116994</v>
      </c>
      <c r="N61" s="26">
        <v>1.1111839999999999</v>
      </c>
      <c r="O61" s="26">
        <v>0</v>
      </c>
    </row>
    <row r="62" spans="1:15">
      <c r="A62" s="38" t="s">
        <v>29</v>
      </c>
      <c r="B62" s="2" t="s">
        <v>8</v>
      </c>
      <c r="C62" s="95">
        <v>0.91300000000000003</v>
      </c>
      <c r="D62" s="23" cm="1">
        <f t="array" ref="D62:O62">TRANSPOSE(_xlfn._xlws.FILTER('Raw Data'!BV2:BV505,('Raw Data'!B2:B505=1)*('Raw Data'!BV2:BV505&lt;&gt;"")))</f>
        <v>0</v>
      </c>
      <c r="E62" s="23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</row>
    <row r="63" spans="1:15">
      <c r="A63" s="38" t="s">
        <v>30</v>
      </c>
      <c r="B63" s="2" t="s">
        <v>8</v>
      </c>
      <c r="C63" s="95">
        <v>0.84099999999999997</v>
      </c>
      <c r="D63" s="23" cm="1">
        <f t="array" ref="D63:O63">TRANSPOSE(_xlfn._xlws.FILTER('Raw Data'!BW2:BW505,('Raw Data'!B2:B505=1)*('Raw Data'!BW2:BW505&lt;&gt;"")))</f>
        <v>13.552277</v>
      </c>
      <c r="E63" s="23">
        <v>11.798962</v>
      </c>
      <c r="F63" s="26">
        <v>12.116982999999999</v>
      </c>
      <c r="G63" s="26">
        <v>12.076274</v>
      </c>
      <c r="H63" s="26">
        <v>12.035034</v>
      </c>
      <c r="I63" s="26">
        <v>12.506154</v>
      </c>
      <c r="J63" s="26">
        <v>12.521623</v>
      </c>
      <c r="K63" s="26">
        <v>12.536552</v>
      </c>
      <c r="L63" s="26">
        <v>12.876481999999999</v>
      </c>
      <c r="M63" s="26">
        <v>13.223485</v>
      </c>
      <c r="N63" s="26">
        <v>13.066122</v>
      </c>
      <c r="O63" s="26">
        <v>1.2487839999999999</v>
      </c>
    </row>
    <row r="64" spans="1:15">
      <c r="A64" s="22" t="s">
        <v>636</v>
      </c>
      <c r="B64" s="2" t="s">
        <v>8</v>
      </c>
      <c r="C64" s="95">
        <v>0.85629999999999995</v>
      </c>
      <c r="D64" s="23" cm="1">
        <f t="array" ref="D64:O64">TRANSPOSE(_xlfn._xlws.FILTER('Raw Data'!BX2:BX505,('Raw Data'!B2:B505=1)*('Raw Data'!BX2:BX505&lt;&gt;"")))</f>
        <v>0.52962900000000002</v>
      </c>
      <c r="E64" s="23">
        <v>0.69670600000000005</v>
      </c>
      <c r="F64" s="26">
        <v>0.62980800000000003</v>
      </c>
      <c r="G64" s="26">
        <v>0.61369200000000002</v>
      </c>
      <c r="H64" s="26">
        <v>0.61158100000000004</v>
      </c>
      <c r="I64" s="26">
        <v>0.56226799999999999</v>
      </c>
      <c r="J64" s="26">
        <v>0.56168899999999999</v>
      </c>
      <c r="K64" s="26">
        <v>0.56228500000000003</v>
      </c>
      <c r="L64" s="26">
        <v>0.53129800000000005</v>
      </c>
      <c r="M64" s="26">
        <v>0.50382899999999997</v>
      </c>
      <c r="N64" s="26">
        <v>0.50029500000000005</v>
      </c>
      <c r="O64" s="26">
        <v>0</v>
      </c>
    </row>
    <row r="65" spans="1:15">
      <c r="A65" s="22" t="s">
        <v>637</v>
      </c>
      <c r="B65" s="2" t="s">
        <v>8</v>
      </c>
      <c r="C65" s="95">
        <v>0.90600000000000003</v>
      </c>
      <c r="D65" s="23" cm="1">
        <f t="array" ref="D65:O65">TRANSPOSE(_xlfn._xlws.FILTER('Raw Data'!BY2:BY505,('Raw Data'!B2:B505=1)*('Raw Data'!BY2:BY505&lt;&gt;"")))</f>
        <v>0</v>
      </c>
      <c r="E65" s="23">
        <v>0</v>
      </c>
      <c r="F65" s="26">
        <v>0</v>
      </c>
      <c r="G65" s="26">
        <v>0</v>
      </c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  <c r="O65" s="26">
        <v>0</v>
      </c>
    </row>
    <row r="66" spans="1:15">
      <c r="A66" s="22" t="s">
        <v>638</v>
      </c>
      <c r="B66" s="2" t="s">
        <v>8</v>
      </c>
      <c r="C66" s="95">
        <v>0.84299999999999997</v>
      </c>
      <c r="D66" s="23" cm="1">
        <f t="array" ref="D66:O66">TRANSPOSE(_xlfn._xlws.FILTER('Raw Data'!BZ2:BZ505,('Raw Data'!B2:B505=1)*('Raw Data'!BZ2:BZ505&lt;&gt;"")))</f>
        <v>0.213448</v>
      </c>
      <c r="E66" s="23">
        <v>0.141872</v>
      </c>
      <c r="F66" s="26">
        <v>0.14377100000000001</v>
      </c>
      <c r="G66" s="26">
        <v>0.14363500000000001</v>
      </c>
      <c r="H66" s="26">
        <v>0.143426</v>
      </c>
      <c r="I66" s="26">
        <v>0.15187100000000001</v>
      </c>
      <c r="J66" s="26">
        <v>0.15062600000000001</v>
      </c>
      <c r="K66" s="26">
        <v>0.150889</v>
      </c>
      <c r="L66" s="26">
        <v>0.15962399999999999</v>
      </c>
      <c r="M66" s="26">
        <v>0.16855300000000001</v>
      </c>
      <c r="N66" s="26">
        <v>0.168823</v>
      </c>
      <c r="O66" s="26">
        <v>0</v>
      </c>
    </row>
    <row r="67" spans="1:15">
      <c r="A67" s="22" t="s">
        <v>639</v>
      </c>
      <c r="B67" s="2" t="s">
        <v>8</v>
      </c>
      <c r="C67" s="95">
        <v>0.85699999999999998</v>
      </c>
      <c r="D67" s="23" cm="1">
        <f t="array" ref="D67:O67">TRANSPOSE(_xlfn._xlws.FILTER('Raw Data'!CA2:CA505,('Raw Data'!B2:B505=1)*('Raw Data'!CA2:CA505&lt;&gt;"")))</f>
        <v>3.1008999999999998E-2</v>
      </c>
      <c r="E67" s="23">
        <v>2.2949000000000001E-2</v>
      </c>
      <c r="F67" s="26">
        <v>2.3167E-2</v>
      </c>
      <c r="G67" s="26">
        <v>2.3434E-2</v>
      </c>
      <c r="H67" s="26">
        <v>2.2865E-2</v>
      </c>
      <c r="I67" s="26">
        <v>2.0459999999999999E-2</v>
      </c>
      <c r="J67" s="26">
        <v>2.1985999999999999E-2</v>
      </c>
      <c r="K67" s="26">
        <v>2.0729000000000001E-2</v>
      </c>
      <c r="L67" s="26">
        <v>2.0413000000000001E-2</v>
      </c>
      <c r="M67" s="26">
        <v>1.9951E-2</v>
      </c>
      <c r="N67" s="26">
        <v>1.9640000000000001E-2</v>
      </c>
      <c r="O67" s="26">
        <v>0</v>
      </c>
    </row>
    <row r="68" spans="1:15">
      <c r="A68" s="22" t="s">
        <v>640</v>
      </c>
      <c r="B68" s="2" t="s">
        <v>8</v>
      </c>
      <c r="C68" s="95">
        <v>0.9</v>
      </c>
      <c r="D68" s="23" cm="1">
        <f t="array" ref="D68:O68">TRANSPOSE(_xlfn._xlws.FILTER('Raw Data'!CB2:CB505,('Raw Data'!B2:B505=1)*('Raw Data'!CB2:CB505&lt;&gt;"")))</f>
        <v>0</v>
      </c>
      <c r="E68" s="23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</row>
    <row r="69" spans="1:15">
      <c r="A69" s="22" t="s">
        <v>641</v>
      </c>
      <c r="B69" s="2" t="s">
        <v>8</v>
      </c>
      <c r="C69" s="95">
        <v>0.84399999999999997</v>
      </c>
      <c r="D69" s="23" cm="1">
        <f t="array" ref="D69:O69">TRANSPOSE(_xlfn._xlws.FILTER('Raw Data'!CC2:CC505,('Raw Data'!B2:B505=1)*('Raw Data'!CC2:CC505&lt;&gt;"")))</f>
        <v>0</v>
      </c>
      <c r="E69" s="23">
        <v>0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</row>
    <row r="70" spans="1:15">
      <c r="A70" s="22" t="s">
        <v>642</v>
      </c>
      <c r="B70" s="2" t="s">
        <v>8</v>
      </c>
      <c r="C70" s="95">
        <v>0.85709999999999997</v>
      </c>
      <c r="D70" s="23" cm="1">
        <f t="array" ref="D70:O70">TRANSPOSE(_xlfn._xlws.FILTER('Raw Data'!CD2:CD505,('Raw Data'!B2:B505=1)*('Raw Data'!CD2:CD505&lt;&gt;"")))</f>
        <v>4.0806000000000002E-2</v>
      </c>
      <c r="E70" s="23">
        <v>0</v>
      </c>
      <c r="F70" s="26">
        <v>0</v>
      </c>
      <c r="G70" s="26">
        <v>3.0699999999999998E-4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N70" s="26">
        <v>0</v>
      </c>
      <c r="O70" s="26">
        <v>0</v>
      </c>
    </row>
    <row r="71" spans="1:15">
      <c r="A71" s="22" t="s">
        <v>643</v>
      </c>
      <c r="B71" s="2" t="s">
        <v>8</v>
      </c>
      <c r="C71" s="95">
        <v>0.89600000000000002</v>
      </c>
      <c r="D71" s="23" cm="1">
        <f t="array" ref="D71:O71">TRANSPOSE(_xlfn._xlws.FILTER('Raw Data'!CE2:CE505,('Raw Data'!B2:B505=1)*('Raw Data'!CE2:CE505&lt;&gt;"")))</f>
        <v>0</v>
      </c>
      <c r="E71" s="23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</row>
    <row r="72" spans="1:15">
      <c r="A72" s="22" t="s">
        <v>76</v>
      </c>
      <c r="B72" s="2" t="s">
        <v>8</v>
      </c>
      <c r="C72" s="95">
        <v>0.79</v>
      </c>
      <c r="D72" s="23" cm="1">
        <f t="array" ref="D72:O72">TRANSPOSE(_xlfn._xlws.FILTER('Raw Data'!CF2:CF505,('Raw Data'!B2:B505=1)*('Raw Data'!CF2:CF505&lt;&gt;"")))</f>
        <v>3.9426000000000003E-2</v>
      </c>
      <c r="E72" s="23">
        <v>5.6127000000000003E-2</v>
      </c>
      <c r="F72" s="26">
        <v>1.7888999999999999E-2</v>
      </c>
      <c r="G72" s="26">
        <v>1.8322999999999999E-2</v>
      </c>
      <c r="H72" s="26">
        <v>1.7205000000000002E-2</v>
      </c>
      <c r="I72" s="26">
        <v>1.2626E-2</v>
      </c>
      <c r="J72" s="26">
        <v>1.272E-2</v>
      </c>
      <c r="K72" s="26">
        <v>1.2319E-2</v>
      </c>
      <c r="L72" s="26">
        <v>8.4320000000000003E-3</v>
      </c>
      <c r="M72" s="26">
        <v>7.7270000000000004E-3</v>
      </c>
      <c r="N72" s="26">
        <v>7.7530000000000003E-3</v>
      </c>
      <c r="O72" s="26">
        <v>0</v>
      </c>
    </row>
    <row r="73" spans="1:15">
      <c r="A73" s="22" t="s">
        <v>77</v>
      </c>
      <c r="B73" s="2" t="s">
        <v>8</v>
      </c>
      <c r="C73" s="95">
        <v>0.83</v>
      </c>
      <c r="D73" s="23" cm="1">
        <f t="array" ref="D73:O73">TRANSPOSE(_xlfn._xlws.FILTER('Raw Data'!CG2:CG505,('Raw Data'!B2:B505=1)*('Raw Data'!CG2:CG505&lt;&gt;"")))</f>
        <v>0</v>
      </c>
      <c r="E73" s="23">
        <v>2.643E-3</v>
      </c>
      <c r="F73" s="26">
        <v>3.3600000000000001E-3</v>
      </c>
      <c r="G73" s="26">
        <v>3.032E-3</v>
      </c>
      <c r="H73" s="26">
        <v>3.339E-3</v>
      </c>
      <c r="I73" s="26">
        <v>2.7520000000000001E-3</v>
      </c>
      <c r="J73" s="26">
        <v>2.4229999999999998E-3</v>
      </c>
      <c r="K73" s="26">
        <v>2.2829999999999999E-3</v>
      </c>
      <c r="L73" s="26">
        <v>2.16E-3</v>
      </c>
      <c r="M73" s="26">
        <v>2.1080000000000001E-3</v>
      </c>
      <c r="N73" s="26">
        <v>2.728E-3</v>
      </c>
      <c r="O73" s="26">
        <v>2.178042</v>
      </c>
    </row>
    <row r="74" spans="1:15">
      <c r="A74" s="22" t="s">
        <v>78</v>
      </c>
      <c r="B74" s="2" t="s">
        <v>8</v>
      </c>
      <c r="C74" s="95">
        <v>0.83499999999999996</v>
      </c>
      <c r="D74" s="23" cm="1">
        <f t="array" ref="D74:O74">TRANSPOSE(_xlfn._xlws.FILTER('Raw Data'!CH2:CH505,('Raw Data'!B2:B505=1)*('Raw Data'!CH2:CH505&lt;&gt;"")))</f>
        <v>0</v>
      </c>
      <c r="E74" s="23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</row>
    <row r="75" spans="1:15">
      <c r="A75" s="22" t="s">
        <v>79</v>
      </c>
      <c r="B75" s="2" t="s">
        <v>8</v>
      </c>
      <c r="C75" s="95">
        <v>0.83860000000000001</v>
      </c>
      <c r="D75" s="23" cm="1">
        <f t="array" ref="D75:O75">TRANSPOSE(_xlfn._xlws.FILTER('Raw Data'!CI2:CI505,('Raw Data'!B2:B505=1)*('Raw Data'!CI2:CI505&lt;&gt;"")))</f>
        <v>0.16939100000000001</v>
      </c>
      <c r="E75" s="23">
        <v>5.2779E-2</v>
      </c>
      <c r="F75" s="26">
        <v>5.8063999999999998E-2</v>
      </c>
      <c r="G75" s="26">
        <v>5.6926999999999998E-2</v>
      </c>
      <c r="H75" s="26">
        <v>6.0170000000000001E-2</v>
      </c>
      <c r="I75" s="26">
        <v>5.4123999999999999E-2</v>
      </c>
      <c r="J75" s="26">
        <v>5.5495000000000003E-2</v>
      </c>
      <c r="K75" s="26">
        <v>5.6654999999999997E-2</v>
      </c>
      <c r="L75" s="26">
        <v>4.8883999999999997E-2</v>
      </c>
      <c r="M75" s="26">
        <v>4.0306000000000002E-2</v>
      </c>
      <c r="N75" s="26">
        <v>4.2370999999999999E-2</v>
      </c>
      <c r="O75" s="26">
        <v>0</v>
      </c>
    </row>
    <row r="76" spans="1:15">
      <c r="A76" s="22" t="s">
        <v>80</v>
      </c>
      <c r="B76" s="2" t="s">
        <v>8</v>
      </c>
      <c r="C76" s="95">
        <v>0.84060000000000001</v>
      </c>
      <c r="D76" s="23" cm="1">
        <f t="array" ref="D76:O76">TRANSPOSE(_xlfn._xlws.FILTER('Raw Data'!CJ2:CJ505,('Raw Data'!B2:B505=1)*('Raw Data'!CJ2:CJ505&lt;&gt;"")))</f>
        <v>0.108001</v>
      </c>
      <c r="E76" s="23">
        <v>7.7681E-2</v>
      </c>
      <c r="F76" s="26">
        <v>7.2910000000000003E-2</v>
      </c>
      <c r="G76" s="26">
        <v>6.8227999999999997E-2</v>
      </c>
      <c r="H76" s="26">
        <v>6.6855999999999999E-2</v>
      </c>
      <c r="I76" s="26">
        <v>6.2438E-2</v>
      </c>
      <c r="J76" s="26">
        <v>6.2355000000000001E-2</v>
      </c>
      <c r="K76" s="26">
        <v>6.2692999999999999E-2</v>
      </c>
      <c r="L76" s="26">
        <v>6.0474E-2</v>
      </c>
      <c r="M76" s="26">
        <v>5.8742999999999997E-2</v>
      </c>
      <c r="N76" s="26">
        <v>5.9135E-2</v>
      </c>
      <c r="O76" s="26">
        <v>0</v>
      </c>
    </row>
    <row r="77" spans="1:15">
      <c r="A77" s="22" t="s">
        <v>644</v>
      </c>
      <c r="B77" s="2" t="s">
        <v>8</v>
      </c>
      <c r="C77" s="95">
        <v>0.84799999999999998</v>
      </c>
      <c r="D77" s="23" cm="1">
        <f t="array" ref="D77:O77">TRANSPOSE(_xlfn._xlws.FILTER('Raw Data'!CK2:CK505,('Raw Data'!B2:B505=1)*('Raw Data'!CK2:CK505&lt;&gt;"")))</f>
        <v>0.42105199999999998</v>
      </c>
      <c r="E77" s="23">
        <v>0.17940400000000001</v>
      </c>
      <c r="F77" s="26">
        <v>0.16877800000000001</v>
      </c>
      <c r="G77" s="26">
        <v>0.42890699999999998</v>
      </c>
      <c r="H77" s="26">
        <v>0.17072499999999999</v>
      </c>
      <c r="I77" s="26">
        <v>0.16083600000000001</v>
      </c>
      <c r="J77" s="26">
        <v>0.13858699999999999</v>
      </c>
      <c r="K77" s="26">
        <v>0.136686</v>
      </c>
      <c r="L77" s="26">
        <v>0.148372</v>
      </c>
      <c r="M77" s="26">
        <v>0.147372</v>
      </c>
      <c r="N77" s="26">
        <v>0.144817</v>
      </c>
      <c r="O77" s="26">
        <v>0</v>
      </c>
    </row>
    <row r="78" spans="1:15">
      <c r="A78" s="22" t="s">
        <v>81</v>
      </c>
      <c r="B78" s="2" t="s">
        <v>8</v>
      </c>
      <c r="D78" s="23">
        <f t="shared" ref="D78:O78" si="49">SUM(D42:D77)</f>
        <v>100.00004700000001</v>
      </c>
      <c r="E78" s="139">
        <f t="shared" si="49"/>
        <v>99.52412200000002</v>
      </c>
      <c r="F78" s="148">
        <f t="shared" si="49"/>
        <v>99.973983000000004</v>
      </c>
      <c r="G78" s="148">
        <f t="shared" si="49"/>
        <v>100.00002200000002</v>
      </c>
      <c r="H78" s="23">
        <f t="shared" si="49"/>
        <v>99.972853999999998</v>
      </c>
      <c r="I78" s="23">
        <f t="shared" si="49"/>
        <v>100.00000100000001</v>
      </c>
      <c r="J78" s="23">
        <f t="shared" si="49"/>
        <v>99.999995999999996</v>
      </c>
      <c r="K78" s="23">
        <f t="shared" si="49"/>
        <v>99.99999200000002</v>
      </c>
      <c r="L78" s="23">
        <f t="shared" si="49"/>
        <v>100.00001800000001</v>
      </c>
      <c r="M78" s="23">
        <f t="shared" si="49"/>
        <v>99.996686000000039</v>
      </c>
      <c r="N78" s="23">
        <f t="shared" si="49"/>
        <v>99.999006999999978</v>
      </c>
      <c r="O78" s="23">
        <f t="shared" si="49"/>
        <v>100</v>
      </c>
    </row>
    <row r="79" spans="1:15" s="133" customFormat="1">
      <c r="A79" s="131"/>
      <c r="B79" s="131"/>
      <c r="C79" s="131"/>
      <c r="D79" s="136"/>
      <c r="E79" s="136"/>
      <c r="F79" s="136"/>
      <c r="G79" s="136"/>
      <c r="H79" s="136"/>
      <c r="I79" s="136"/>
      <c r="J79" s="136"/>
      <c r="K79" s="136"/>
      <c r="L79" s="136"/>
      <c r="M79" s="131"/>
      <c r="N79" s="131"/>
      <c r="O79" s="131"/>
    </row>
    <row r="80" spans="1:15">
      <c r="A80" s="38" t="s">
        <v>9</v>
      </c>
      <c r="B80" s="2" t="s">
        <v>74</v>
      </c>
      <c r="D80" s="23">
        <f t="shared" ref="D80:K80" si="50">(D36*D42)/(D37)</f>
        <v>0</v>
      </c>
      <c r="E80" s="23">
        <f t="shared" si="50"/>
        <v>0</v>
      </c>
      <c r="F80" s="23">
        <f t="shared" si="50"/>
        <v>0</v>
      </c>
      <c r="G80" s="23">
        <f t="shared" si="50"/>
        <v>0</v>
      </c>
      <c r="H80" s="23">
        <f t="shared" si="50"/>
        <v>0</v>
      </c>
      <c r="I80" s="23">
        <f t="shared" si="50"/>
        <v>0</v>
      </c>
      <c r="J80" s="23">
        <f t="shared" si="50"/>
        <v>0</v>
      </c>
      <c r="K80" s="23">
        <f t="shared" si="50"/>
        <v>0</v>
      </c>
      <c r="L80" s="23">
        <f t="shared" ref="L80:N80" si="51">(L36*L42)/(L37)</f>
        <v>0</v>
      </c>
      <c r="M80" s="23">
        <f t="shared" si="51"/>
        <v>0</v>
      </c>
      <c r="N80" s="23">
        <f t="shared" si="51"/>
        <v>0</v>
      </c>
    </row>
    <row r="81" spans="1:14">
      <c r="A81" s="38" t="s">
        <v>10</v>
      </c>
      <c r="B81" s="2" t="s">
        <v>74</v>
      </c>
      <c r="D81" s="23">
        <f t="shared" ref="D81:K81" si="52">(D36*D43)/(D37)</f>
        <v>0</v>
      </c>
      <c r="E81" s="23">
        <f t="shared" si="52"/>
        <v>0</v>
      </c>
      <c r="F81" s="23">
        <f t="shared" si="52"/>
        <v>0</v>
      </c>
      <c r="G81" s="23">
        <f t="shared" si="52"/>
        <v>0</v>
      </c>
      <c r="H81" s="23">
        <f t="shared" si="52"/>
        <v>0</v>
      </c>
      <c r="I81" s="23">
        <f t="shared" si="52"/>
        <v>0</v>
      </c>
      <c r="J81" s="23">
        <f t="shared" si="52"/>
        <v>0</v>
      </c>
      <c r="K81" s="23">
        <f t="shared" si="52"/>
        <v>0</v>
      </c>
      <c r="L81" s="23">
        <f t="shared" ref="L81:N81" si="53">(L36*L43)/(L37)</f>
        <v>0</v>
      </c>
      <c r="M81" s="23">
        <f t="shared" si="53"/>
        <v>0</v>
      </c>
      <c r="N81" s="23">
        <f t="shared" si="53"/>
        <v>0</v>
      </c>
    </row>
    <row r="82" spans="1:14">
      <c r="A82" s="38" t="s">
        <v>11</v>
      </c>
      <c r="B82" s="2" t="s">
        <v>74</v>
      </c>
      <c r="D82" s="23">
        <f t="shared" ref="D82:K82" si="54">(D36*D44)/(D37)</f>
        <v>0.11783479435236796</v>
      </c>
      <c r="E82" s="23">
        <f t="shared" si="54"/>
        <v>0.28666512216023832</v>
      </c>
      <c r="F82" s="23">
        <f t="shared" si="54"/>
        <v>0.28624123448997923</v>
      </c>
      <c r="G82" s="23">
        <f t="shared" si="54"/>
        <v>0.29271411472265141</v>
      </c>
      <c r="H82" s="23">
        <f t="shared" si="54"/>
        <v>0.28646157311889314</v>
      </c>
      <c r="I82" s="23">
        <f t="shared" si="54"/>
        <v>0.20533900743668732</v>
      </c>
      <c r="J82" s="23">
        <f t="shared" si="54"/>
        <v>0.19953461524265304</v>
      </c>
      <c r="K82" s="23">
        <f t="shared" si="54"/>
        <v>0.19865037631921506</v>
      </c>
      <c r="L82" s="23">
        <f t="shared" ref="L82:N82" si="55">(L36*L44)/(L37)</f>
        <v>0.14188734772278036</v>
      </c>
      <c r="M82" s="23">
        <f t="shared" si="55"/>
        <v>0.10481374880196306</v>
      </c>
      <c r="N82" s="23">
        <f t="shared" si="55"/>
        <v>0.10534707544207071</v>
      </c>
    </row>
    <row r="83" spans="1:14">
      <c r="A83" s="38" t="s">
        <v>12</v>
      </c>
      <c r="B83" s="2" t="s">
        <v>74</v>
      </c>
      <c r="D83" s="23">
        <f t="shared" ref="D83:K83" si="56">(D36*D45)/(D37)</f>
        <v>1.6502616172252551</v>
      </c>
      <c r="E83" s="23">
        <f t="shared" si="56"/>
        <v>1.8297155631707505</v>
      </c>
      <c r="F83" s="23">
        <f t="shared" si="56"/>
        <v>1.8185260925182236</v>
      </c>
      <c r="G83" s="23">
        <f t="shared" si="56"/>
        <v>1.8217933433519886</v>
      </c>
      <c r="H83" s="23">
        <f t="shared" si="56"/>
        <v>1.8223815798666216</v>
      </c>
      <c r="I83" s="23">
        <f t="shared" si="56"/>
        <v>1.7350430869012627</v>
      </c>
      <c r="J83" s="23">
        <f t="shared" si="56"/>
        <v>1.7294491569584847</v>
      </c>
      <c r="K83" s="23">
        <f t="shared" si="56"/>
        <v>1.7246254266900189</v>
      </c>
      <c r="L83" s="23">
        <f t="shared" ref="L83:N83" si="57">(L36*L45)/(L37)</f>
        <v>1.6472972025287662</v>
      </c>
      <c r="M83" s="23">
        <f t="shared" si="57"/>
        <v>1.6158071419839379</v>
      </c>
      <c r="N83" s="23">
        <f t="shared" si="57"/>
        <v>1.6181261541119618</v>
      </c>
    </row>
    <row r="84" spans="1:14">
      <c r="A84" s="38" t="s">
        <v>13</v>
      </c>
      <c r="B84" s="2" t="s">
        <v>74</v>
      </c>
      <c r="D84" s="23">
        <f t="shared" ref="D84:K84" si="58">(D36*D46)/(D37)</f>
        <v>0.55047153775598157</v>
      </c>
      <c r="E84" s="23">
        <f t="shared" si="58"/>
        <v>1.0620330656421308</v>
      </c>
      <c r="F84" s="23">
        <f t="shared" si="58"/>
        <v>1.109156744344983</v>
      </c>
      <c r="G84" s="23">
        <f t="shared" si="58"/>
        <v>1.1335635283793499</v>
      </c>
      <c r="H84" s="23">
        <f t="shared" si="58"/>
        <v>1.1405697482501747</v>
      </c>
      <c r="I84" s="23">
        <f t="shared" si="58"/>
        <v>0.86935499001202832</v>
      </c>
      <c r="J84" s="23">
        <f t="shared" si="58"/>
        <v>0.85767560273017607</v>
      </c>
      <c r="K84" s="23">
        <f t="shared" si="58"/>
        <v>0.8607065123330957</v>
      </c>
      <c r="L84" s="23">
        <f t="shared" ref="L84:N84" si="59">(L36*L46)/(L37)</f>
        <v>0.658570140971389</v>
      </c>
      <c r="M84" s="23">
        <f t="shared" si="59"/>
        <v>0.52200876392105422</v>
      </c>
      <c r="N84" s="23">
        <f t="shared" si="59"/>
        <v>0.52663628307495058</v>
      </c>
    </row>
    <row r="85" spans="1:14">
      <c r="A85" s="38" t="s">
        <v>14</v>
      </c>
      <c r="B85" s="2" t="s">
        <v>74</v>
      </c>
      <c r="D85" s="23">
        <f t="shared" ref="D85:K85" si="60">(D36*D47)/(D37)</f>
        <v>12.50503276601451</v>
      </c>
      <c r="E85" s="23">
        <f t="shared" si="60"/>
        <v>12.90766121084304</v>
      </c>
      <c r="F85" s="23">
        <f t="shared" si="60"/>
        <v>12.841763755691714</v>
      </c>
      <c r="G85" s="23">
        <f t="shared" si="60"/>
        <v>12.836748068197661</v>
      </c>
      <c r="H85" s="23">
        <f t="shared" si="60"/>
        <v>12.879673924424658</v>
      </c>
      <c r="I85" s="23">
        <f t="shared" si="60"/>
        <v>12.845070549628538</v>
      </c>
      <c r="J85" s="23">
        <f t="shared" si="60"/>
        <v>12.860366985280264</v>
      </c>
      <c r="K85" s="23">
        <f t="shared" si="60"/>
        <v>12.850441978416239</v>
      </c>
      <c r="L85" s="23">
        <f t="shared" ref="L85:N85" si="61">(L36*L47)/(L37)</f>
        <v>12.782224349687118</v>
      </c>
      <c r="M85" s="23">
        <f t="shared" si="61"/>
        <v>12.7879099619134</v>
      </c>
      <c r="N85" s="23">
        <f t="shared" si="61"/>
        <v>12.812771612528341</v>
      </c>
    </row>
    <row r="86" spans="1:14">
      <c r="A86" s="38" t="s">
        <v>15</v>
      </c>
      <c r="B86" s="2" t="s">
        <v>74</v>
      </c>
      <c r="D86" s="23">
        <f t="shared" ref="D86:K86" si="62">(D36*D48)/(D37)</f>
        <v>7.5704449064905148</v>
      </c>
      <c r="E86" s="23">
        <f t="shared" si="62"/>
        <v>8.0389996039373415</v>
      </c>
      <c r="F86" s="23">
        <f t="shared" si="62"/>
        <v>7.9823070829320395</v>
      </c>
      <c r="G86" s="23">
        <f t="shared" si="62"/>
        <v>7.9880243790856857</v>
      </c>
      <c r="H86" s="23">
        <f t="shared" si="62"/>
        <v>8.0129586586843295</v>
      </c>
      <c r="I86" s="23">
        <f t="shared" si="62"/>
        <v>7.8416834776362929</v>
      </c>
      <c r="J86" s="23">
        <f t="shared" si="62"/>
        <v>7.8373408449530304</v>
      </c>
      <c r="K86" s="23">
        <f t="shared" si="62"/>
        <v>7.8320323418813889</v>
      </c>
      <c r="L86" s="23">
        <f t="shared" ref="L86:N86" si="63">(L36*L48)/(L37)</f>
        <v>7.6780084672853883</v>
      </c>
      <c r="M86" s="23">
        <f t="shared" si="63"/>
        <v>7.6101590174716804</v>
      </c>
      <c r="N86" s="23">
        <f t="shared" si="63"/>
        <v>7.6255529655382697</v>
      </c>
    </row>
    <row r="87" spans="1:14">
      <c r="A87" s="38" t="s">
        <v>16</v>
      </c>
      <c r="B87" s="2" t="s">
        <v>74</v>
      </c>
      <c r="D87" s="23">
        <f t="shared" ref="D87:K87" si="64">(D36*D49)/(D37)</f>
        <v>0</v>
      </c>
      <c r="E87" s="23">
        <f t="shared" si="64"/>
        <v>0</v>
      </c>
      <c r="F87" s="23">
        <f t="shared" si="64"/>
        <v>0</v>
      </c>
      <c r="G87" s="23">
        <f t="shared" si="64"/>
        <v>0</v>
      </c>
      <c r="H87" s="23">
        <f t="shared" si="64"/>
        <v>0</v>
      </c>
      <c r="I87" s="23">
        <f t="shared" si="64"/>
        <v>0</v>
      </c>
      <c r="J87" s="23">
        <f t="shared" si="64"/>
        <v>0</v>
      </c>
      <c r="K87" s="23">
        <f t="shared" si="64"/>
        <v>0</v>
      </c>
      <c r="L87" s="23">
        <f t="shared" ref="L87:N87" si="65">(L36*L49)/(L37)</f>
        <v>0</v>
      </c>
      <c r="M87" s="23">
        <f t="shared" si="65"/>
        <v>0</v>
      </c>
      <c r="N87" s="23">
        <f t="shared" si="65"/>
        <v>0</v>
      </c>
    </row>
    <row r="88" spans="1:14">
      <c r="A88" s="38" t="s">
        <v>17</v>
      </c>
      <c r="B88" s="2" t="s">
        <v>74</v>
      </c>
      <c r="D88" s="23">
        <f t="shared" ref="D88:K88" si="66">(D36*D50)/(D37)</f>
        <v>17.347405963738876</v>
      </c>
      <c r="E88" s="23">
        <f t="shared" si="66"/>
        <v>17.506176374645918</v>
      </c>
      <c r="F88" s="23">
        <f t="shared" si="66"/>
        <v>17.478424126974101</v>
      </c>
      <c r="G88" s="23">
        <f t="shared" si="66"/>
        <v>17.435554761763001</v>
      </c>
      <c r="H88" s="23">
        <f t="shared" si="66"/>
        <v>17.509640695132486</v>
      </c>
      <c r="I88" s="23">
        <f t="shared" si="66"/>
        <v>17.608004333521183</v>
      </c>
      <c r="J88" s="23">
        <f t="shared" si="66"/>
        <v>17.626649838049619</v>
      </c>
      <c r="K88" s="23">
        <f t="shared" si="66"/>
        <v>17.628898497871166</v>
      </c>
      <c r="L88" s="23">
        <f t="shared" ref="L88:N88" si="67">(L36*L50)/(L37)</f>
        <v>17.697682182935235</v>
      </c>
      <c r="M88" s="23">
        <f t="shared" si="67"/>
        <v>17.707905147027279</v>
      </c>
      <c r="N88" s="23">
        <f t="shared" si="67"/>
        <v>17.758208576741868</v>
      </c>
    </row>
    <row r="89" spans="1:14">
      <c r="A89" s="38" t="s">
        <v>18</v>
      </c>
      <c r="B89" s="2" t="s">
        <v>74</v>
      </c>
      <c r="D89" s="23">
        <f t="shared" ref="D89:K89" si="68">(D36*D51)/(D37)</f>
        <v>7.7491803112643689</v>
      </c>
      <c r="E89" s="23">
        <f t="shared" si="68"/>
        <v>7.7639682752914494</v>
      </c>
      <c r="F89" s="23">
        <f t="shared" si="68"/>
        <v>7.6728573162193499</v>
      </c>
      <c r="G89" s="23">
        <f t="shared" si="68"/>
        <v>7.6513067888136073</v>
      </c>
      <c r="H89" s="23">
        <f t="shared" si="68"/>
        <v>7.6650231922611534</v>
      </c>
      <c r="I89" s="23">
        <f t="shared" si="68"/>
        <v>7.744128904415061</v>
      </c>
      <c r="J89" s="23">
        <f t="shared" si="68"/>
        <v>7.7434392581868696</v>
      </c>
      <c r="K89" s="23">
        <f t="shared" si="68"/>
        <v>7.7346952591812155</v>
      </c>
      <c r="L89" s="23">
        <f t="shared" ref="L89:N89" si="69">(L36*L51)/(L37)</f>
        <v>7.7994328625393905</v>
      </c>
      <c r="M89" s="23">
        <f t="shared" si="69"/>
        <v>7.8494600377827606</v>
      </c>
      <c r="N89" s="23">
        <f t="shared" si="69"/>
        <v>7.8668411795395254</v>
      </c>
    </row>
    <row r="90" spans="1:14">
      <c r="A90" s="38" t="s">
        <v>19</v>
      </c>
      <c r="B90" s="2" t="s">
        <v>74</v>
      </c>
      <c r="D90" s="23">
        <f t="shared" ref="D90:K90" si="70">(D36*D52)/(D37)</f>
        <v>3.7302294462456222</v>
      </c>
      <c r="E90" s="23">
        <f t="shared" si="70"/>
        <v>3.98541072477737</v>
      </c>
      <c r="F90" s="23">
        <f t="shared" si="70"/>
        <v>3.9493168975585111</v>
      </c>
      <c r="G90" s="23">
        <f t="shared" si="70"/>
        <v>3.9401831665852187</v>
      </c>
      <c r="H90" s="23">
        <f t="shared" si="70"/>
        <v>3.9577606730465917</v>
      </c>
      <c r="I90" s="23">
        <f t="shared" si="70"/>
        <v>3.8954407707324874</v>
      </c>
      <c r="J90" s="23">
        <f t="shared" si="70"/>
        <v>3.9064619748804432</v>
      </c>
      <c r="K90" s="23">
        <f t="shared" si="70"/>
        <v>3.9081208095315554</v>
      </c>
      <c r="L90" s="23">
        <f t="shared" ref="L90:N90" si="71">(L36*L52)/(L37)</f>
        <v>3.853281154401007</v>
      </c>
      <c r="M90" s="23">
        <f t="shared" si="71"/>
        <v>3.7986973741168213</v>
      </c>
      <c r="N90" s="23">
        <f t="shared" si="71"/>
        <v>3.8150131074717426</v>
      </c>
    </row>
    <row r="91" spans="1:14">
      <c r="A91" s="38" t="s">
        <v>20</v>
      </c>
      <c r="B91" s="2" t="s">
        <v>74</v>
      </c>
      <c r="D91" s="23">
        <f t="shared" ref="D91:K91" si="72">(D36*D53)/(D37)</f>
        <v>0.81129485610035712</v>
      </c>
      <c r="E91" s="23">
        <f t="shared" si="72"/>
        <v>1.0265180565609391</v>
      </c>
      <c r="F91" s="23">
        <f t="shared" si="72"/>
        <v>1.0531582492684382</v>
      </c>
      <c r="G91" s="23">
        <f t="shared" si="72"/>
        <v>1.0626207634919882</v>
      </c>
      <c r="H91" s="23">
        <f t="shared" si="72"/>
        <v>1.0768856949334709</v>
      </c>
      <c r="I91" s="23">
        <f t="shared" si="72"/>
        <v>0.98105658305617227</v>
      </c>
      <c r="J91" s="23">
        <f t="shared" si="72"/>
        <v>0.98773053170716196</v>
      </c>
      <c r="K91" s="23">
        <f t="shared" si="72"/>
        <v>0.99239897834761748</v>
      </c>
      <c r="L91" s="23">
        <f t="shared" ref="L91:N91" si="73">(L36*L53)/(L37)</f>
        <v>0.91525342084352723</v>
      </c>
      <c r="M91" s="23">
        <f t="shared" si="73"/>
        <v>0.8504995149556368</v>
      </c>
      <c r="N91" s="23">
        <f t="shared" si="73"/>
        <v>0.85790097107131436</v>
      </c>
    </row>
    <row r="92" spans="1:14">
      <c r="A92" s="38" t="s">
        <v>75</v>
      </c>
      <c r="B92" s="2" t="s">
        <v>74</v>
      </c>
      <c r="D92" s="23">
        <f t="shared" ref="D92:K92" si="74">(D36*D54)/(D37)</f>
        <v>3.8853564563537189E-2</v>
      </c>
      <c r="E92" s="23">
        <f t="shared" si="74"/>
        <v>8.1244418451589598E-2</v>
      </c>
      <c r="F92" s="23">
        <f t="shared" si="74"/>
        <v>7.5204416698023205E-2</v>
      </c>
      <c r="G92" s="23">
        <f t="shared" si="74"/>
        <v>7.361476917005319E-2</v>
      </c>
      <c r="H92" s="23">
        <f t="shared" si="74"/>
        <v>7.3522119452651177E-2</v>
      </c>
      <c r="I92" s="23">
        <f t="shared" si="74"/>
        <v>5.8925560984715006E-2</v>
      </c>
      <c r="J92" s="23">
        <f t="shared" si="74"/>
        <v>5.7889394250799656E-2</v>
      </c>
      <c r="K92" s="23">
        <f t="shared" si="74"/>
        <v>5.8335779226093218E-2</v>
      </c>
      <c r="L92" s="23">
        <f t="shared" ref="L92:N92" si="75">(L36*L54)/(L37)</f>
        <v>4.6337181220205768E-2</v>
      </c>
      <c r="M92" s="23">
        <f t="shared" si="75"/>
        <v>3.6210806458222153E-2</v>
      </c>
      <c r="N92" s="23">
        <f t="shared" si="75"/>
        <v>3.6624792064622907E-2</v>
      </c>
    </row>
    <row r="93" spans="1:14">
      <c r="A93" s="38" t="s">
        <v>22</v>
      </c>
      <c r="B93" s="2" t="s">
        <v>74</v>
      </c>
      <c r="D93" s="23">
        <f t="shared" ref="D93:K93" si="76">(D36*D55)/(D37)</f>
        <v>0.35359946519604091</v>
      </c>
      <c r="E93" s="23">
        <f t="shared" si="76"/>
        <v>0.33550894784887347</v>
      </c>
      <c r="F93" s="23">
        <f t="shared" si="76"/>
        <v>0.3347993000525985</v>
      </c>
      <c r="G93" s="23">
        <f t="shared" si="76"/>
        <v>0.33372622691625958</v>
      </c>
      <c r="H93" s="23">
        <f t="shared" si="76"/>
        <v>0.33551170334473807</v>
      </c>
      <c r="I93" s="23">
        <f t="shared" si="76"/>
        <v>0.34173882246433362</v>
      </c>
      <c r="J93" s="23">
        <f t="shared" si="76"/>
        <v>0.34242115270526435</v>
      </c>
      <c r="K93" s="23">
        <f t="shared" si="76"/>
        <v>0.34219839769933075</v>
      </c>
      <c r="L93" s="23">
        <f t="shared" ref="L93:N93" si="77">(L36*L55)/(L37)</f>
        <v>0.34849179806828562</v>
      </c>
      <c r="M93" s="23">
        <f t="shared" si="77"/>
        <v>0.35267299542932445</v>
      </c>
      <c r="N93" s="23">
        <f t="shared" si="77"/>
        <v>0.35265801078393383</v>
      </c>
    </row>
    <row r="94" spans="1:14">
      <c r="A94" s="38" t="s">
        <v>23</v>
      </c>
      <c r="B94" s="2" t="s">
        <v>74</v>
      </c>
      <c r="D94" s="23">
        <f t="shared" ref="D94:K94" si="78">(D36*D56)/(D37)</f>
        <v>0.66768779777294851</v>
      </c>
      <c r="E94" s="23">
        <f t="shared" si="78"/>
        <v>0.67696908656941734</v>
      </c>
      <c r="F94" s="23">
        <f t="shared" si="78"/>
        <v>0.675684130408848</v>
      </c>
      <c r="G94" s="23">
        <f t="shared" si="78"/>
        <v>0.67290558509060105</v>
      </c>
      <c r="H94" s="23">
        <f t="shared" si="78"/>
        <v>0.67614973614284679</v>
      </c>
      <c r="I94" s="23">
        <f t="shared" si="78"/>
        <v>0.67650424129957043</v>
      </c>
      <c r="J94" s="23">
        <f t="shared" si="78"/>
        <v>0.67776479940386847</v>
      </c>
      <c r="K94" s="23">
        <f t="shared" si="78"/>
        <v>0.67960672257721699</v>
      </c>
      <c r="L94" s="23">
        <f t="shared" ref="L94:N94" si="79">(L36*L56)/(L37)</f>
        <v>0.67978883032388893</v>
      </c>
      <c r="M94" s="23">
        <f t="shared" si="79"/>
        <v>0.67850018620336605</v>
      </c>
      <c r="N94" s="23">
        <f t="shared" si="79"/>
        <v>0.68050645348604899</v>
      </c>
    </row>
    <row r="95" spans="1:14">
      <c r="A95" s="38" t="s">
        <v>24</v>
      </c>
      <c r="B95" s="2" t="s">
        <v>74</v>
      </c>
      <c r="D95" s="23">
        <f t="shared" ref="D95:K95" si="80">(D36*D57)/(D37)</f>
        <v>0</v>
      </c>
      <c r="E95" s="23">
        <f t="shared" si="80"/>
        <v>0</v>
      </c>
      <c r="F95" s="23">
        <f t="shared" si="80"/>
        <v>0</v>
      </c>
      <c r="G95" s="23">
        <f t="shared" si="80"/>
        <v>0</v>
      </c>
      <c r="H95" s="23">
        <f t="shared" si="80"/>
        <v>0</v>
      </c>
      <c r="I95" s="23">
        <f t="shared" si="80"/>
        <v>0</v>
      </c>
      <c r="J95" s="23">
        <f t="shared" si="80"/>
        <v>0</v>
      </c>
      <c r="K95" s="23">
        <f t="shared" si="80"/>
        <v>0</v>
      </c>
      <c r="L95" s="23">
        <f t="shared" ref="L95:N95" si="81">(L36*L57)/(L37)</f>
        <v>0</v>
      </c>
      <c r="M95" s="23">
        <f t="shared" si="81"/>
        <v>0</v>
      </c>
      <c r="N95" s="23">
        <f t="shared" si="81"/>
        <v>0</v>
      </c>
    </row>
    <row r="96" spans="1:14">
      <c r="A96" s="38" t="s">
        <v>25</v>
      </c>
      <c r="B96" s="2" t="s">
        <v>74</v>
      </c>
      <c r="D96" s="23">
        <f t="shared" ref="D96:K96" si="82">(D36*D58)/(D37)</f>
        <v>15.884791449867429</v>
      </c>
      <c r="E96" s="23">
        <f t="shared" si="82"/>
        <v>15.197546874259707</v>
      </c>
      <c r="F96" s="23">
        <f t="shared" si="82"/>
        <v>15.279415698872217</v>
      </c>
      <c r="G96" s="23">
        <f t="shared" si="82"/>
        <v>15.225834250368893</v>
      </c>
      <c r="H96" s="23">
        <f t="shared" si="82"/>
        <v>15.272743454721306</v>
      </c>
      <c r="I96" s="23">
        <f t="shared" si="82"/>
        <v>15.549244558168599</v>
      </c>
      <c r="J96" s="23">
        <f t="shared" si="82"/>
        <v>15.533412868102113</v>
      </c>
      <c r="K96" s="23">
        <f t="shared" si="82"/>
        <v>15.533832764508233</v>
      </c>
      <c r="L96" s="23">
        <f t="shared" ref="L96:N96" si="83">(L36*L58)/(L37)</f>
        <v>15.788351483787979</v>
      </c>
      <c r="M96" s="23">
        <f t="shared" si="83"/>
        <v>15.900532869296411</v>
      </c>
      <c r="N96" s="23">
        <f t="shared" si="83"/>
        <v>15.890403237546996</v>
      </c>
    </row>
    <row r="97" spans="1:15">
      <c r="A97" s="38" t="s">
        <v>26</v>
      </c>
      <c r="B97" s="2" t="s">
        <v>74</v>
      </c>
      <c r="D97" s="23">
        <f t="shared" ref="D97:K97" si="84">(D36*D59)/(D37)</f>
        <v>13.519374028517994</v>
      </c>
      <c r="E97" s="23">
        <f t="shared" si="84"/>
        <v>13.157733953160834</v>
      </c>
      <c r="F97" s="23">
        <f t="shared" si="84"/>
        <v>12.890451002332032</v>
      </c>
      <c r="G97" s="23">
        <f t="shared" si="84"/>
        <v>12.776504332822899</v>
      </c>
      <c r="H97" s="23">
        <f t="shared" si="84"/>
        <v>12.786335472246218</v>
      </c>
      <c r="I97" s="23">
        <f t="shared" si="84"/>
        <v>13.028120893298091</v>
      </c>
      <c r="J97" s="23">
        <f t="shared" si="84"/>
        <v>13.004361698011525</v>
      </c>
      <c r="K97" s="23">
        <f t="shared" si="84"/>
        <v>12.983925341040491</v>
      </c>
      <c r="L97" s="23">
        <f t="shared" ref="L97:N97" si="85">(L36*L59)/(L37)</f>
        <v>13.225495562734181</v>
      </c>
      <c r="M97" s="23">
        <f t="shared" si="85"/>
        <v>13.365583231527404</v>
      </c>
      <c r="N97" s="23">
        <f t="shared" si="85"/>
        <v>13.371086989455527</v>
      </c>
    </row>
    <row r="98" spans="1:15">
      <c r="A98" s="38" t="s">
        <v>27</v>
      </c>
      <c r="B98" s="2" t="s">
        <v>74</v>
      </c>
      <c r="D98" s="23">
        <f t="shared" ref="D98:K98" si="86">(D36*D60)/(D37)</f>
        <v>1.3307165707379818</v>
      </c>
      <c r="E98" s="23">
        <f t="shared" si="86"/>
        <v>2.0569412049007534</v>
      </c>
      <c r="F98" s="23">
        <f t="shared" si="86"/>
        <v>2.3218436105334677</v>
      </c>
      <c r="G98" s="23">
        <f t="shared" si="86"/>
        <v>2.3312010987597569</v>
      </c>
      <c r="H98" s="23">
        <f t="shared" si="86"/>
        <v>2.3786949780454885</v>
      </c>
      <c r="I98" s="23">
        <f t="shared" si="86"/>
        <v>2.077923120984484</v>
      </c>
      <c r="J98" s="23">
        <f t="shared" si="86"/>
        <v>2.098536590428306</v>
      </c>
      <c r="K98" s="23">
        <f t="shared" si="86"/>
        <v>2.123990365359341</v>
      </c>
      <c r="L98" s="23">
        <f t="shared" ref="L98:N98" si="87">(L36*L60)/(L37)</f>
        <v>1.8550487713759212</v>
      </c>
      <c r="M98" s="23">
        <f t="shared" si="87"/>
        <v>1.608357981721275</v>
      </c>
      <c r="N98" s="23">
        <f t="shared" si="87"/>
        <v>1.6391671421958767</v>
      </c>
    </row>
    <row r="99" spans="1:15">
      <c r="A99" s="38" t="s">
        <v>28</v>
      </c>
      <c r="B99" s="2" t="s">
        <v>74</v>
      </c>
      <c r="D99" s="23">
        <f t="shared" ref="D99:K99" si="88">(D36*D61)/(D37)</f>
        <v>1.1412308790765189</v>
      </c>
      <c r="E99" s="23">
        <f t="shared" si="88"/>
        <v>1.0964153767987956</v>
      </c>
      <c r="F99" s="23">
        <f t="shared" si="88"/>
        <v>1.0918594981815861</v>
      </c>
      <c r="G99" s="23">
        <f t="shared" si="88"/>
        <v>1.0884097594912887</v>
      </c>
      <c r="H99" s="23">
        <f t="shared" si="88"/>
        <v>1.0916808485463054</v>
      </c>
      <c r="I99" s="23">
        <f t="shared" si="88"/>
        <v>1.1007917052595904</v>
      </c>
      <c r="J99" s="23">
        <f t="shared" si="88"/>
        <v>1.1012619367596872</v>
      </c>
      <c r="K99" s="23">
        <f t="shared" si="88"/>
        <v>1.0981009196676432</v>
      </c>
      <c r="L99" s="23">
        <f t="shared" ref="L99:N99" si="89">(L36*L61)/(L37)</f>
        <v>1.1108050941425989</v>
      </c>
      <c r="M99" s="23">
        <f t="shared" si="89"/>
        <v>1.1180687071261444</v>
      </c>
      <c r="N99" s="23">
        <f t="shared" si="89"/>
        <v>1.1122405833707556</v>
      </c>
    </row>
    <row r="100" spans="1:15" ht="16.5">
      <c r="A100" s="137" t="s">
        <v>29</v>
      </c>
      <c r="B100" s="2" t="s">
        <v>74</v>
      </c>
      <c r="D100" s="23">
        <f t="shared" ref="D100:K100" si="90">(D36*D62)/(D37)</f>
        <v>0</v>
      </c>
      <c r="E100" s="23">
        <f t="shared" si="90"/>
        <v>0</v>
      </c>
      <c r="F100" s="23">
        <f t="shared" si="90"/>
        <v>0</v>
      </c>
      <c r="G100" s="23">
        <f t="shared" si="90"/>
        <v>0</v>
      </c>
      <c r="H100" s="23">
        <f t="shared" si="90"/>
        <v>0</v>
      </c>
      <c r="I100" s="23">
        <f t="shared" si="90"/>
        <v>0</v>
      </c>
      <c r="J100" s="23">
        <f t="shared" si="90"/>
        <v>0</v>
      </c>
      <c r="K100" s="23">
        <f t="shared" si="90"/>
        <v>0</v>
      </c>
      <c r="L100" s="23">
        <f t="shared" ref="L100:N100" si="91">(L36*L62)/(L37)</f>
        <v>0</v>
      </c>
      <c r="M100" s="23">
        <f t="shared" si="91"/>
        <v>0</v>
      </c>
      <c r="N100" s="23">
        <f t="shared" si="91"/>
        <v>0</v>
      </c>
    </row>
    <row r="101" spans="1:15">
      <c r="A101" s="38" t="s">
        <v>30</v>
      </c>
      <c r="B101" s="2" t="s">
        <v>74</v>
      </c>
      <c r="D101" s="23">
        <f t="shared" ref="D101:K101" si="92">(D36*SUM(D63,D64,D65,D66,D67,D68,D69,D70,D71,D77))/(D37)</f>
        <v>14.801007197407431</v>
      </c>
      <c r="E101" s="23">
        <f t="shared" si="92"/>
        <v>12.916270117448812</v>
      </c>
      <c r="F101" s="23">
        <f t="shared" si="92"/>
        <v>13.100870955442886</v>
      </c>
      <c r="G101" s="23">
        <f t="shared" si="92"/>
        <v>13.301204282092829</v>
      </c>
      <c r="H101" s="23">
        <f t="shared" si="92"/>
        <v>13.002221138307812</v>
      </c>
      <c r="I101" s="23">
        <f t="shared" si="92"/>
        <v>13.415832524872767</v>
      </c>
      <c r="J101" s="23">
        <f t="shared" si="92"/>
        <v>13.408731550039303</v>
      </c>
      <c r="K101" s="23">
        <f t="shared" si="92"/>
        <v>13.421354590882769</v>
      </c>
      <c r="L101" s="23">
        <f t="shared" ref="L101:N101" si="93">(L36*SUM(L63,L64,L65,L66,L67,L68,L69,L70,L71,L77))/(L37)</f>
        <v>13.749595588179318</v>
      </c>
      <c r="M101" s="23">
        <f t="shared" si="93"/>
        <v>14.076720789341142</v>
      </c>
      <c r="N101" s="23">
        <f t="shared" si="93"/>
        <v>13.912913702822161</v>
      </c>
    </row>
    <row r="102" spans="1:15">
      <c r="A102" s="22" t="s">
        <v>76</v>
      </c>
      <c r="B102" s="2" t="s">
        <v>74</v>
      </c>
      <c r="D102" s="23">
        <f t="shared" ref="D102:K102" si="94">(D36*D72)/(D37)</f>
        <v>3.9460088523493496E-2</v>
      </c>
      <c r="E102" s="23">
        <f t="shared" si="94"/>
        <v>5.6460867149130414E-2</v>
      </c>
      <c r="F102" s="23">
        <f t="shared" si="94"/>
        <v>1.7914110844497753E-2</v>
      </c>
      <c r="G102" s="23">
        <f t="shared" si="94"/>
        <v>1.8343624755247843E-2</v>
      </c>
      <c r="H102" s="23">
        <f t="shared" si="94"/>
        <v>1.7229634351483496E-2</v>
      </c>
      <c r="I102" s="23">
        <f t="shared" si="94"/>
        <v>1.2639419210590893E-2</v>
      </c>
      <c r="J102" s="23">
        <f t="shared" si="94"/>
        <v>1.27335044419688E-2</v>
      </c>
      <c r="K102" s="23">
        <f t="shared" si="94"/>
        <v>1.2332059997361471E-2</v>
      </c>
      <c r="L102" s="23">
        <f t="shared" ref="L102:N102" si="95">(L36*L72)/(L37)</f>
        <v>8.4402296735672493E-3</v>
      </c>
      <c r="M102" s="23">
        <f t="shared" si="95"/>
        <v>7.7344344732055105E-3</v>
      </c>
      <c r="N102" s="23">
        <f t="shared" si="95"/>
        <v>7.7603720381804169E-3</v>
      </c>
    </row>
    <row r="103" spans="1:15">
      <c r="A103" s="22" t="s">
        <v>77</v>
      </c>
      <c r="B103" s="2" t="s">
        <v>74</v>
      </c>
      <c r="D103" s="23">
        <f t="shared" ref="D103:K103" si="96">(D36*D73)/(D37)</f>
        <v>0</v>
      </c>
      <c r="E103" s="23">
        <f t="shared" si="96"/>
        <v>2.6587216825262648E-3</v>
      </c>
      <c r="F103" s="23">
        <f t="shared" si="96"/>
        <v>3.3647164423675144E-3</v>
      </c>
      <c r="G103" s="23">
        <f t="shared" si="96"/>
        <v>3.0354128831474904E-3</v>
      </c>
      <c r="H103" s="23">
        <f t="shared" si="96"/>
        <v>3.343780825318418E-3</v>
      </c>
      <c r="I103" s="23">
        <f t="shared" si="96"/>
        <v>2.7549248905073763E-3</v>
      </c>
      <c r="J103" s="23">
        <f t="shared" si="96"/>
        <v>2.4255724263278614E-3</v>
      </c>
      <c r="K103" s="23">
        <f t="shared" si="96"/>
        <v>2.2854203242126986E-3</v>
      </c>
      <c r="L103" s="23">
        <f t="shared" ref="L103:N103" si="97">(L36*L73)/(L37)</f>
        <v>2.1621081706481565E-3</v>
      </c>
      <c r="M103" s="23">
        <f t="shared" si="97"/>
        <v>2.110028195873847E-3</v>
      </c>
      <c r="N103" s="23">
        <f t="shared" si="97"/>
        <v>2.7305939533285406E-3</v>
      </c>
    </row>
    <row r="104" spans="1:15">
      <c r="A104" s="22" t="s">
        <v>78</v>
      </c>
      <c r="B104" s="2" t="s">
        <v>74</v>
      </c>
      <c r="D104" s="23">
        <f t="shared" ref="D104:K104" si="98">(D36*D74)/(D37)</f>
        <v>0</v>
      </c>
      <c r="E104" s="23">
        <f t="shared" si="98"/>
        <v>0</v>
      </c>
      <c r="F104" s="23">
        <f t="shared" si="98"/>
        <v>0</v>
      </c>
      <c r="G104" s="23">
        <f t="shared" si="98"/>
        <v>0</v>
      </c>
      <c r="H104" s="23">
        <f t="shared" si="98"/>
        <v>0</v>
      </c>
      <c r="I104" s="23">
        <f t="shared" si="98"/>
        <v>0</v>
      </c>
      <c r="J104" s="23">
        <f t="shared" si="98"/>
        <v>0</v>
      </c>
      <c r="K104" s="23">
        <f t="shared" si="98"/>
        <v>0</v>
      </c>
      <c r="L104" s="23">
        <f t="shared" ref="L104:N104" si="99">(L36*L74)/(L37)</f>
        <v>0</v>
      </c>
      <c r="M104" s="23">
        <f t="shared" si="99"/>
        <v>0</v>
      </c>
      <c r="N104" s="23">
        <f t="shared" si="99"/>
        <v>0</v>
      </c>
    </row>
    <row r="105" spans="1:15">
      <c r="A105" s="22" t="s">
        <v>79</v>
      </c>
      <c r="B105" s="2" t="s">
        <v>74</v>
      </c>
      <c r="D105" s="23">
        <f t="shared" ref="D105:K105" si="100">(D36*D75)/(D37)</f>
        <v>0.1695374589124711</v>
      </c>
      <c r="E105" s="23">
        <f t="shared" si="100"/>
        <v>5.3092951828245832E-2</v>
      </c>
      <c r="F105" s="23">
        <f t="shared" si="100"/>
        <v>5.8145504615960512E-2</v>
      </c>
      <c r="G105" s="23">
        <f t="shared" si="100"/>
        <v>5.699107823183943E-2</v>
      </c>
      <c r="H105" s="23">
        <f t="shared" si="100"/>
        <v>6.0256152219050382E-2</v>
      </c>
      <c r="I105" s="23">
        <f t="shared" si="100"/>
        <v>5.4181524263743175E-2</v>
      </c>
      <c r="J105" s="23">
        <f t="shared" si="100"/>
        <v>5.5553917374768752E-2</v>
      </c>
      <c r="K105" s="23">
        <f t="shared" si="100"/>
        <v>5.6715062841993187E-2</v>
      </c>
      <c r="L105" s="23">
        <f t="shared" ref="L105:N105" si="101">(L36*L75)/(L37)</f>
        <v>4.8931711024983553E-2</v>
      </c>
      <c r="M105" s="23">
        <f t="shared" si="101"/>
        <v>4.0344780105735903E-2</v>
      </c>
      <c r="N105" s="23">
        <f t="shared" si="101"/>
        <v>4.2411289001643544E-2</v>
      </c>
    </row>
    <row r="106" spans="1:15">
      <c r="A106" s="22" t="s">
        <v>80</v>
      </c>
      <c r="B106" s="2" t="s">
        <v>74</v>
      </c>
      <c r="D106" s="23">
        <f t="shared" ref="D106:K106" si="102">(D36*D76)/(D37)</f>
        <v>0.10809437986673313</v>
      </c>
      <c r="E106" s="23">
        <f t="shared" si="102"/>
        <v>7.8143079462853871E-2</v>
      </c>
      <c r="F106" s="23">
        <f t="shared" si="102"/>
        <v>7.3012343991968875E-2</v>
      </c>
      <c r="G106" s="23">
        <f t="shared" si="102"/>
        <v>6.8304798875787248E-2</v>
      </c>
      <c r="H106" s="23">
        <f t="shared" si="102"/>
        <v>6.6951725324195313E-2</v>
      </c>
      <c r="I106" s="23">
        <f t="shared" si="102"/>
        <v>6.2504360579033275E-2</v>
      </c>
      <c r="J106" s="23">
        <f t="shared" si="102"/>
        <v>6.2421200430736193E-2</v>
      </c>
      <c r="K106" s="23">
        <f t="shared" si="102"/>
        <v>6.275946403235512E-2</v>
      </c>
      <c r="L106" s="23">
        <f t="shared" ref="L106:N106" si="103">(L36*L76)/(L37)</f>
        <v>6.0533022922118804E-2</v>
      </c>
      <c r="M106" s="23">
        <f t="shared" si="103"/>
        <v>5.8799519122494016E-2</v>
      </c>
      <c r="N106" s="23">
        <f t="shared" si="103"/>
        <v>5.9191229263227001E-2</v>
      </c>
    </row>
    <row r="107" spans="1:15">
      <c r="A107" s="22" t="s">
        <v>81</v>
      </c>
      <c r="B107" s="2" t="s">
        <v>74</v>
      </c>
      <c r="D107" s="23">
        <f t="shared" ref="D107:J107" si="104">SUM(D80:D106)</f>
        <v>100.08650907963045</v>
      </c>
      <c r="E107" s="23">
        <f t="shared" si="104"/>
        <v>100.1161335965907</v>
      </c>
      <c r="F107" s="23">
        <f t="shared" si="104"/>
        <v>100.11431678841377</v>
      </c>
      <c r="G107" s="23">
        <f t="shared" si="104"/>
        <v>100.11258413384977</v>
      </c>
      <c r="H107" s="23">
        <f t="shared" si="104"/>
        <v>100.11599648324581</v>
      </c>
      <c r="I107" s="23">
        <f t="shared" si="104"/>
        <v>100.10628335961573</v>
      </c>
      <c r="J107" s="23">
        <f t="shared" si="104"/>
        <v>100.10616299236337</v>
      </c>
      <c r="K107" s="23">
        <f t="shared" ref="K107:L107" si="105">SUM(K80:K106)</f>
        <v>100.10600706872854</v>
      </c>
      <c r="L107" s="23">
        <f t="shared" si="105"/>
        <v>100.0976185105383</v>
      </c>
      <c r="M107" s="23">
        <f t="shared" ref="M107:N107" si="106">SUM(M80:M106)</f>
        <v>100.09289703697512</v>
      </c>
      <c r="N107" s="23">
        <f t="shared" si="106"/>
        <v>100.09409232150234</v>
      </c>
    </row>
    <row r="108" spans="1:15" s="133" customFormat="1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M108" s="131"/>
      <c r="N108" s="131"/>
      <c r="O108" s="131"/>
    </row>
    <row r="109" spans="1:15">
      <c r="A109" s="22" t="s">
        <v>967</v>
      </c>
      <c r="B109" s="2" t="s">
        <v>74</v>
      </c>
      <c r="D109" s="23">
        <f>SUM(D102,D80,D81,D82,D83,D84)</f>
        <v>2.3580280378570979</v>
      </c>
      <c r="E109" s="23">
        <f t="shared" ref="D109:I109" si="107">SUM(E102,E80,E81,E82,E83,E84)</f>
        <v>3.2348746181222499</v>
      </c>
      <c r="F109" s="23">
        <f t="shared" si="107"/>
        <v>3.2318381821976838</v>
      </c>
      <c r="G109" s="23">
        <f t="shared" si="107"/>
        <v>3.266414611209238</v>
      </c>
      <c r="H109" s="23">
        <f t="shared" si="107"/>
        <v>3.2666425355871729</v>
      </c>
      <c r="I109" s="23">
        <f t="shared" si="107"/>
        <v>2.8223765035605695</v>
      </c>
      <c r="J109" s="23">
        <f t="shared" ref="J109:K109" si="108">SUM(J102,J80,J81,J82,J83,J84)</f>
        <v>2.7993928793732827</v>
      </c>
      <c r="K109" s="23">
        <f t="shared" si="108"/>
        <v>2.7963143753396915</v>
      </c>
      <c r="L109" s="23">
        <f t="shared" ref="L109:N109" si="109">SUM(L102,L80,L81,L82,L83,L84)</f>
        <v>2.4561949208965026</v>
      </c>
      <c r="M109" s="23">
        <f t="shared" si="109"/>
        <v>2.2503640891801604</v>
      </c>
      <c r="N109" s="23">
        <f t="shared" si="109"/>
        <v>2.2578698846671634</v>
      </c>
    </row>
    <row r="110" spans="1:15">
      <c r="A110" s="22" t="s">
        <v>968</v>
      </c>
      <c r="B110" s="2" t="s">
        <v>74</v>
      </c>
      <c r="D110" s="23">
        <f t="shared" ref="D110:J110" si="110">D107-D109</f>
        <v>97.72848104177335</v>
      </c>
      <c r="E110" s="23">
        <f t="shared" si="110"/>
        <v>96.881258978468452</v>
      </c>
      <c r="F110" s="23">
        <f t="shared" si="110"/>
        <v>96.882478606216097</v>
      </c>
      <c r="G110" s="23">
        <f t="shared" si="110"/>
        <v>96.846169522640523</v>
      </c>
      <c r="H110" s="23">
        <f t="shared" si="110"/>
        <v>96.849353947658642</v>
      </c>
      <c r="I110" s="23">
        <f t="shared" si="110"/>
        <v>97.283906856055154</v>
      </c>
      <c r="J110" s="23">
        <f t="shared" si="110"/>
        <v>97.30677011299008</v>
      </c>
      <c r="K110" s="23">
        <f t="shared" ref="K110:L110" si="111">K107-K109</f>
        <v>97.309692693388854</v>
      </c>
      <c r="L110" s="23">
        <f t="shared" si="111"/>
        <v>97.641423589641789</v>
      </c>
      <c r="M110" s="23">
        <f t="shared" ref="M110:N110" si="112">M107-M109</f>
        <v>97.84253294779495</v>
      </c>
      <c r="N110" s="23">
        <f t="shared" si="112"/>
        <v>97.836222436835186</v>
      </c>
    </row>
    <row r="111" spans="1:15">
      <c r="A111" s="22" t="s">
        <v>41</v>
      </c>
      <c r="B111" s="2" t="s">
        <v>74</v>
      </c>
      <c r="D111" s="23">
        <f t="shared" ref="D111:I111" si="113">D107-100</f>
        <v>8.650907963044574E-2</v>
      </c>
      <c r="E111" s="23">
        <f t="shared" si="113"/>
        <v>0.11613359659069999</v>
      </c>
      <c r="F111" s="23">
        <f t="shared" si="113"/>
        <v>0.11431678841377391</v>
      </c>
      <c r="G111" s="23">
        <f t="shared" si="113"/>
        <v>0.11258413384976507</v>
      </c>
      <c r="H111" s="23">
        <f t="shared" si="113"/>
        <v>0.11599648324580869</v>
      </c>
      <c r="I111" s="23">
        <f t="shared" si="113"/>
        <v>0.10628335961573043</v>
      </c>
      <c r="J111" s="23">
        <f t="shared" ref="J111:K111" si="114">J107-100</f>
        <v>0.10616299236336602</v>
      </c>
      <c r="K111" s="23">
        <f t="shared" si="114"/>
        <v>0.1060070687285446</v>
      </c>
      <c r="L111" s="23">
        <f t="shared" ref="L111:N111" si="115">L107-100</f>
        <v>9.7618510538296732E-2</v>
      </c>
      <c r="M111" s="23">
        <f t="shared" si="115"/>
        <v>9.2897036975116976E-2</v>
      </c>
      <c r="N111" s="23">
        <f t="shared" si="115"/>
        <v>9.4092321502344589E-2</v>
      </c>
    </row>
    <row r="112" spans="1:15" ht="15.75" customHeight="1">
      <c r="A112" s="22"/>
      <c r="D112" s="23"/>
      <c r="E112" s="23"/>
      <c r="F112" s="23"/>
      <c r="G112" s="23"/>
      <c r="H112" s="23"/>
      <c r="I112" s="23"/>
      <c r="J112" s="23"/>
      <c r="K112" s="23"/>
      <c r="L112" s="23"/>
    </row>
    <row r="113" spans="1:15">
      <c r="A113" s="22"/>
      <c r="D113" s="26"/>
      <c r="E113" s="26"/>
      <c r="F113" s="26"/>
      <c r="G113" s="26"/>
      <c r="H113" s="26"/>
      <c r="I113" s="26"/>
      <c r="J113" s="26"/>
      <c r="K113" s="26"/>
      <c r="L113" s="26"/>
    </row>
    <row r="114" spans="1:15">
      <c r="A114" s="22"/>
      <c r="D114" s="26"/>
      <c r="E114" s="26"/>
      <c r="F114" s="26"/>
      <c r="G114" s="26"/>
      <c r="H114" s="26"/>
      <c r="I114" s="26"/>
      <c r="J114" s="26"/>
      <c r="K114" s="26"/>
      <c r="L114" s="26"/>
    </row>
    <row r="115" spans="1:15" s="85" customFormat="1">
      <c r="A115" s="153" t="s">
        <v>969</v>
      </c>
      <c r="B115" s="84" t="s">
        <v>8</v>
      </c>
      <c r="C115" s="84"/>
      <c r="D115" s="90"/>
      <c r="E115" s="90">
        <f t="shared" ref="E115:N115" si="116">100*(E37*$D$8-E36*E50)/(E37*$D$8)</f>
        <v>1.6992636481145471</v>
      </c>
      <c r="F115" s="90">
        <f t="shared" si="116"/>
        <v>1.8550981560720161</v>
      </c>
      <c r="G115" s="90">
        <f t="shared" si="116"/>
        <v>2.0958183497341927</v>
      </c>
      <c r="H115" s="90">
        <f t="shared" si="116"/>
        <v>1.6798107848792905</v>
      </c>
      <c r="I115" s="90">
        <f t="shared" si="116"/>
        <v>1.12747897484087</v>
      </c>
      <c r="J115" s="90">
        <f t="shared" si="116"/>
        <v>1.0227806794751262</v>
      </c>
      <c r="K115" s="90">
        <f t="shared" si="116"/>
        <v>1.0101539978096157</v>
      </c>
      <c r="L115" s="90">
        <f t="shared" si="116"/>
        <v>0.62391963422884911</v>
      </c>
      <c r="M115" s="90">
        <f t="shared" si="116"/>
        <v>0.56651561427378716</v>
      </c>
      <c r="N115" s="90">
        <f t="shared" si="116"/>
        <v>0.28405163835206093</v>
      </c>
      <c r="O115" s="84"/>
    </row>
    <row r="116" spans="1:15" s="85" customFormat="1">
      <c r="A116" s="153" t="s">
        <v>970</v>
      </c>
      <c r="B116" s="84" t="s">
        <v>8</v>
      </c>
      <c r="C116" s="84"/>
      <c r="D116" s="84"/>
      <c r="E116" s="84"/>
      <c r="F116" s="84"/>
      <c r="G116" s="84"/>
      <c r="H116" s="84"/>
      <c r="I116" s="84"/>
      <c r="J116" s="84"/>
      <c r="M116" s="84"/>
      <c r="N116" s="84"/>
      <c r="O116" s="84"/>
    </row>
    <row r="117" spans="1:15" s="85" customFormat="1">
      <c r="A117" s="153" t="s">
        <v>971</v>
      </c>
      <c r="B117" s="84" t="s">
        <v>8</v>
      </c>
      <c r="C117" s="84"/>
      <c r="D117" s="90"/>
      <c r="E117" s="90"/>
      <c r="F117" s="90"/>
      <c r="G117" s="90"/>
      <c r="H117" s="90"/>
      <c r="I117" s="90"/>
      <c r="J117" s="90"/>
      <c r="K117" s="90"/>
      <c r="L117" s="90"/>
      <c r="M117" s="84"/>
      <c r="N117" s="84"/>
      <c r="O117" s="84"/>
    </row>
    <row r="118" spans="1:15">
      <c r="A118" s="22"/>
      <c r="D118" s="26"/>
      <c r="E118" s="26"/>
      <c r="F118" s="26"/>
      <c r="G118" s="26"/>
      <c r="H118" s="26"/>
      <c r="I118" s="26"/>
      <c r="J118" s="26"/>
      <c r="K118" s="26"/>
      <c r="L118" s="26"/>
    </row>
    <row r="119" spans="1:15">
      <c r="A119" s="38" t="s">
        <v>18</v>
      </c>
      <c r="B119" s="2" t="s">
        <v>8</v>
      </c>
      <c r="D119" s="26"/>
      <c r="E119" s="26">
        <f>100*(E36*E51-E37*$D$9)/(E37*$D$8-E36*E50)</f>
        <v>-86.186264929676298</v>
      </c>
      <c r="F119" s="26">
        <f t="shared" ref="F119:N119" si="117">100*(F36*F51-F37*$D$9)/(F37*$D$8-F36*F50)</f>
        <v>-106.5247359336369</v>
      </c>
      <c r="G119" s="26">
        <f t="shared" si="117"/>
        <v>-100.06349077185266</v>
      </c>
      <c r="H119" s="26">
        <f t="shared" si="117"/>
        <v>-120.25929513078829</v>
      </c>
      <c r="I119" s="26">
        <f t="shared" si="117"/>
        <v>-139.77502039523506</v>
      </c>
      <c r="J119" s="26">
        <f t="shared" si="117"/>
        <v>-154.46190003362526</v>
      </c>
      <c r="K119" s="26">
        <f t="shared" si="117"/>
        <v>-161.25321533159925</v>
      </c>
      <c r="L119" s="26">
        <f t="shared" si="117"/>
        <v>-202.81314113574197</v>
      </c>
      <c r="M119" s="26">
        <f t="shared" si="117"/>
        <v>-173.77777992113397</v>
      </c>
      <c r="N119" s="26">
        <f t="shared" si="117"/>
        <v>-312.2247845365319</v>
      </c>
    </row>
    <row r="120" spans="1:15">
      <c r="A120" s="38" t="s">
        <v>19</v>
      </c>
      <c r="B120" s="2" t="s">
        <v>8</v>
      </c>
      <c r="D120" s="26"/>
      <c r="E120" s="26">
        <f>100*(E36*E52-E37*$D$10)/(E37*$D$8-E36*E50)</f>
        <v>98.163148364600147</v>
      </c>
      <c r="F120" s="26">
        <f t="shared" ref="F120:N120" si="118">100*(F36*F52-F37*$D$10)/(F37*$D$8-F36*F50)</f>
        <v>78.99185925440247</v>
      </c>
      <c r="G120" s="26">
        <f t="shared" si="118"/>
        <v>67.471914725629745</v>
      </c>
      <c r="H120" s="26">
        <f t="shared" si="118"/>
        <v>90.057169095000972</v>
      </c>
      <c r="I120" s="26">
        <f t="shared" si="118"/>
        <v>103.1372783443264</v>
      </c>
      <c r="J120" s="26">
        <f t="shared" si="118"/>
        <v>119.7458510067305</v>
      </c>
      <c r="K120" s="26">
        <f t="shared" si="118"/>
        <v>122.16475158924709</v>
      </c>
      <c r="L120" s="26">
        <f t="shared" si="118"/>
        <v>148.43519392803753</v>
      </c>
      <c r="M120" s="26">
        <f t="shared" si="118"/>
        <v>109.37338523044642</v>
      </c>
      <c r="N120" s="26">
        <f t="shared" si="118"/>
        <v>250.38879067885202</v>
      </c>
    </row>
    <row r="121" spans="1:15" s="80" customFormat="1">
      <c r="A121" s="38" t="s">
        <v>20</v>
      </c>
      <c r="B121" s="2" t="s">
        <v>8</v>
      </c>
      <c r="C121" s="81"/>
      <c r="D121" s="82"/>
      <c r="E121" s="26">
        <f>100*(E36*E53-E37*$D$11)/(E37*$D$8-E36*E50)</f>
        <v>101.02354366394073</v>
      </c>
      <c r="F121" s="26">
        <f t="shared" ref="F121:N121" si="119">100*(F36*F53-F37*$D$11)/(F37*$D$8-F36*F50)</f>
        <v>100.6009542326596</v>
      </c>
      <c r="G121" s="26">
        <f t="shared" si="119"/>
        <v>91.58142864235127</v>
      </c>
      <c r="H121" s="26">
        <f t="shared" si="119"/>
        <v>119.03012482687744</v>
      </c>
      <c r="I121" s="26">
        <f t="shared" si="119"/>
        <v>129.6149176938589</v>
      </c>
      <c r="J121" s="26">
        <f t="shared" si="119"/>
        <v>146.54720730265456</v>
      </c>
      <c r="K121" s="26">
        <f t="shared" si="119"/>
        <v>150.97408930626946</v>
      </c>
      <c r="L121" s="26">
        <f t="shared" si="119"/>
        <v>175.00376058289007</v>
      </c>
      <c r="M121" s="26">
        <f t="shared" si="119"/>
        <v>128.55364788253308</v>
      </c>
      <c r="N121" s="26">
        <f t="shared" si="119"/>
        <v>271.020146892171</v>
      </c>
      <c r="O121" s="81"/>
    </row>
    <row r="122" spans="1:15">
      <c r="A122" s="38" t="s">
        <v>75</v>
      </c>
      <c r="B122" s="2" t="s">
        <v>8</v>
      </c>
      <c r="E122" s="26">
        <f>100*(E36*E54-E37*$D$12)/(E37*$D$8-E36*E50)</f>
        <v>21.32191853058907</v>
      </c>
      <c r="F122" s="26">
        <f t="shared" ref="F122:N122" si="120">100*(F36*F54-F37*$D$12)/(F37*$D$8-F36*F50)</f>
        <v>17.702555137124961</v>
      </c>
      <c r="G122" s="26">
        <f t="shared" si="120"/>
        <v>15.243381192565694</v>
      </c>
      <c r="H122" s="26">
        <f t="shared" si="120"/>
        <v>18.98745597073934</v>
      </c>
      <c r="I122" s="26">
        <f t="shared" si="120"/>
        <v>21.019522109098297</v>
      </c>
      <c r="J122" s="26">
        <f t="shared" si="120"/>
        <v>22.602343820624977</v>
      </c>
      <c r="K122" s="26">
        <f t="shared" si="120"/>
        <v>23.133002346424686</v>
      </c>
      <c r="L122" s="26">
        <f t="shared" si="120"/>
        <v>26.654776325113978</v>
      </c>
      <c r="M122" s="26">
        <f t="shared" si="120"/>
        <v>19.318572859774431</v>
      </c>
      <c r="N122" s="26">
        <f t="shared" si="120"/>
        <v>39.347544561346375</v>
      </c>
    </row>
    <row r="123" spans="1:15" s="85" customFormat="1">
      <c r="A123" s="151" t="s">
        <v>972</v>
      </c>
      <c r="B123" s="84" t="s">
        <v>8</v>
      </c>
      <c r="C123" s="84"/>
      <c r="D123" s="90"/>
      <c r="E123" s="90">
        <f>SUM(E119:E122)</f>
        <v>134.32234562945365</v>
      </c>
      <c r="F123" s="90">
        <f t="shared" ref="F123:N123" si="121">SUM(F119:F122)</f>
        <v>90.77063269055013</v>
      </c>
      <c r="G123" s="90">
        <f t="shared" si="121"/>
        <v>74.233233788694051</v>
      </c>
      <c r="H123" s="90">
        <f t="shared" si="121"/>
        <v>107.81545476182947</v>
      </c>
      <c r="I123" s="90">
        <f t="shared" si="121"/>
        <v>113.99669775204853</v>
      </c>
      <c r="J123" s="90">
        <f t="shared" si="121"/>
        <v>134.43350209638479</v>
      </c>
      <c r="K123" s="90">
        <f t="shared" si="121"/>
        <v>135.01862791034199</v>
      </c>
      <c r="L123" s="90">
        <f t="shared" si="121"/>
        <v>147.2805897002996</v>
      </c>
      <c r="M123" s="90">
        <f t="shared" si="121"/>
        <v>83.467826051619966</v>
      </c>
      <c r="N123" s="90">
        <f t="shared" si="121"/>
        <v>248.5316975958375</v>
      </c>
      <c r="O123" s="84"/>
    </row>
    <row r="124" spans="1:15"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</row>
    <row r="125" spans="1:15" s="80" customFormat="1">
      <c r="A125" s="77" t="s">
        <v>973</v>
      </c>
      <c r="B125" s="2" t="s">
        <v>8</v>
      </c>
      <c r="C125" s="81"/>
      <c r="D125" s="82"/>
      <c r="E125" s="26">
        <f>100*(E36*E59-E37*$D$14)/(E37*$D$13-E36*E58)</f>
        <v>-70.044738761984803</v>
      </c>
      <c r="F125" s="26">
        <f t="shared" ref="F125:N125" si="122">100*(F36*F59-F37*$D$14)/(F37*$D$13-F36*F58)</f>
        <v>-111.04023866479956</v>
      </c>
      <c r="G125" s="26">
        <f t="shared" si="122"/>
        <v>-117.48061100017229</v>
      </c>
      <c r="H125" s="26">
        <f t="shared" si="122"/>
        <v>-123.15076040021765</v>
      </c>
      <c r="I125" s="26">
        <f t="shared" si="122"/>
        <v>-142.06293218230661</v>
      </c>
      <c r="J125" s="26">
        <f t="shared" si="122"/>
        <v>-142.29872234104781</v>
      </c>
      <c r="K125" s="26">
        <f t="shared" si="122"/>
        <v>-146.21240088527117</v>
      </c>
      <c r="L125" s="26">
        <f t="shared" si="122"/>
        <v>-192.36144455735263</v>
      </c>
      <c r="M125" s="26">
        <f t="shared" si="122"/>
        <v>-236.70017963784457</v>
      </c>
      <c r="N125" s="26">
        <f t="shared" si="122"/>
        <v>-220.40123599481458</v>
      </c>
      <c r="O125" s="81"/>
    </row>
    <row r="126" spans="1:15">
      <c r="A126" s="77" t="s">
        <v>974</v>
      </c>
      <c r="B126" s="2" t="s">
        <v>8</v>
      </c>
      <c r="C126" s="81"/>
      <c r="D126" s="26"/>
      <c r="E126" s="26">
        <f>100*(E36*E60-E37*$D$15)/(E37*$D$13-E36*E58)</f>
        <v>121.83053291861945</v>
      </c>
      <c r="F126" s="26">
        <f t="shared" ref="F126:N126" si="123">100*(F36*F60-F37*$D$15)/(F37*$D$13-F36*F58)</f>
        <v>167.87942337802787</v>
      </c>
      <c r="G126" s="26">
        <f t="shared" si="123"/>
        <v>158.34658641022341</v>
      </c>
      <c r="H126" s="26">
        <f t="shared" si="123"/>
        <v>173.5961533821006</v>
      </c>
      <c r="I126" s="26">
        <f t="shared" si="123"/>
        <v>207.92796758505852</v>
      </c>
      <c r="J126" s="26">
        <f t="shared" si="123"/>
        <v>205.64020996792908</v>
      </c>
      <c r="K126" s="26">
        <f t="shared" si="123"/>
        <v>210.53694500380743</v>
      </c>
      <c r="L126" s="26">
        <f t="shared" si="123"/>
        <v>304.87758843376605</v>
      </c>
      <c r="M126" s="26">
        <f t="shared" si="123"/>
        <v>360.70660219306853</v>
      </c>
      <c r="N126" s="26">
        <f t="shared" si="123"/>
        <v>357.53916090740137</v>
      </c>
    </row>
    <row r="127" spans="1:15">
      <c r="A127" s="22" t="s">
        <v>975</v>
      </c>
      <c r="B127" s="2" t="s">
        <v>8</v>
      </c>
      <c r="E127" s="1"/>
      <c r="F127" s="1"/>
      <c r="G127" s="1"/>
      <c r="H127" s="1"/>
      <c r="I127" s="1"/>
      <c r="J127" s="1"/>
      <c r="M127" s="1"/>
      <c r="N127" s="1"/>
    </row>
    <row r="128" spans="1:15" s="152" customFormat="1">
      <c r="A128" s="151" t="s">
        <v>976</v>
      </c>
      <c r="B128" s="84" t="s">
        <v>8</v>
      </c>
      <c r="C128" s="99"/>
      <c r="D128" s="232"/>
      <c r="E128" s="90">
        <f>E126+E125</f>
        <v>51.785794156634651</v>
      </c>
      <c r="F128" s="90">
        <f t="shared" ref="F128:N128" si="124">F126+F125</f>
        <v>56.839184713228306</v>
      </c>
      <c r="G128" s="90">
        <f t="shared" si="124"/>
        <v>40.865975410051121</v>
      </c>
      <c r="H128" s="90">
        <f t="shared" si="124"/>
        <v>50.445392981882947</v>
      </c>
      <c r="I128" s="90">
        <f t="shared" si="124"/>
        <v>65.865035402751914</v>
      </c>
      <c r="J128" s="90">
        <f t="shared" si="124"/>
        <v>63.341487626881275</v>
      </c>
      <c r="K128" s="90">
        <f t="shared" si="124"/>
        <v>64.324544118536267</v>
      </c>
      <c r="L128" s="90">
        <f t="shared" si="124"/>
        <v>112.51614387641342</v>
      </c>
      <c r="M128" s="90">
        <f t="shared" si="124"/>
        <v>124.00642255522396</v>
      </c>
      <c r="N128" s="90">
        <f t="shared" si="124"/>
        <v>137.13792491258678</v>
      </c>
      <c r="O128" s="99"/>
    </row>
    <row r="129" spans="1:15">
      <c r="A129" s="80"/>
      <c r="B129" s="81"/>
      <c r="D129" s="26"/>
      <c r="E129" s="26"/>
      <c r="F129" s="26"/>
      <c r="G129" s="26"/>
      <c r="H129" s="26"/>
      <c r="I129" s="26"/>
      <c r="J129" s="26"/>
      <c r="K129" s="26"/>
      <c r="L129" s="26"/>
    </row>
    <row r="130" spans="1:15">
      <c r="A130" s="22" t="s">
        <v>977</v>
      </c>
      <c r="B130" s="2" t="s">
        <v>8</v>
      </c>
    </row>
    <row r="131" spans="1:15" s="85" customFormat="1">
      <c r="A131" s="151" t="s">
        <v>978</v>
      </c>
      <c r="B131" s="84" t="s">
        <v>8</v>
      </c>
      <c r="C131" s="84"/>
      <c r="D131" s="84"/>
      <c r="E131" s="84"/>
      <c r="F131" s="84"/>
      <c r="G131" s="84"/>
      <c r="H131" s="84"/>
      <c r="I131" s="84"/>
      <c r="J131" s="84"/>
      <c r="M131" s="84"/>
      <c r="N131" s="84"/>
      <c r="O131" s="84"/>
    </row>
    <row r="132" spans="1:15">
      <c r="K132" s="2"/>
      <c r="L132" s="2"/>
    </row>
    <row r="133" spans="1:15" s="85" customFormat="1">
      <c r="A133" s="151" t="s">
        <v>979</v>
      </c>
      <c r="B133" s="84" t="s">
        <v>980</v>
      </c>
      <c r="C133" s="84"/>
      <c r="D133" s="84"/>
      <c r="E133" s="92">
        <f>E114*E110</f>
        <v>0</v>
      </c>
      <c r="F133" s="92">
        <f t="shared" ref="F133:N133" si="125">F114*F110</f>
        <v>0</v>
      </c>
      <c r="G133" s="92">
        <f t="shared" si="125"/>
        <v>0</v>
      </c>
      <c r="H133" s="92">
        <f t="shared" si="125"/>
        <v>0</v>
      </c>
      <c r="I133" s="92">
        <f t="shared" si="125"/>
        <v>0</v>
      </c>
      <c r="J133" s="92">
        <f t="shared" si="125"/>
        <v>0</v>
      </c>
      <c r="K133" s="92">
        <f t="shared" si="125"/>
        <v>0</v>
      </c>
      <c r="L133" s="92">
        <f t="shared" si="125"/>
        <v>0</v>
      </c>
      <c r="M133" s="92">
        <f t="shared" si="125"/>
        <v>0</v>
      </c>
      <c r="N133" s="92">
        <f t="shared" si="125"/>
        <v>0</v>
      </c>
    </row>
    <row r="134" spans="1:15">
      <c r="A134" s="83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1"/>
    </row>
    <row r="135" spans="1:15" s="85" customFormat="1">
      <c r="A135" s="151" t="s">
        <v>981</v>
      </c>
      <c r="B135" s="99" t="s">
        <v>8</v>
      </c>
      <c r="C135" s="84"/>
      <c r="D135" s="84"/>
      <c r="E135" s="92">
        <f>(E86)/(E86+E85)*100</f>
        <v>38.37843021864785</v>
      </c>
      <c r="F135" s="92">
        <f t="shared" ref="F135:N135" si="126">(F86)/(F86+F85)*100</f>
        <v>38.332116447312195</v>
      </c>
      <c r="G135" s="92">
        <f t="shared" si="126"/>
        <v>38.358279300803346</v>
      </c>
      <c r="H135" s="92">
        <f t="shared" si="126"/>
        <v>38.353034864369107</v>
      </c>
      <c r="I135" s="92">
        <f t="shared" si="126"/>
        <v>37.906785507775034</v>
      </c>
      <c r="J135" s="92">
        <f t="shared" si="126"/>
        <v>37.865742956835867</v>
      </c>
      <c r="K135" s="92">
        <f t="shared" si="126"/>
        <v>37.867965991840201</v>
      </c>
      <c r="L135" s="92">
        <f t="shared" si="126"/>
        <v>37.526496086184324</v>
      </c>
      <c r="M135" s="92">
        <f t="shared" si="126"/>
        <v>37.308232583989899</v>
      </c>
      <c r="N135" s="92">
        <f t="shared" si="126"/>
        <v>37.310068819053946</v>
      </c>
    </row>
    <row r="136" spans="1:15" s="85" customFormat="1">
      <c r="A136" s="151" t="s">
        <v>982</v>
      </c>
      <c r="B136" s="99" t="s">
        <v>8</v>
      </c>
      <c r="C136" s="84"/>
      <c r="D136" s="84"/>
      <c r="E136" s="92" cm="1">
        <f t="array" ref="E136">SUM(E89:E92)/SUM(E89:E92+E88)*100</f>
        <v>15.512614576707721</v>
      </c>
      <c r="F136" s="92" cm="1">
        <f t="array" ref="F136">SUM(F89:F92)/SUM(F89:F92+F88)*100</f>
        <v>15.424490565288028</v>
      </c>
      <c r="G136" s="92" cm="1">
        <f t="array" ref="G136">SUM(G89:G92)/SUM(G89:G92+G88)*100</f>
        <v>15.433168483145806</v>
      </c>
      <c r="H136" s="92" cm="1">
        <f t="array" ref="H136">SUM(H89:H92)/SUM(H89:H92+H88)*100</f>
        <v>15.424370323936435</v>
      </c>
      <c r="I136" s="92" cm="1">
        <f t="array" ref="I136">SUM(I89:I92)/SUM(I89:I92+I88)*100</f>
        <v>15.256061157749276</v>
      </c>
      <c r="J136" s="92" cm="1">
        <f t="array" ref="J136">SUM(J89:J92)/SUM(J89:J92+J88)*100</f>
        <v>15.258650958676807</v>
      </c>
      <c r="K136" s="92" cm="1">
        <f t="array" ref="K136">SUM(K89:K92)/SUM(K89:K92+K88)*100</f>
        <v>15.254994933652405</v>
      </c>
      <c r="L136" s="92" cm="1">
        <f t="array" ref="L136">SUM(L89:L92)/SUM(L89:L92+L88)*100</f>
        <v>15.124152718645782</v>
      </c>
      <c r="M136" s="92" cm="1">
        <f t="array" ref="M136">SUM(M89:M92)/SUM(M89:M92+M88)*100</f>
        <v>15.035859115217612</v>
      </c>
      <c r="N136" s="92" cm="1">
        <f t="array" ref="N136">SUM(N89:N92)/SUM(N89:N92+N88)*100</f>
        <v>15.041858898985128</v>
      </c>
    </row>
    <row r="137" spans="1:15" s="85" customFormat="1">
      <c r="A137" s="151" t="s">
        <v>983</v>
      </c>
      <c r="B137" s="99" t="s">
        <v>8</v>
      </c>
      <c r="C137" s="84"/>
      <c r="D137" s="84"/>
      <c r="E137" s="92">
        <f>SUM(E98,E97)/(SUM(E98,E97)+E96)*100</f>
        <v>50.028160197869923</v>
      </c>
      <c r="F137" s="92">
        <f t="shared" ref="F137:N137" si="127">SUM(F98,F97)/(SUM(F98,F97)+F96)*100</f>
        <v>49.889935518013765</v>
      </c>
      <c r="G137" s="92">
        <f t="shared" si="127"/>
        <v>49.805283491434196</v>
      </c>
      <c r="H137" s="92">
        <f t="shared" si="127"/>
        <v>49.823060311891176</v>
      </c>
      <c r="I137" s="92">
        <f t="shared" si="127"/>
        <v>49.277122211982189</v>
      </c>
      <c r="J137" s="92">
        <f t="shared" si="127"/>
        <v>49.297378562545461</v>
      </c>
      <c r="K137" s="92">
        <f t="shared" si="127"/>
        <v>49.305005296103168</v>
      </c>
      <c r="L137" s="92">
        <f t="shared" si="127"/>
        <v>48.853526938810226</v>
      </c>
      <c r="M137" s="92">
        <f t="shared" si="127"/>
        <v>48.499421150348304</v>
      </c>
      <c r="N137" s="92">
        <f t="shared" si="127"/>
        <v>48.575840805942015</v>
      </c>
    </row>
    <row r="138" spans="1:15">
      <c r="A138" s="83"/>
      <c r="K138" s="2"/>
      <c r="L138" s="2"/>
      <c r="O138" s="1"/>
    </row>
    <row r="139" spans="1:15" s="85" customFormat="1">
      <c r="A139" s="245" t="s">
        <v>984</v>
      </c>
      <c r="B139" s="99" t="s">
        <v>74</v>
      </c>
      <c r="C139" s="84"/>
      <c r="D139" s="84"/>
      <c r="E139" s="92">
        <f t="shared" ref="E139:N139" si="128">E137*SUM(E96:E101,E105,E106)</f>
        <v>2229.06188771191</v>
      </c>
      <c r="F139" s="92">
        <f t="shared" si="128"/>
        <v>2235.8473250521561</v>
      </c>
      <c r="G139" s="92">
        <f t="shared" si="128"/>
        <v>2233.6897465113379</v>
      </c>
      <c r="H139" s="92">
        <f t="shared" si="128"/>
        <v>2225.0422595050704</v>
      </c>
      <c r="I139" s="92">
        <f t="shared" si="128"/>
        <v>2231.6918123297223</v>
      </c>
      <c r="J139" s="92">
        <f t="shared" si="128"/>
        <v>2231.410334746201</v>
      </c>
      <c r="K139" s="92">
        <f t="shared" si="128"/>
        <v>2232.564093664495</v>
      </c>
      <c r="L139" s="92">
        <f t="shared" si="128"/>
        <v>2239.3851567950719</v>
      </c>
      <c r="M139" s="92">
        <f t="shared" si="128"/>
        <v>2239.1410575278496</v>
      </c>
      <c r="N139" s="92">
        <f t="shared" si="128"/>
        <v>2235.8203436086819</v>
      </c>
    </row>
    <row r="140" spans="1:15" s="85" customFormat="1">
      <c r="A140" s="245" t="s">
        <v>985</v>
      </c>
      <c r="B140" s="99" t="s">
        <v>74</v>
      </c>
      <c r="C140" s="84"/>
      <c r="D140" s="84"/>
      <c r="E140" s="88">
        <f t="shared" ref="E140:N140" si="129">SUM(E96,E97,E98,E99,E100,E101,E105,E106)</f>
        <v>44.556143557860004</v>
      </c>
      <c r="F140" s="88">
        <f t="shared" si="129"/>
        <v>44.815598613970117</v>
      </c>
      <c r="G140" s="88">
        <f t="shared" si="129"/>
        <v>44.848449600643292</v>
      </c>
      <c r="H140" s="88">
        <f t="shared" si="129"/>
        <v>44.658883769410366</v>
      </c>
      <c r="I140" s="88">
        <f t="shared" si="129"/>
        <v>45.288598687426308</v>
      </c>
      <c r="J140" s="88">
        <f t="shared" si="129"/>
        <v>45.26427976114644</v>
      </c>
      <c r="K140" s="88">
        <f t="shared" si="129"/>
        <v>45.280678508332826</v>
      </c>
      <c r="L140" s="88">
        <f t="shared" si="129"/>
        <v>45.838761234167094</v>
      </c>
      <c r="M140" s="88">
        <f t="shared" si="129"/>
        <v>46.168407878240608</v>
      </c>
      <c r="N140" s="88">
        <f t="shared" si="129"/>
        <v>46.027414173656183</v>
      </c>
    </row>
    <row r="141" spans="1:15">
      <c r="A141" s="77"/>
    </row>
    <row r="142" spans="1:15" s="2" customFormat="1">
      <c r="A142" s="77"/>
      <c r="K142" s="1"/>
      <c r="L142" s="1"/>
    </row>
    <row r="143" spans="1:15" s="2" customFormat="1">
      <c r="A143" s="77"/>
      <c r="K143" s="1"/>
      <c r="L143" s="1"/>
    </row>
    <row r="144" spans="1:15" s="2" customFormat="1">
      <c r="A144" s="77"/>
      <c r="K144" s="1"/>
      <c r="L144" s="1"/>
    </row>
    <row r="145" spans="1:12" s="2" customFormat="1">
      <c r="A145" s="77"/>
      <c r="K145" s="1"/>
      <c r="L145" s="1"/>
    </row>
    <row r="146" spans="1:12" s="2" customFormat="1">
      <c r="A146" s="77"/>
      <c r="K146" s="1"/>
      <c r="L146" s="1"/>
    </row>
    <row r="147" spans="1:12" s="2" customFormat="1">
      <c r="A147" s="77"/>
      <c r="K147" s="1"/>
      <c r="L147" s="1"/>
    </row>
    <row r="148" spans="1:12" s="2" customFormat="1">
      <c r="A148" s="77"/>
      <c r="K148" s="1"/>
      <c r="L148" s="1"/>
    </row>
    <row r="149" spans="1:12" s="2" customFormat="1">
      <c r="A149" s="77"/>
      <c r="K149" s="1"/>
      <c r="L149" s="1"/>
    </row>
    <row r="150" spans="1:12" s="2" customFormat="1">
      <c r="A150" s="77"/>
      <c r="K150" s="1"/>
      <c r="L150" s="1"/>
    </row>
    <row r="151" spans="1:12" s="2" customFormat="1">
      <c r="A151" s="77"/>
      <c r="K151" s="1"/>
      <c r="L151" s="1"/>
    </row>
    <row r="152" spans="1:12" s="2" customFormat="1">
      <c r="A152" s="77"/>
      <c r="K152" s="1"/>
      <c r="L152" s="1"/>
    </row>
    <row r="153" spans="1:12" s="2" customFormat="1">
      <c r="A153" s="22"/>
      <c r="K153" s="1"/>
      <c r="L153" s="1"/>
    </row>
    <row r="154" spans="1:12" s="2" customFormat="1">
      <c r="A154" s="22"/>
      <c r="K154" s="1"/>
      <c r="L154" s="1"/>
    </row>
    <row r="155" spans="1:12" s="2" customFormat="1">
      <c r="A155" s="22"/>
      <c r="K155" s="1"/>
      <c r="L155" s="1"/>
    </row>
    <row r="156" spans="1:12" s="2" customFormat="1">
      <c r="A156" s="22"/>
      <c r="K156" s="1"/>
      <c r="L156" s="1"/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9B3C-905C-4330-AF44-1ADED95F0960}">
  <dimension ref="A1:N156"/>
  <sheetViews>
    <sheetView topLeftCell="A22" zoomScaleNormal="100" workbookViewId="0">
      <selection activeCell="I14" sqref="I14"/>
    </sheetView>
  </sheetViews>
  <sheetFormatPr defaultColWidth="9.140625" defaultRowHeight="15"/>
  <cols>
    <col min="1" max="1" width="29.7109375" style="2" bestFit="1" customWidth="1"/>
    <col min="2" max="2" width="11.7109375" style="2" bestFit="1" customWidth="1"/>
    <col min="3" max="3" width="11.7109375" style="2" customWidth="1"/>
    <col min="4" max="4" width="25.42578125" style="2" customWidth="1"/>
    <col min="5" max="5" width="27" style="2" bestFit="1" customWidth="1"/>
    <col min="6" max="6" width="16.42578125" style="2" bestFit="1" customWidth="1"/>
    <col min="7" max="7" width="18.85546875" style="2" customWidth="1"/>
    <col min="8" max="10" width="16.42578125" style="2" bestFit="1" customWidth="1"/>
    <col min="11" max="11" width="16.42578125" style="1" bestFit="1" customWidth="1"/>
    <col min="12" max="14" width="15.85546875" style="1" bestFit="1" customWidth="1"/>
    <col min="15" max="15" width="14.5703125" style="1" bestFit="1" customWidth="1"/>
    <col min="16" max="16384" width="9.140625" style="1"/>
  </cols>
  <sheetData>
    <row r="1" spans="1:14" s="2" customFormat="1">
      <c r="A1" s="246" t="s">
        <v>939</v>
      </c>
      <c r="B1" s="246"/>
      <c r="C1" s="246"/>
      <c r="D1" s="246"/>
      <c r="K1" s="1"/>
      <c r="L1" s="1"/>
      <c r="M1" s="1"/>
      <c r="N1" s="1"/>
    </row>
    <row r="2" spans="1:14" s="2" customFormat="1">
      <c r="A2" s="31" t="s">
        <v>940</v>
      </c>
      <c r="B2" s="16" t="s">
        <v>8</v>
      </c>
      <c r="C2" s="16"/>
      <c r="D2" s="105">
        <f>Reactor1!D2</f>
        <v>83.84</v>
      </c>
      <c r="G2" s="1"/>
      <c r="K2" s="1"/>
      <c r="L2" s="1"/>
      <c r="M2" s="1"/>
      <c r="N2" s="1"/>
    </row>
    <row r="3" spans="1:14" s="2" customFormat="1">
      <c r="A3" s="31" t="s">
        <v>941</v>
      </c>
      <c r="B3" s="16" t="s">
        <v>8</v>
      </c>
      <c r="C3" s="16"/>
      <c r="D3" s="105">
        <f>Reactor1!D3</f>
        <v>16.159999999999997</v>
      </c>
      <c r="K3" s="1"/>
      <c r="L3" s="1"/>
      <c r="M3" s="1"/>
      <c r="N3" s="1"/>
    </row>
    <row r="4" spans="1:14" s="2" customFormat="1">
      <c r="A4" s="31" t="s">
        <v>942</v>
      </c>
      <c r="B4" s="16" t="s">
        <v>8</v>
      </c>
      <c r="C4" s="16"/>
      <c r="D4" s="105">
        <f>Reactor1!D4</f>
        <v>100</v>
      </c>
      <c r="K4" s="1"/>
      <c r="L4" s="1"/>
      <c r="M4" s="1"/>
      <c r="N4" s="1"/>
    </row>
    <row r="5" spans="1:14" s="2" customFormat="1">
      <c r="A5" s="31" t="s">
        <v>943</v>
      </c>
      <c r="B5" s="114" t="s">
        <v>89</v>
      </c>
      <c r="C5" s="114"/>
      <c r="D5" s="105">
        <f>Reactor1!D5</f>
        <v>0</v>
      </c>
      <c r="K5" s="1"/>
      <c r="L5" s="1"/>
      <c r="M5" s="1"/>
      <c r="N5" s="1"/>
    </row>
    <row r="6" spans="1:14" s="2" customFormat="1">
      <c r="A6" s="31" t="s">
        <v>944</v>
      </c>
      <c r="B6" s="114" t="s">
        <v>89</v>
      </c>
      <c r="C6" s="114"/>
      <c r="D6" s="105">
        <f>Reactor1!D6</f>
        <v>89</v>
      </c>
      <c r="F6" s="2" t="s">
        <v>945</v>
      </c>
      <c r="G6" s="102">
        <v>46247</v>
      </c>
      <c r="K6" s="1"/>
      <c r="L6" s="1"/>
      <c r="M6" s="1"/>
      <c r="N6" s="1"/>
    </row>
    <row r="7" spans="1:14" s="2" customFormat="1">
      <c r="A7" s="31" t="s">
        <v>946</v>
      </c>
      <c r="B7" s="16" t="s">
        <v>102</v>
      </c>
      <c r="C7" s="16"/>
      <c r="D7" s="105">
        <f>Reactor1!D7</f>
        <v>0.66500000000000004</v>
      </c>
      <c r="G7" s="138">
        <v>0.66666666666666663</v>
      </c>
      <c r="K7" s="1"/>
      <c r="L7" s="1"/>
      <c r="M7" s="1"/>
      <c r="N7" s="1"/>
    </row>
    <row r="8" spans="1:14">
      <c r="A8" s="29" t="s">
        <v>17</v>
      </c>
      <c r="B8" s="28" t="s">
        <v>8</v>
      </c>
      <c r="C8" s="28"/>
      <c r="D8" s="105">
        <f>Reactor1!D8</f>
        <v>17.808794750000001</v>
      </c>
      <c r="E8" s="1"/>
      <c r="F8" s="1"/>
      <c r="G8" s="1"/>
    </row>
    <row r="9" spans="1:14">
      <c r="A9" s="229" t="s">
        <v>18</v>
      </c>
      <c r="B9" s="28" t="s">
        <v>8</v>
      </c>
      <c r="C9" s="28"/>
      <c r="D9" s="105">
        <f>Reactor1!D9</f>
        <v>8.024783750000001</v>
      </c>
      <c r="E9" s="1"/>
      <c r="F9" s="1"/>
      <c r="G9" s="1"/>
    </row>
    <row r="10" spans="1:14">
      <c r="A10" s="229" t="s">
        <v>19</v>
      </c>
      <c r="B10" s="230" t="s">
        <v>8</v>
      </c>
      <c r="C10" s="28"/>
      <c r="D10" s="105">
        <f>Reactor1!D10</f>
        <v>3.6883509999999999</v>
      </c>
      <c r="E10" s="1"/>
      <c r="F10" s="1"/>
      <c r="G10" s="1"/>
    </row>
    <row r="11" spans="1:14">
      <c r="A11" s="229" t="s">
        <v>20</v>
      </c>
      <c r="B11" s="230" t="s">
        <v>8</v>
      </c>
      <c r="C11" s="28"/>
      <c r="D11" s="105">
        <f>Reactor1!D11</f>
        <v>0.72080225000000009</v>
      </c>
      <c r="E11" s="1"/>
      <c r="F11" s="1"/>
      <c r="G11" s="1"/>
    </row>
    <row r="12" spans="1:14">
      <c r="A12" s="229" t="s">
        <v>75</v>
      </c>
      <c r="B12" s="230" t="s">
        <v>8</v>
      </c>
      <c r="C12" s="28"/>
      <c r="D12" s="105">
        <f>Reactor1!D12</f>
        <v>1.6720374999999999E-2</v>
      </c>
      <c r="E12" s="1"/>
      <c r="F12" s="1"/>
      <c r="G12" s="1"/>
    </row>
    <row r="13" spans="1:14">
      <c r="A13" s="229" t="s">
        <v>25</v>
      </c>
      <c r="B13" s="230" t="s">
        <v>8</v>
      </c>
      <c r="C13" s="229"/>
      <c r="D13" s="105">
        <f>Reactor1!D13</f>
        <v>16.071277625</v>
      </c>
      <c r="E13" s="1"/>
      <c r="F13" s="1"/>
      <c r="G13" s="1"/>
    </row>
    <row r="14" spans="1:14">
      <c r="A14" s="229" t="s">
        <v>26</v>
      </c>
      <c r="B14" s="230" t="s">
        <v>8</v>
      </c>
      <c r="C14" s="229"/>
      <c r="D14" s="105">
        <f>Reactor1!D14</f>
        <v>13.769736375000001</v>
      </c>
      <c r="E14" s="1"/>
      <c r="F14" s="1"/>
      <c r="G14" s="1"/>
    </row>
    <row r="15" spans="1:14">
      <c r="A15" s="229" t="s">
        <v>27</v>
      </c>
      <c r="B15" s="230" t="s">
        <v>8</v>
      </c>
      <c r="C15" s="229"/>
      <c r="D15" s="105">
        <f>Reactor1!D15</f>
        <v>0.99247037500000013</v>
      </c>
      <c r="E15" s="1"/>
      <c r="F15" s="1"/>
      <c r="G15" s="1"/>
    </row>
    <row r="16" spans="1:14">
      <c r="A16" s="22"/>
      <c r="D16" s="95"/>
      <c r="E16" s="1"/>
      <c r="F16" s="1"/>
      <c r="G16" s="1"/>
    </row>
    <row r="17" spans="1:14">
      <c r="A17" s="129" t="s">
        <v>986</v>
      </c>
      <c r="D17" s="95"/>
      <c r="E17" s="1"/>
      <c r="F17" s="1"/>
      <c r="G17" s="1"/>
      <c r="N17" s="1" t="s">
        <v>987</v>
      </c>
    </row>
    <row r="18" spans="1:14" s="133" customFormat="1">
      <c r="A18" s="130"/>
      <c r="B18" s="131"/>
      <c r="C18" s="131"/>
      <c r="D18" s="132"/>
      <c r="H18" s="131"/>
      <c r="I18" s="131"/>
      <c r="J18" s="131"/>
    </row>
    <row r="19" spans="1:14" s="101" customFormat="1">
      <c r="A19" s="103" t="s">
        <v>227</v>
      </c>
      <c r="B19" s="104" t="s">
        <v>89</v>
      </c>
      <c r="C19" s="104"/>
      <c r="D19" s="102" cm="1">
        <f t="array" ref="D19:N19">TRANSPOSE(_xlfn._xlws.FILTER('Raw Data'!AU2:AU505,('Raw Data'!B2:B505=2)*('Raw Data'!AU2:AU505&lt;&gt;"")))</f>
        <v>46248</v>
      </c>
      <c r="E19" s="102">
        <v>46251</v>
      </c>
      <c r="F19" s="102">
        <v>46252</v>
      </c>
      <c r="G19" s="102">
        <v>46253</v>
      </c>
      <c r="H19" s="102">
        <v>46253</v>
      </c>
      <c r="I19" s="102">
        <v>46254</v>
      </c>
      <c r="J19" s="102">
        <v>46255</v>
      </c>
      <c r="K19" s="102">
        <v>46256</v>
      </c>
      <c r="L19" s="102">
        <v>46256</v>
      </c>
      <c r="M19" s="101">
        <v>46257</v>
      </c>
      <c r="N19" s="101">
        <v>46258</v>
      </c>
    </row>
    <row r="20" spans="1:14" s="101" customFormat="1">
      <c r="A20" s="103" t="s">
        <v>950</v>
      </c>
      <c r="B20" s="104" t="s">
        <v>89</v>
      </c>
      <c r="C20" s="104"/>
      <c r="D20" s="108" cm="1">
        <f t="array" ref="D20:N20">TRANSPOSE(_xlfn._xlws.FILTER('Raw Data'!AV2:AV505,('Raw Data'!B2:B505=2)*('Raw Data'!AV2:AV505&lt;&gt;"")))</f>
        <v>0.9866435185185185</v>
      </c>
      <c r="E20" s="108">
        <v>0.67476851851851849</v>
      </c>
      <c r="F20" s="108">
        <v>0.5618981481481482</v>
      </c>
      <c r="G20" s="108">
        <v>0.25092592592592594</v>
      </c>
      <c r="H20" s="108">
        <v>0.93994212962962964</v>
      </c>
      <c r="I20" s="108">
        <v>0.62894675925925925</v>
      </c>
      <c r="J20" s="108">
        <v>0.31797453703703704</v>
      </c>
      <c r="K20" s="108">
        <v>7.0023148148148145E-3</v>
      </c>
      <c r="L20" s="108">
        <v>0.69600694444444444</v>
      </c>
      <c r="M20" s="108">
        <v>0.38503472222222224</v>
      </c>
      <c r="N20" s="108">
        <v>7.4050925925925923E-2</v>
      </c>
    </row>
    <row r="21" spans="1:14" s="101" customFormat="1">
      <c r="A21" s="103" t="s">
        <v>121</v>
      </c>
      <c r="B21" s="102" t="s">
        <v>122</v>
      </c>
      <c r="C21" s="102"/>
      <c r="D21" s="39">
        <f>((D19+D20)-(G6+G7))*24</f>
        <v>31.679444444482215</v>
      </c>
      <c r="E21" s="23">
        <f t="shared" ref="E21:I21" si="0">((E19+E20)-(D19+D20))*24</f>
        <v>64.51500000001397</v>
      </c>
      <c r="F21" s="23">
        <f t="shared" si="0"/>
        <v>21.291111111058854</v>
      </c>
      <c r="G21" s="23">
        <f t="shared" si="0"/>
        <v>16.536666666681413</v>
      </c>
      <c r="H21" s="23">
        <f t="shared" si="0"/>
        <v>16.536388889013324</v>
      </c>
      <c r="I21" s="23">
        <f t="shared" si="0"/>
        <v>16.536111110995989</v>
      </c>
      <c r="J21" s="23">
        <f t="shared" ref="J21" si="1">((J19+J20)-(I19+I20))*24</f>
        <v>16.536666666681413</v>
      </c>
      <c r="K21" s="23">
        <f t="shared" ref="K21:L21" si="2">((K19+K20)-(J19+J20))*24</f>
        <v>16.536666666681413</v>
      </c>
      <c r="L21" s="23">
        <f t="shared" si="2"/>
        <v>16.536111111170612</v>
      </c>
      <c r="M21" s="23">
        <f t="shared" ref="M21" si="3">((M19+M20)-(L19+L20))*24</f>
        <v>16.536666666681413</v>
      </c>
      <c r="N21" s="23">
        <f t="shared" ref="N21" si="4">((N19+N20)-(M19+M20))*24</f>
        <v>16.536388888838701</v>
      </c>
    </row>
    <row r="22" spans="1:14" s="39" customFormat="1">
      <c r="A22" s="94" t="s">
        <v>951</v>
      </c>
      <c r="B22" s="39" t="s">
        <v>952</v>
      </c>
      <c r="D22" s="39">
        <f>D21</f>
        <v>31.679444444482215</v>
      </c>
      <c r="E22" s="39">
        <f>E21+D22-40</f>
        <v>56.194444444496185</v>
      </c>
      <c r="F22" s="39">
        <f t="shared" ref="F22:I22" si="5">F21+E22</f>
        <v>77.485555555555038</v>
      </c>
      <c r="G22" s="39">
        <f t="shared" si="5"/>
        <v>94.022222222236451</v>
      </c>
      <c r="H22" s="39">
        <f t="shared" si="5"/>
        <v>110.55861111124977</v>
      </c>
      <c r="I22" s="39">
        <f t="shared" si="5"/>
        <v>127.09472222224576</v>
      </c>
      <c r="J22" s="39">
        <f t="shared" ref="J22" si="6">J21+I22</f>
        <v>143.63138888892718</v>
      </c>
      <c r="K22" s="39">
        <f t="shared" ref="K22:L22" si="7">K21+J22</f>
        <v>160.16805555560859</v>
      </c>
      <c r="L22" s="39">
        <f t="shared" si="7"/>
        <v>176.7041666667792</v>
      </c>
      <c r="M22" s="39">
        <f t="shared" ref="M22" si="8">M21+L22</f>
        <v>193.24083333346061</v>
      </c>
      <c r="N22" s="39">
        <f t="shared" ref="N22" si="9">N21+M22</f>
        <v>209.77722222229932</v>
      </c>
    </row>
    <row r="23" spans="1:14" s="85" customFormat="1">
      <c r="A23" s="153" t="s">
        <v>114</v>
      </c>
      <c r="B23" s="84" t="s">
        <v>115</v>
      </c>
      <c r="C23" s="84"/>
      <c r="D23" s="88" cm="1">
        <f t="array" ref="D23:N23">TRANSPOSE(_xlfn._xlws.FILTER('Raw Data'!E2:E505,('Raw Data'!B2:B505=2)*('Raw Data'!E2:E505&lt;&gt;"")))</f>
        <v>25.0246</v>
      </c>
      <c r="E23" s="92">
        <v>25.079599999999999</v>
      </c>
      <c r="F23" s="92">
        <v>25.156199999999998</v>
      </c>
      <c r="G23" s="92">
        <v>25.240200000000002</v>
      </c>
      <c r="H23" s="92">
        <v>25.263300000000001</v>
      </c>
      <c r="I23" s="92">
        <v>25.127300000000002</v>
      </c>
      <c r="J23" s="92">
        <v>25.218499999999999</v>
      </c>
      <c r="K23" s="92">
        <v>25.271999999999998</v>
      </c>
      <c r="L23" s="92">
        <v>25.277799999999999</v>
      </c>
      <c r="M23" s="92">
        <v>25.102699999999999</v>
      </c>
      <c r="N23" s="92">
        <v>25.269100000000002</v>
      </c>
    </row>
    <row r="24" spans="1:14" s="85" customFormat="1">
      <c r="A24" s="153" t="s">
        <v>953</v>
      </c>
      <c r="B24" s="84" t="s">
        <v>954</v>
      </c>
      <c r="C24" s="84"/>
      <c r="D24" s="92" cm="1">
        <f t="array" ref="D24:N24">TRANSPOSE(_xlfn._xlws.FILTER('Raw Data'!C2:C505,('Raw Data'!B2:B505=2)*('Raw Data'!C2:C505&lt;&gt;"")))</f>
        <v>210</v>
      </c>
      <c r="E24" s="92">
        <v>220</v>
      </c>
      <c r="F24" s="92">
        <v>220</v>
      </c>
      <c r="G24" s="92">
        <v>220</v>
      </c>
      <c r="H24" s="92">
        <v>215</v>
      </c>
      <c r="I24" s="92">
        <v>215</v>
      </c>
      <c r="J24" s="92">
        <v>215</v>
      </c>
      <c r="K24" s="92">
        <v>210</v>
      </c>
      <c r="L24" s="92">
        <v>205</v>
      </c>
      <c r="M24" s="92">
        <v>205</v>
      </c>
      <c r="N24" s="92">
        <v>200</v>
      </c>
    </row>
    <row r="25" spans="1:14" s="85" customFormat="1">
      <c r="A25" s="153" t="s">
        <v>56</v>
      </c>
      <c r="B25" s="84" t="s">
        <v>118</v>
      </c>
      <c r="C25" s="84"/>
      <c r="D25" s="90">
        <f t="shared" ref="D25:I25" si="10">D37/$D$7*(1/2)</f>
        <v>1.5352790885472436</v>
      </c>
      <c r="E25" s="90">
        <f t="shared" si="10"/>
        <v>1.5846388644035891</v>
      </c>
      <c r="F25" s="90">
        <f t="shared" si="10"/>
        <v>1.5083085598731765</v>
      </c>
      <c r="G25" s="90">
        <f t="shared" si="10"/>
        <v>1.500784589736186</v>
      </c>
      <c r="H25" s="90">
        <f t="shared" si="10"/>
        <v>1.4787858967833285</v>
      </c>
      <c r="I25" s="90">
        <f t="shared" si="10"/>
        <v>1.5252896183751872</v>
      </c>
      <c r="J25" s="90">
        <f t="shared" ref="J25:K25" si="11">J37/$D$7*(1/2)</f>
        <v>1.4920341501730781</v>
      </c>
      <c r="K25" s="90">
        <f t="shared" si="11"/>
        <v>1.4794854776158295</v>
      </c>
      <c r="L25" s="90">
        <f t="shared" ref="L25:M25" si="12">L37/$D$7*(1/2)</f>
        <v>1.494086405334927</v>
      </c>
      <c r="M25" s="90">
        <f t="shared" si="12"/>
        <v>1.4376492352139401</v>
      </c>
      <c r="N25" s="88"/>
    </row>
    <row r="26" spans="1:14" s="85" customFormat="1">
      <c r="A26" s="153" t="s">
        <v>119</v>
      </c>
      <c r="B26" s="84" t="s">
        <v>955</v>
      </c>
      <c r="C26" s="84"/>
      <c r="D26" s="88">
        <f t="shared" ref="D26:I26" si="13">(D35/2)/(D37/$D$6)</f>
        <v>3.7708690951706538</v>
      </c>
      <c r="E26" s="88">
        <f t="shared" si="13"/>
        <v>2.9556653835130828</v>
      </c>
      <c r="F26" s="88">
        <f t="shared" si="13"/>
        <v>3.0613281802885304</v>
      </c>
      <c r="G26" s="88">
        <f t="shared" si="13"/>
        <v>3.0626940281258919</v>
      </c>
      <c r="H26" s="88">
        <f t="shared" si="13"/>
        <v>3.1941497930236724</v>
      </c>
      <c r="I26" s="88">
        <f t="shared" si="13"/>
        <v>3.1196857000994536</v>
      </c>
      <c r="J26" s="88">
        <f t="shared" ref="J26:K26" si="14">(J35/2)/(J37/$D$6)</f>
        <v>3.1364181362567858</v>
      </c>
      <c r="K26" s="88">
        <f t="shared" si="14"/>
        <v>3.2313780343635705</v>
      </c>
      <c r="L26" s="88">
        <f t="shared" ref="L26:M26" si="15">(L35/2)/(L37/$D$6)</f>
        <v>3.8803047911283932</v>
      </c>
      <c r="M26" s="88">
        <f t="shared" si="15"/>
        <v>4.065525468026955</v>
      </c>
      <c r="N26" s="88"/>
    </row>
    <row r="27" spans="1:14">
      <c r="A27" s="22" t="s">
        <v>956</v>
      </c>
      <c r="B27" s="2" t="s">
        <v>130</v>
      </c>
      <c r="D27" s="2">
        <v>3.2</v>
      </c>
      <c r="E27" s="2">
        <v>3.2</v>
      </c>
      <c r="F27" s="2">
        <v>3.2</v>
      </c>
      <c r="G27" s="2">
        <v>3.2</v>
      </c>
      <c r="H27" s="2">
        <v>3.2</v>
      </c>
      <c r="I27" s="2">
        <v>3.2</v>
      </c>
      <c r="J27" s="2">
        <v>3.2</v>
      </c>
      <c r="K27" s="2">
        <v>3.2</v>
      </c>
      <c r="L27" s="2">
        <v>3.2</v>
      </c>
      <c r="M27" s="2">
        <v>3.2</v>
      </c>
      <c r="N27" s="2">
        <v>3.2</v>
      </c>
    </row>
    <row r="28" spans="1:14" s="79" customFormat="1">
      <c r="A28" s="111" t="s">
        <v>957</v>
      </c>
      <c r="B28" s="23" t="s">
        <v>958</v>
      </c>
      <c r="C28" s="23"/>
      <c r="D28" s="23" cm="1">
        <f t="array" ref="D28:N28">TRANSPOSE(_xlfn._xlws.FILTER('Raw Data'!AJ2:AJ505,('Raw Data'!B2:B505=2)*('Raw Data'!AJ2:AJ505&lt;&gt;"")))</f>
        <v>35.565789000000002</v>
      </c>
      <c r="E28" s="23">
        <v>30.608519000000001</v>
      </c>
      <c r="F28" s="23">
        <v>30.327756999999998</v>
      </c>
      <c r="G28" s="23">
        <v>30.237466999999999</v>
      </c>
      <c r="H28" s="23">
        <v>30.963597</v>
      </c>
      <c r="I28" s="23">
        <v>31.015245</v>
      </c>
      <c r="J28" s="23">
        <v>30.733318000000001</v>
      </c>
      <c r="K28" s="23">
        <v>31.303788000000001</v>
      </c>
      <c r="L28" s="23">
        <v>35.638117999999999</v>
      </c>
      <c r="M28" s="23">
        <v>35.952205999999997</v>
      </c>
      <c r="N28" s="23">
        <v>35.933028999999998</v>
      </c>
    </row>
    <row r="29" spans="1:14" s="97" customFormat="1">
      <c r="A29" s="112" t="s">
        <v>956</v>
      </c>
      <c r="B29" s="26" t="s">
        <v>958</v>
      </c>
      <c r="C29" s="26"/>
      <c r="D29" s="23" cm="1">
        <f t="array" ref="D29:N29">TRANSPOSE(_xlfn._xlws.FILTER('Raw Data'!AN2:AN505,('Raw Data'!B2:B505=2)*('Raw Data'!AN2:AN505&lt;&gt;"")))</f>
        <v>54.719107999999999</v>
      </c>
      <c r="E29" s="26">
        <v>58.215471999999998</v>
      </c>
      <c r="F29" s="26">
        <v>58.508893</v>
      </c>
      <c r="G29" s="26">
        <v>58.601011</v>
      </c>
      <c r="H29" s="26">
        <v>58.394575000000003</v>
      </c>
      <c r="I29" s="26">
        <v>58.062232999999999</v>
      </c>
      <c r="J29" s="26">
        <v>58.503036000000002</v>
      </c>
      <c r="K29" s="26">
        <v>58.328403999999999</v>
      </c>
      <c r="L29" s="26">
        <v>54.758921000000001</v>
      </c>
      <c r="M29" s="26">
        <v>54.794578999999999</v>
      </c>
      <c r="N29" s="26">
        <v>65.305842999999996</v>
      </c>
    </row>
    <row r="30" spans="1:14">
      <c r="A30" s="22" t="s">
        <v>959</v>
      </c>
      <c r="B30" s="2" t="s">
        <v>958</v>
      </c>
      <c r="D30" s="26">
        <f t="shared" ref="D30:G30" si="16">100-D29-D28</f>
        <v>9.7151029999999992</v>
      </c>
      <c r="E30" s="26">
        <f t="shared" si="16"/>
        <v>11.176009000000001</v>
      </c>
      <c r="F30" s="26">
        <f t="shared" si="16"/>
        <v>11.163350000000001</v>
      </c>
      <c r="G30" s="26">
        <f t="shared" si="16"/>
        <v>11.161522000000001</v>
      </c>
      <c r="H30" s="26">
        <f t="shared" ref="H30:I30" si="17">100-H29-H28</f>
        <v>10.641827999999997</v>
      </c>
      <c r="I30" s="26">
        <f t="shared" si="17"/>
        <v>10.922522000000001</v>
      </c>
      <c r="J30" s="26">
        <f t="shared" ref="J30:K30" si="18">100-J29-J28</f>
        <v>10.763645999999998</v>
      </c>
      <c r="K30" s="26">
        <f t="shared" si="18"/>
        <v>10.367808</v>
      </c>
      <c r="L30" s="26">
        <f t="shared" ref="L30:M30" si="19">100-L29-L28</f>
        <v>9.6029610000000005</v>
      </c>
      <c r="M30" s="26">
        <f t="shared" si="19"/>
        <v>9.2532150000000044</v>
      </c>
      <c r="N30" s="26"/>
    </row>
    <row r="31" spans="1:14">
      <c r="A31" s="22" t="s">
        <v>81</v>
      </c>
      <c r="B31" s="2" t="s">
        <v>958</v>
      </c>
      <c r="D31" s="2">
        <f t="shared" ref="D31:G31" si="20">SUM(D28:D30)</f>
        <v>100</v>
      </c>
      <c r="E31" s="2">
        <f t="shared" si="20"/>
        <v>100</v>
      </c>
      <c r="F31" s="2">
        <f t="shared" si="20"/>
        <v>100</v>
      </c>
      <c r="G31" s="2">
        <f t="shared" si="20"/>
        <v>100</v>
      </c>
      <c r="H31" s="2">
        <f t="shared" ref="H31:I31" si="21">SUM(H28:H30)</f>
        <v>100</v>
      </c>
      <c r="I31" s="2">
        <f t="shared" si="21"/>
        <v>100</v>
      </c>
      <c r="J31" s="2">
        <f t="shared" ref="J31:K31" si="22">SUM(J28:J30)</f>
        <v>100</v>
      </c>
      <c r="K31" s="2">
        <f t="shared" si="22"/>
        <v>100</v>
      </c>
      <c r="L31" s="2">
        <f t="shared" ref="L31:N31" si="23">SUM(L28:L30)</f>
        <v>100</v>
      </c>
      <c r="M31" s="2">
        <f t="shared" si="23"/>
        <v>100</v>
      </c>
      <c r="N31" s="39">
        <f t="shared" si="23"/>
        <v>101.23887199999999</v>
      </c>
    </row>
    <row r="32" spans="1:14" s="26" customFormat="1">
      <c r="A32" s="112" t="s">
        <v>650</v>
      </c>
      <c r="B32" s="96" t="s">
        <v>89</v>
      </c>
      <c r="C32" s="96"/>
      <c r="D32" s="23" cm="1">
        <f t="array" ref="D32:N32">TRANSPOSE(_xlfn._xlws.FILTER('Raw Data'!CP2:CP505,('Raw Data'!B2:B505=2)*('Raw Data'!CP2:CP505&lt;&gt;"")))</f>
        <v>86.532341000000002</v>
      </c>
      <c r="E32" s="26">
        <v>82.848113999999995</v>
      </c>
      <c r="F32" s="26">
        <v>79.277275000000003</v>
      </c>
      <c r="G32" s="26">
        <v>79.024895000000001</v>
      </c>
      <c r="H32" s="26">
        <v>81.318886000000006</v>
      </c>
      <c r="I32" s="26">
        <v>81.257026999999994</v>
      </c>
      <c r="J32" s="26">
        <v>81.269919999999999</v>
      </c>
      <c r="K32" s="26">
        <v>83.360016000000002</v>
      </c>
      <c r="L32" s="26">
        <v>85.279662999999999</v>
      </c>
      <c r="M32" s="26">
        <v>85.215157000000005</v>
      </c>
      <c r="N32" s="26">
        <v>63.422665000000002</v>
      </c>
    </row>
    <row r="33" spans="1:14" s="23" customFormat="1">
      <c r="A33" s="111" t="s">
        <v>960</v>
      </c>
      <c r="B33" s="23" t="s">
        <v>8</v>
      </c>
      <c r="D33" s="23">
        <f t="shared" ref="D33:I33" si="24">SUMPRODUCT($C$42:$C$77,D42:D77)</f>
        <v>83.715602127700009</v>
      </c>
      <c r="E33" s="23">
        <f t="shared" si="24"/>
        <v>83.456267720300019</v>
      </c>
      <c r="F33" s="23">
        <f t="shared" si="24"/>
        <v>83.527296259299987</v>
      </c>
      <c r="G33" s="23">
        <f t="shared" si="24"/>
        <v>83.521007572099975</v>
      </c>
      <c r="H33" s="23">
        <f t="shared" si="24"/>
        <v>83.585269643899977</v>
      </c>
      <c r="I33" s="23">
        <f t="shared" si="24"/>
        <v>83.583738769699991</v>
      </c>
      <c r="J33" s="23">
        <f t="shared" ref="J33:K33" si="25">SUMPRODUCT($C$42:$C$77,J42:J77)</f>
        <v>83.584843023400012</v>
      </c>
      <c r="K33" s="23">
        <f t="shared" si="25"/>
        <v>83.638390379699999</v>
      </c>
      <c r="L33" s="23">
        <f t="shared" ref="L33:M33" si="26">SUMPRODUCT($C$42:$C$77,L42:L77)</f>
        <v>83.683446286000006</v>
      </c>
      <c r="M33" s="23">
        <f t="shared" si="26"/>
        <v>83.683653416799999</v>
      </c>
    </row>
    <row r="34" spans="1:14" s="23" customFormat="1">
      <c r="A34" s="111" t="s">
        <v>961</v>
      </c>
      <c r="B34" s="23" t="s">
        <v>8</v>
      </c>
      <c r="D34" s="23">
        <f>100-D33</f>
        <v>16.284397872299991</v>
      </c>
      <c r="E34" s="23">
        <f t="shared" ref="E34" si="27">100-E33</f>
        <v>16.543732279699981</v>
      </c>
      <c r="F34" s="23">
        <f t="shared" ref="F34:G34" si="28">100-F33</f>
        <v>16.472703740700013</v>
      </c>
      <c r="G34" s="23">
        <f t="shared" si="28"/>
        <v>16.478992427900025</v>
      </c>
      <c r="H34" s="23">
        <f t="shared" ref="H34:I34" si="29">100-H33</f>
        <v>16.414730356100023</v>
      </c>
      <c r="I34" s="23">
        <f t="shared" si="29"/>
        <v>16.416261230300009</v>
      </c>
      <c r="J34" s="23">
        <f t="shared" ref="J34:K34" si="30">100-J33</f>
        <v>16.415156976599988</v>
      </c>
      <c r="K34" s="23">
        <f t="shared" si="30"/>
        <v>16.361609620300001</v>
      </c>
      <c r="L34" s="23">
        <f t="shared" ref="L34:M34" si="31">100-L33</f>
        <v>16.316553713999994</v>
      </c>
      <c r="M34" s="23">
        <f t="shared" si="31"/>
        <v>16.316346583200001</v>
      </c>
    </row>
    <row r="35" spans="1:14">
      <c r="A35" s="22" t="s">
        <v>957</v>
      </c>
      <c r="B35" s="2" t="s">
        <v>110</v>
      </c>
      <c r="D35" s="95">
        <f>(D27/(D29/100))*(D28/100)*(273/293)*(2/22.4)</f>
        <v>0.17302960678040177</v>
      </c>
      <c r="E35" s="95">
        <f t="shared" ref="E35:G35" si="32">(E27/(E29/100))*(E28/100)*(0.0416)*2</f>
        <v>0.13998361292269521</v>
      </c>
      <c r="F35" s="95">
        <f t="shared" si="32"/>
        <v>0.13800401288877573</v>
      </c>
      <c r="G35" s="95">
        <f t="shared" si="32"/>
        <v>0.13737686563257417</v>
      </c>
      <c r="H35" s="95">
        <f t="shared" ref="H35:I35" si="33">(H27/(H29/100))*(H28/100)*(0.0416)*2</f>
        <v>0.1411731837294817</v>
      </c>
      <c r="I35" s="95">
        <f t="shared" si="33"/>
        <v>0.1422180719229314</v>
      </c>
      <c r="J35" s="95">
        <f t="shared" ref="J35:K35" si="34">(J27/(J29/100))*(J28/100)*(0.0416)*2</f>
        <v>0.13986348647478739</v>
      </c>
      <c r="K35" s="95">
        <f t="shared" si="34"/>
        <v>0.14288614029487245</v>
      </c>
      <c r="L35" s="95">
        <f t="shared" ref="L35:N35" si="35">(L27/(L29/100))*(L28/100)*(0.0416)*2</f>
        <v>0.17327391341987908</v>
      </c>
      <c r="M35" s="95">
        <f t="shared" si="35"/>
        <v>0.17468726834163648</v>
      </c>
      <c r="N35" s="95">
        <f t="shared" si="35"/>
        <v>0.14649239947733314</v>
      </c>
    </row>
    <row r="36" spans="1:14">
      <c r="A36" s="22" t="s">
        <v>959</v>
      </c>
      <c r="B36" s="2" t="s">
        <v>110</v>
      </c>
      <c r="D36" s="23">
        <f>(D27/(D29/100))*(D30/100)*(273/293)*(D32/22.4)</f>
        <v>2.0449553969798173</v>
      </c>
      <c r="E36" s="23">
        <f t="shared" ref="E36:G36" si="36">(E27/(E29/100))*(E30/100)*(0.0416)*(E32)</f>
        <v>2.1172603041993394</v>
      </c>
      <c r="F36" s="23">
        <f t="shared" si="36"/>
        <v>2.0135604979403867</v>
      </c>
      <c r="G36" s="23">
        <f t="shared" si="36"/>
        <v>2.0036670086884012</v>
      </c>
      <c r="H36" s="23">
        <f t="shared" ref="H36:I36" si="37">(H27/(H29/100))*(H30/100)*(0.0416)*(H32)</f>
        <v>1.972779120678855</v>
      </c>
      <c r="I36" s="23">
        <f t="shared" si="37"/>
        <v>2.0348548298696323</v>
      </c>
      <c r="J36" s="23">
        <f t="shared" ref="J36:K36" si="38">(J27/(J29/100))*(J30/100)*(0.0416)*(J32)</f>
        <v>1.9904631554264283</v>
      </c>
      <c r="K36" s="23">
        <f t="shared" si="38"/>
        <v>1.9724588469560598</v>
      </c>
      <c r="L36" s="23">
        <f t="shared" ref="L36:M36" si="39">(L27/(L29/100))*(L30/100)*(0.0416)*(L32)</f>
        <v>1.9908524207712357</v>
      </c>
      <c r="M36" s="23">
        <f t="shared" si="39"/>
        <v>1.9156458191709997</v>
      </c>
      <c r="N36" s="23"/>
    </row>
    <row r="37" spans="1:14">
      <c r="A37" s="22" t="s">
        <v>962</v>
      </c>
      <c r="B37" s="2" t="s">
        <v>110</v>
      </c>
      <c r="D37" s="23">
        <f t="shared" ref="D37:I37" si="40">(D36*D33)/($D$2)</f>
        <v>2.041921187767834</v>
      </c>
      <c r="E37" s="23">
        <f t="shared" si="40"/>
        <v>2.1075696896567737</v>
      </c>
      <c r="F37" s="23">
        <f t="shared" si="40"/>
        <v>2.0060503846313247</v>
      </c>
      <c r="G37" s="23">
        <f t="shared" si="40"/>
        <v>1.9960435043491276</v>
      </c>
      <c r="H37" s="23">
        <f t="shared" si="40"/>
        <v>1.9667852427218269</v>
      </c>
      <c r="I37" s="23">
        <f t="shared" si="40"/>
        <v>2.0286351924389989</v>
      </c>
      <c r="J37" s="23">
        <f t="shared" ref="J37:K37" si="41">(J36*J33)/($D$2)</f>
        <v>1.9844054197301939</v>
      </c>
      <c r="K37" s="23">
        <f t="shared" si="41"/>
        <v>1.9677156852290534</v>
      </c>
      <c r="L37" s="23">
        <f t="shared" ref="L37:M37" si="42">(L36*L33)/($D$2)</f>
        <v>1.987134919095453</v>
      </c>
      <c r="M37" s="23">
        <f t="shared" si="42"/>
        <v>1.9120734828345403</v>
      </c>
      <c r="N37" s="23"/>
    </row>
    <row r="38" spans="1:14">
      <c r="A38" s="22" t="s">
        <v>963</v>
      </c>
      <c r="B38" s="2" t="s">
        <v>964</v>
      </c>
      <c r="D38" s="23">
        <f>D36/D35</f>
        <v>11.818528834635481</v>
      </c>
      <c r="E38" s="23">
        <f t="shared" ref="E38:G38" si="43">(E30*E32)/(E28*2)</f>
        <v>15.125058283561939</v>
      </c>
      <c r="F38" s="23">
        <f t="shared" si="43"/>
        <v>14.590593822537718</v>
      </c>
      <c r="G38" s="23">
        <f t="shared" si="43"/>
        <v>14.585185063454391</v>
      </c>
      <c r="H38" s="23">
        <f t="shared" ref="H38:I38" si="44">(H30*H32)/(H28*2)</f>
        <v>13.974177450436519</v>
      </c>
      <c r="I38" s="23">
        <f t="shared" si="44"/>
        <v>14.307990555323585</v>
      </c>
      <c r="J38" s="23">
        <f t="shared" ref="J38:K38" si="45">(J30*J32)/(J28*2)</f>
        <v>14.231471026465801</v>
      </c>
      <c r="K38" s="23">
        <f t="shared" si="45"/>
        <v>13.804409881080973</v>
      </c>
      <c r="L38" s="23">
        <f t="shared" ref="L38:M38" si="46">(L30*L32)/(L28*2)</f>
        <v>11.489625769269621</v>
      </c>
      <c r="M38" s="23">
        <f t="shared" si="46"/>
        <v>10.966144455499553</v>
      </c>
      <c r="N38" s="23"/>
    </row>
    <row r="39" spans="1:14" s="91" customFormat="1">
      <c r="A39" s="94" t="s">
        <v>965</v>
      </c>
      <c r="B39" s="93" t="s">
        <v>89</v>
      </c>
      <c r="C39" s="93"/>
      <c r="D39" s="23" cm="1">
        <f t="array" ref="D39:N39">TRANSPOSE(_xlfn._xlws.FILTER('Raw Data'!CO2:CO505,('Raw Data'!B2:B505=2)*('Raw Data'!CO2:CO505&lt;&gt;"")))</f>
        <v>47.755909000000003</v>
      </c>
      <c r="E39" s="39">
        <v>54.669144000000003</v>
      </c>
      <c r="F39" s="39">
        <v>58.715190999999997</v>
      </c>
      <c r="G39" s="39">
        <v>58.837645999999999</v>
      </c>
      <c r="H39" s="39">
        <v>54.550499000000002</v>
      </c>
      <c r="I39" s="39">
        <v>54.661957000000001</v>
      </c>
      <c r="J39" s="39">
        <v>54.634132000000001</v>
      </c>
      <c r="K39" s="39">
        <v>50.890472000000003</v>
      </c>
      <c r="L39" s="39">
        <v>47.520659999999999</v>
      </c>
      <c r="M39" s="39">
        <v>47.628494000000003</v>
      </c>
      <c r="N39" s="39">
        <v>84.516463999999999</v>
      </c>
    </row>
    <row r="40" spans="1:14" s="91" customFormat="1">
      <c r="A40" s="94" t="s">
        <v>966</v>
      </c>
      <c r="B40" s="93" t="s">
        <v>89</v>
      </c>
      <c r="C40" s="93"/>
      <c r="D40" s="95" cm="1">
        <f t="array" ref="D40:N40">TRANSPOSE(_xlfn._xlws.FILTER('Raw Data'!CQ2:CQ506,('Raw Data'!B2:B506=2)*('Raw Data'!CQ2:CQ506&lt;&gt;"")))</f>
        <v>0.66672900000000002</v>
      </c>
      <c r="E40" s="95">
        <v>0.64852799999999999</v>
      </c>
      <c r="F40" s="95">
        <v>0.64035299999999995</v>
      </c>
      <c r="G40" s="95">
        <v>0.63129100000000005</v>
      </c>
      <c r="H40" s="95">
        <v>0.60850400000000004</v>
      </c>
      <c r="I40" s="95">
        <v>0.60803799999999997</v>
      </c>
      <c r="J40" s="95">
        <v>0.61296799999999996</v>
      </c>
      <c r="K40" s="95">
        <v>0.65030299999999996</v>
      </c>
      <c r="L40" s="95">
        <v>0.65520199999999995</v>
      </c>
      <c r="M40" s="95">
        <v>0.65551499999999996</v>
      </c>
      <c r="N40" s="95">
        <v>0.58150400000000002</v>
      </c>
    </row>
    <row r="41" spans="1:14" s="133" customFormat="1">
      <c r="A41" s="134"/>
      <c r="B41" s="131"/>
      <c r="C41" s="131" t="s">
        <v>651</v>
      </c>
      <c r="D41" s="135"/>
      <c r="E41" s="135"/>
      <c r="F41" s="135"/>
      <c r="G41" s="135"/>
      <c r="H41" s="135"/>
      <c r="I41" s="135"/>
      <c r="J41" s="135"/>
      <c r="K41" s="135"/>
      <c r="L41" s="135"/>
    </row>
    <row r="42" spans="1:14" s="2" customFormat="1" ht="18.75" customHeight="1">
      <c r="A42" s="38" t="s">
        <v>9</v>
      </c>
      <c r="B42" s="2" t="s">
        <v>8</v>
      </c>
      <c r="C42" s="95">
        <f>Reactor1!C42</f>
        <v>0.749</v>
      </c>
      <c r="D42" s="23" cm="1">
        <f t="array" ref="D42:N42">TRANSPOSE(_xlfn._xlws.FILTER('Raw Data'!BB2:BB505,('Raw Data'!B2:B505=2)*('Raw Data'!BB2:BB505&lt;&gt;"")))</f>
        <v>0</v>
      </c>
      <c r="E42" s="23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</row>
    <row r="43" spans="1:14" s="2" customFormat="1">
      <c r="A43" s="38" t="s">
        <v>10</v>
      </c>
      <c r="B43" s="2" t="s">
        <v>8</v>
      </c>
      <c r="C43" s="95">
        <f>Reactor1!C43</f>
        <v>0.79900000000000004</v>
      </c>
      <c r="D43" s="23" cm="1">
        <f t="array" ref="D43:N43">TRANSPOSE(_xlfn._xlws.FILTER('Raw Data'!BC2:BC505,('Raw Data'!B2:B505=2)*('Raw Data'!BC2:BC505&lt;&gt;"")))</f>
        <v>0</v>
      </c>
      <c r="E43" s="23">
        <v>0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</row>
    <row r="44" spans="1:14" s="2" customFormat="1">
      <c r="A44" s="38" t="s">
        <v>11</v>
      </c>
      <c r="B44" s="2" t="s">
        <v>8</v>
      </c>
      <c r="C44" s="95">
        <f>Reactor1!C44</f>
        <v>0.81699999999999995</v>
      </c>
      <c r="D44" s="23" cm="1">
        <f t="array" ref="D44:N44">TRANSPOSE(_xlfn._xlws.FILTER('Raw Data'!BD2:BD505,('Raw Data'!B2:B505=2)*('Raw Data'!BD2:BD505&lt;&gt;"")))</f>
        <v>0.96496899999999997</v>
      </c>
      <c r="E44" s="23">
        <v>2.6753930000000001</v>
      </c>
      <c r="F44" s="26">
        <v>3.8126159999999998</v>
      </c>
      <c r="G44" s="26">
        <v>3.9709560000000002</v>
      </c>
      <c r="H44" s="26">
        <v>2.8076129999999999</v>
      </c>
      <c r="I44" s="26">
        <v>2.8378109999999999</v>
      </c>
      <c r="J44" s="26">
        <v>2.82707</v>
      </c>
      <c r="K44" s="26">
        <v>1.9113180000000001</v>
      </c>
      <c r="L44" s="26">
        <v>1.160245</v>
      </c>
      <c r="M44" s="26">
        <v>1.182823</v>
      </c>
      <c r="N44" s="26">
        <v>16.925957</v>
      </c>
    </row>
    <row r="45" spans="1:14" s="2" customFormat="1">
      <c r="A45" s="38" t="s">
        <v>12</v>
      </c>
      <c r="B45" s="2" t="s">
        <v>8</v>
      </c>
      <c r="C45" s="95">
        <f>Reactor1!C45</f>
        <v>0.82599999999999996</v>
      </c>
      <c r="D45" s="23" cm="1">
        <f t="array" ref="D45:N45">TRANSPOSE(_xlfn._xlws.FILTER('Raw Data'!BE2:BE505,('Raw Data'!B2:B505=2)*('Raw Data'!BE2:BE505&lt;&gt;"")))</f>
        <v>2.1318109999999999</v>
      </c>
      <c r="E45" s="23">
        <v>2.7982990000000001</v>
      </c>
      <c r="F45" s="26">
        <v>3.1641270000000001</v>
      </c>
      <c r="G45" s="26">
        <v>3.1899069999999998</v>
      </c>
      <c r="H45" s="26">
        <v>2.8409110000000002</v>
      </c>
      <c r="I45" s="26">
        <v>2.8482590000000001</v>
      </c>
      <c r="J45" s="26">
        <v>2.8394309999999998</v>
      </c>
      <c r="K45" s="26">
        <v>2.4961319999999998</v>
      </c>
      <c r="L45" s="26">
        <v>2.1920299999999999</v>
      </c>
      <c r="M45" s="26">
        <v>2.20309</v>
      </c>
      <c r="N45" s="26">
        <v>5.6203640000000004</v>
      </c>
    </row>
    <row r="46" spans="1:14" s="2" customFormat="1">
      <c r="A46" s="38" t="s">
        <v>13</v>
      </c>
      <c r="B46" s="2" t="s">
        <v>8</v>
      </c>
      <c r="C46" s="95">
        <f>Reactor1!C46</f>
        <v>0.82599999999999996</v>
      </c>
      <c r="D46" s="23" cm="1">
        <f t="array" ref="D46:N46">TRANSPOSE(_xlfn._xlws.FILTER('Raw Data'!BF2:BF505,('Raw Data'!B2:B505=2)*('Raw Data'!BF2:BF505&lt;&gt;"")))</f>
        <v>2.8010999999999999</v>
      </c>
      <c r="E46" s="23">
        <v>6.2163409999999999</v>
      </c>
      <c r="F46" s="26">
        <v>8.3101149999999997</v>
      </c>
      <c r="G46" s="26">
        <v>8.5769760000000002</v>
      </c>
      <c r="H46" s="26">
        <v>6.5387839999999997</v>
      </c>
      <c r="I46" s="26">
        <v>6.5954699999999997</v>
      </c>
      <c r="J46" s="26">
        <v>6.5719630000000002</v>
      </c>
      <c r="K46" s="26">
        <v>4.8176569999999996</v>
      </c>
      <c r="L46" s="26">
        <v>3.215246</v>
      </c>
      <c r="M46" s="26">
        <v>3.268278</v>
      </c>
      <c r="N46" s="26">
        <v>30.401775000000001</v>
      </c>
    </row>
    <row r="47" spans="1:14" s="2" customFormat="1">
      <c r="A47" s="38" t="s">
        <v>14</v>
      </c>
      <c r="B47" s="2" t="s">
        <v>8</v>
      </c>
      <c r="C47" s="95">
        <f>Reactor1!C47</f>
        <v>0.83299999999999996</v>
      </c>
      <c r="D47" s="23" cm="1">
        <f t="array" ref="D47:N47">TRANSPOSE(_xlfn._xlws.FILTER('Raw Data'!BG2:BG505,('Raw Data'!B2:B505=2)*('Raw Data'!BG2:BG505&lt;&gt;"")))</f>
        <v>12.247928999999999</v>
      </c>
      <c r="E47" s="23">
        <v>12.047641</v>
      </c>
      <c r="F47" s="26">
        <v>12.630979999999999</v>
      </c>
      <c r="G47" s="26">
        <v>12.652089999999999</v>
      </c>
      <c r="H47" s="26">
        <v>12.674299</v>
      </c>
      <c r="I47" s="26">
        <v>12.680899999999999</v>
      </c>
      <c r="J47" s="26">
        <v>12.684281</v>
      </c>
      <c r="K47" s="26">
        <v>12.689608</v>
      </c>
      <c r="L47" s="26">
        <v>12.742856</v>
      </c>
      <c r="M47" s="26">
        <v>12.750721</v>
      </c>
      <c r="N47" s="26">
        <v>8.5938780000000001</v>
      </c>
    </row>
    <row r="48" spans="1:14" s="2" customFormat="1">
      <c r="A48" s="38" t="s">
        <v>15</v>
      </c>
      <c r="B48" s="2" t="s">
        <v>8</v>
      </c>
      <c r="C48" s="95">
        <f>Reactor1!C48</f>
        <v>0.83299999999999996</v>
      </c>
      <c r="D48" s="23" cm="1">
        <f t="array" ref="D48:N48">TRANSPOSE(_xlfn._xlws.FILTER('Raw Data'!BH2:BH505,('Raw Data'!B2:B505=2)*('Raw Data'!BH2:BH505&lt;&gt;"")))</f>
        <v>8.2972959999999993</v>
      </c>
      <c r="E48" s="23">
        <v>9.1805029999999999</v>
      </c>
      <c r="F48" s="26">
        <v>9.8450319999999998</v>
      </c>
      <c r="G48" s="26">
        <v>9.8691359999999992</v>
      </c>
      <c r="H48" s="26">
        <v>9.3611409999999999</v>
      </c>
      <c r="I48" s="26">
        <v>9.3730849999999997</v>
      </c>
      <c r="J48" s="26">
        <v>9.3640150000000002</v>
      </c>
      <c r="K48" s="26">
        <v>8.8782010000000007</v>
      </c>
      <c r="L48" s="26">
        <v>8.4437130000000007</v>
      </c>
      <c r="M48" s="26">
        <v>8.4645010000000003</v>
      </c>
      <c r="N48" s="26">
        <v>10.10393</v>
      </c>
    </row>
    <row r="49" spans="1:14" s="2" customFormat="1">
      <c r="A49" s="38" t="s">
        <v>16</v>
      </c>
      <c r="B49" s="2" t="s">
        <v>8</v>
      </c>
      <c r="C49" s="95">
        <f>Reactor1!C49</f>
        <v>0.85699999999999998</v>
      </c>
      <c r="D49" s="23" cm="1">
        <f t="array" ref="D49:N49">TRANSPOSE(_xlfn._xlws.FILTER('Raw Data'!BI2:BI505,('Raw Data'!B2:B505=2)*('Raw Data'!BI2:BI505&lt;&gt;"")))</f>
        <v>0</v>
      </c>
      <c r="E49" s="23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</row>
    <row r="50" spans="1:14" s="2" customFormat="1">
      <c r="A50" s="38" t="s">
        <v>17</v>
      </c>
      <c r="B50" s="2" t="s">
        <v>8</v>
      </c>
      <c r="C50" s="95">
        <f>Reactor1!C50</f>
        <v>0.83699999999999997</v>
      </c>
      <c r="D50" s="23" cm="1">
        <f t="array" ref="D50:N50">TRANSPOSE(_xlfn._xlws.FILTER('Raw Data'!BJ2:BJ505,('Raw Data'!B2:B505=2)*('Raw Data'!BJ2:BJ505&lt;&gt;"")))</f>
        <v>15.944094</v>
      </c>
      <c r="E50" s="23">
        <v>14.330909999999999</v>
      </c>
      <c r="F50" s="26">
        <v>15.327868</v>
      </c>
      <c r="G50" s="26">
        <v>15.449664</v>
      </c>
      <c r="H50" s="26">
        <v>16.159931</v>
      </c>
      <c r="I50" s="26">
        <v>16.144863000000001</v>
      </c>
      <c r="J50" s="26">
        <v>16.188631000000001</v>
      </c>
      <c r="K50" s="26">
        <v>16.714818999999999</v>
      </c>
      <c r="L50" s="26">
        <v>17.141283000000001</v>
      </c>
      <c r="M50" s="26">
        <v>17.114015999999999</v>
      </c>
      <c r="N50" s="26">
        <v>8.8115659999999991</v>
      </c>
    </row>
    <row r="51" spans="1:14" s="2" customFormat="1">
      <c r="A51" s="38" t="s">
        <v>18</v>
      </c>
      <c r="B51" s="2" t="s">
        <v>8</v>
      </c>
      <c r="C51" s="95">
        <f>Reactor1!C51</f>
        <v>0.83699999999999997</v>
      </c>
      <c r="D51" s="23" cm="1">
        <f t="array" ref="D51:N51">TRANSPOSE(_xlfn._xlws.FILTER('Raw Data'!BK2:BK505,('Raw Data'!B2:B505=2)*('Raw Data'!BK2:BK505&lt;&gt;"")))</f>
        <v>7.9538500000000001</v>
      </c>
      <c r="E51" s="23">
        <v>8.0653760000000005</v>
      </c>
      <c r="F51" s="26">
        <v>8.0754479999999997</v>
      </c>
      <c r="G51" s="26">
        <v>7.9751510000000003</v>
      </c>
      <c r="H51" s="26">
        <v>7.8132630000000001</v>
      </c>
      <c r="I51" s="26">
        <v>7.8139269999999996</v>
      </c>
      <c r="J51" s="26">
        <v>7.8242620000000001</v>
      </c>
      <c r="K51" s="26">
        <v>7.7590779999999997</v>
      </c>
      <c r="L51" s="26">
        <v>7.8091340000000002</v>
      </c>
      <c r="M51" s="26">
        <v>7.8035600000000001</v>
      </c>
      <c r="N51" s="26">
        <v>6.4284660000000002</v>
      </c>
    </row>
    <row r="52" spans="1:14" s="2" customFormat="1">
      <c r="A52" s="38" t="s">
        <v>19</v>
      </c>
      <c r="B52" s="2" t="s">
        <v>8</v>
      </c>
      <c r="C52" s="95">
        <f>Reactor1!C52</f>
        <v>0.83699999999999997</v>
      </c>
      <c r="D52" s="23" cm="1">
        <f t="array" ref="D52:N52">TRANSPOSE(_xlfn._xlws.FILTER('Raw Data'!BL2:BL505,('Raw Data'!B2:B505=2)*('Raw Data'!BL2:BL505&lt;&gt;"")))</f>
        <v>4.2854809999999999</v>
      </c>
      <c r="E52" s="23">
        <v>4.715255</v>
      </c>
      <c r="F52" s="26">
        <v>4.7408130000000002</v>
      </c>
      <c r="G52" s="26">
        <v>4.6644209999999999</v>
      </c>
      <c r="H52" s="26">
        <v>4.4305349999999999</v>
      </c>
      <c r="I52" s="26">
        <v>4.4339019999999998</v>
      </c>
      <c r="J52" s="26">
        <v>4.4407170000000002</v>
      </c>
      <c r="K52" s="26">
        <v>4.2482410000000002</v>
      </c>
      <c r="L52" s="26">
        <v>4.0745449999999996</v>
      </c>
      <c r="M52" s="26">
        <v>4.0762020000000003</v>
      </c>
      <c r="N52" s="26">
        <v>3.864878</v>
      </c>
    </row>
    <row r="53" spans="1:14" s="2" customFormat="1">
      <c r="A53" s="38" t="s">
        <v>20</v>
      </c>
      <c r="B53" s="2" t="s">
        <v>8</v>
      </c>
      <c r="C53" s="95">
        <f>Reactor1!C53</f>
        <v>0.83699999999999997</v>
      </c>
      <c r="D53" s="23" cm="1">
        <f t="array" ref="D53:N53">TRANSPOSE(_xlfn._xlws.FILTER('Raw Data'!BM2:BM505,('Raw Data'!B2:B505=2)*('Raw Data'!BM2:BM505&lt;&gt;"")))</f>
        <v>1.14805</v>
      </c>
      <c r="E53" s="23">
        <v>1.620711</v>
      </c>
      <c r="F53" s="26">
        <v>1.9253039999999999</v>
      </c>
      <c r="G53" s="26">
        <v>1.963517</v>
      </c>
      <c r="H53" s="26">
        <v>1.7321899999999999</v>
      </c>
      <c r="I53" s="26">
        <v>1.7403679999999999</v>
      </c>
      <c r="J53" s="26">
        <v>1.7453799999999999</v>
      </c>
      <c r="K53" s="26">
        <v>1.516445</v>
      </c>
      <c r="L53" s="26">
        <v>1.2588859999999999</v>
      </c>
      <c r="M53" s="26">
        <v>1.265523</v>
      </c>
      <c r="N53" s="26">
        <v>0</v>
      </c>
    </row>
    <row r="54" spans="1:14" s="2" customFormat="1">
      <c r="A54" s="38" t="s">
        <v>75</v>
      </c>
      <c r="B54" s="2" t="s">
        <v>8</v>
      </c>
      <c r="C54" s="95">
        <f>Reactor1!C54</f>
        <v>0.83699999999999997</v>
      </c>
      <c r="D54" s="23" cm="1">
        <f t="array" ref="D54:N54">TRANSPOSE(_xlfn._xlws.FILTER('Raw Data'!BN2:BN505,('Raw Data'!B2:B505=2)*('Raw Data'!BN2:BN505&lt;&gt;"")))</f>
        <v>0.12595100000000001</v>
      </c>
      <c r="E54" s="23">
        <v>0.25745600000000002</v>
      </c>
      <c r="F54" s="26">
        <v>0.2029</v>
      </c>
      <c r="G54" s="26">
        <v>0.17685999999999999</v>
      </c>
      <c r="H54" s="26">
        <v>0.122751</v>
      </c>
      <c r="I54" s="26">
        <v>0.12395299999999999</v>
      </c>
      <c r="J54" s="26">
        <v>0.12431399999999999</v>
      </c>
      <c r="K54" s="26">
        <v>8.4598000000000007E-2</v>
      </c>
      <c r="L54" s="26">
        <v>5.4171999999999998E-2</v>
      </c>
      <c r="M54" s="26">
        <v>5.4876000000000001E-2</v>
      </c>
      <c r="N54" s="26">
        <v>0</v>
      </c>
    </row>
    <row r="55" spans="1:14" s="2" customFormat="1">
      <c r="A55" s="38" t="s">
        <v>22</v>
      </c>
      <c r="B55" s="2" t="s">
        <v>8</v>
      </c>
      <c r="C55" s="95">
        <f>Reactor1!C55</f>
        <v>0.85699999999999998</v>
      </c>
      <c r="D55" s="23" cm="1">
        <f t="array" ref="D55:N55">TRANSPOSE(_xlfn._xlws.FILTER('Raw Data'!BO2:BO505,('Raw Data'!B2:B505=2)*('Raw Data'!BO2:BO505&lt;&gt;"")))</f>
        <v>0.34955599999999998</v>
      </c>
      <c r="E55" s="23">
        <v>0.32272499999999998</v>
      </c>
      <c r="F55" s="26">
        <v>0.36350700000000002</v>
      </c>
      <c r="G55" s="26">
        <v>0.372556</v>
      </c>
      <c r="H55" s="26">
        <v>0.38737199999999999</v>
      </c>
      <c r="I55" s="26">
        <v>0.38784299999999999</v>
      </c>
      <c r="J55" s="26">
        <v>0.38812400000000002</v>
      </c>
      <c r="K55" s="26">
        <v>0.39451900000000001</v>
      </c>
      <c r="L55" s="26">
        <v>0.38913300000000001</v>
      </c>
      <c r="M55" s="26">
        <v>0.38888499999999998</v>
      </c>
      <c r="N55" s="26">
        <v>0</v>
      </c>
    </row>
    <row r="56" spans="1:14" s="2" customFormat="1">
      <c r="A56" s="38" t="s">
        <v>23</v>
      </c>
      <c r="B56" s="2" t="s">
        <v>8</v>
      </c>
      <c r="C56" s="95">
        <f>Reactor1!C56</f>
        <v>0.85699999999999998</v>
      </c>
      <c r="D56" s="23" cm="1">
        <f t="array" ref="D56:N56">TRANSPOSE(_xlfn._xlws.FILTER('Raw Data'!BP2:BP506,('Raw Data'!B2:B506=2)*('Raw Data'!BP2:BP506&lt;&gt;"")))</f>
        <v>0.66688899999999995</v>
      </c>
      <c r="E56" s="23">
        <v>0.65449500000000005</v>
      </c>
      <c r="F56" s="26">
        <v>0.64879500000000001</v>
      </c>
      <c r="G56" s="26">
        <v>0.63639999999999997</v>
      </c>
      <c r="H56" s="26">
        <v>0.63292000000000004</v>
      </c>
      <c r="I56" s="26">
        <v>0.63315900000000003</v>
      </c>
      <c r="J56" s="26">
        <v>0.632552</v>
      </c>
      <c r="K56" s="26">
        <v>0.634293</v>
      </c>
      <c r="L56" s="26">
        <v>0.644154</v>
      </c>
      <c r="M56" s="26">
        <v>0.64291100000000001</v>
      </c>
      <c r="N56" s="26">
        <v>0</v>
      </c>
    </row>
    <row r="57" spans="1:14" s="2" customFormat="1">
      <c r="A57" s="38" t="s">
        <v>24</v>
      </c>
      <c r="B57" s="2" t="s">
        <v>8</v>
      </c>
      <c r="C57" s="95">
        <f>Reactor1!C57</f>
        <v>0.92300000000000004</v>
      </c>
      <c r="D57" s="23" cm="1">
        <f t="array" ref="D57:N57">TRANSPOSE(_xlfn._xlws.FILTER('Raw Data'!BQ2:BQ505,('Raw Data'!B2:B505=2)*('Raw Data'!BQ2:BQ505&lt;&gt;"")))</f>
        <v>0</v>
      </c>
      <c r="E57" s="23">
        <v>0</v>
      </c>
      <c r="F57" s="26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</row>
    <row r="58" spans="1:14">
      <c r="A58" s="38" t="s">
        <v>25</v>
      </c>
      <c r="B58" s="2" t="s">
        <v>8</v>
      </c>
      <c r="C58" s="95">
        <f>Reactor1!C58</f>
        <v>0.83899999999999997</v>
      </c>
      <c r="D58" s="23" cm="1">
        <f t="array" ref="D58:N58">TRANSPOSE(_xlfn._xlws.FILTER('Raw Data'!BR2:BR505,('Raw Data'!B2:B505=2)*('Raw Data'!BR2:BR505&lt;&gt;"")))</f>
        <v>11.79993</v>
      </c>
      <c r="E58" s="23">
        <v>8.5096889999999998</v>
      </c>
      <c r="F58" s="26">
        <v>9.5622849999999993</v>
      </c>
      <c r="G58" s="26">
        <v>9.8752259999999996</v>
      </c>
      <c r="H58" s="26">
        <v>11.542631</v>
      </c>
      <c r="I58" s="26">
        <v>11.513144</v>
      </c>
      <c r="J58" s="26">
        <v>11.52045</v>
      </c>
      <c r="K58" s="26">
        <v>12.888361</v>
      </c>
      <c r="L58" s="26">
        <v>13.995964000000001</v>
      </c>
      <c r="M58" s="26">
        <v>13.959902</v>
      </c>
      <c r="N58" s="26">
        <v>4.2079069999999996</v>
      </c>
    </row>
    <row r="59" spans="1:14">
      <c r="A59" s="38" t="s">
        <v>26</v>
      </c>
      <c r="B59" s="2" t="s">
        <v>8</v>
      </c>
      <c r="C59" s="95">
        <f>Reactor1!C59</f>
        <v>0.83899999999999997</v>
      </c>
      <c r="D59" s="23" cm="1">
        <f t="array" ref="D59:N59">TRANSPOSE(_xlfn._xlws.FILTER('Raw Data'!BS2:BS505,('Raw Data'!B2:B505=2)*('Raw Data'!BS2:BS505&lt;&gt;"")))</f>
        <v>14.601998999999999</v>
      </c>
      <c r="E59" s="23">
        <v>13.338917</v>
      </c>
      <c r="F59" s="26">
        <v>11.803224999999999</v>
      </c>
      <c r="G59" s="26">
        <v>11.238345000000001</v>
      </c>
      <c r="H59" s="26">
        <v>11.885299</v>
      </c>
      <c r="I59" s="26">
        <v>11.850049</v>
      </c>
      <c r="J59" s="26">
        <v>11.858104000000001</v>
      </c>
      <c r="K59" s="26">
        <v>12.292310000000001</v>
      </c>
      <c r="L59" s="26">
        <v>12.719106999999999</v>
      </c>
      <c r="M59" s="26">
        <v>12.702546999999999</v>
      </c>
      <c r="N59" s="26">
        <v>5.041277</v>
      </c>
    </row>
    <row r="60" spans="1:14">
      <c r="A60" s="38" t="s">
        <v>27</v>
      </c>
      <c r="B60" s="2" t="s">
        <v>8</v>
      </c>
      <c r="C60" s="95">
        <f>Reactor1!C60</f>
        <v>0.83899999999999997</v>
      </c>
      <c r="D60" s="23" cm="1">
        <f t="array" ref="D60:N60">TRANSPOSE(_xlfn._xlws.FILTER('Raw Data'!BT2:BT505,('Raw Data'!B2:B505=2)*('Raw Data'!BT2:BT505&lt;&gt;"")))</f>
        <v>2.7172719999999999</v>
      </c>
      <c r="E60" s="23">
        <v>3.1507830000000001</v>
      </c>
      <c r="F60" s="26">
        <v>3.44794</v>
      </c>
      <c r="G60" s="26">
        <v>3.3088630000000001</v>
      </c>
      <c r="H60" s="26">
        <v>3.2984810000000002</v>
      </c>
      <c r="I60" s="26">
        <v>3.2992050000000002</v>
      </c>
      <c r="J60" s="26">
        <v>3.308141</v>
      </c>
      <c r="K60" s="26">
        <v>3.163306</v>
      </c>
      <c r="L60" s="26">
        <v>2.8188360000000001</v>
      </c>
      <c r="M60" s="26">
        <v>2.8273519999999999</v>
      </c>
      <c r="N60" s="26">
        <v>0</v>
      </c>
    </row>
    <row r="61" spans="1:14">
      <c r="A61" s="38" t="s">
        <v>28</v>
      </c>
      <c r="B61" s="2" t="s">
        <v>8</v>
      </c>
      <c r="C61" s="95">
        <f>Reactor1!C61</f>
        <v>0.85619999999999996</v>
      </c>
      <c r="D61" s="23" cm="1">
        <f t="array" ref="D61:N61">TRANSPOSE(_xlfn._xlws.FILTER('Raw Data'!BU2:BU505,('Raw Data'!B2:B505=2)*('Raw Data'!BU2:BU505&lt;&gt;"")))</f>
        <v>1.1207260000000001</v>
      </c>
      <c r="E61" s="23">
        <v>1.0504070000000001</v>
      </c>
      <c r="F61" s="26">
        <v>1.0703549999999999</v>
      </c>
      <c r="G61" s="26">
        <v>1.0660780000000001</v>
      </c>
      <c r="H61" s="26">
        <v>1.0871459999999999</v>
      </c>
      <c r="I61" s="26">
        <v>1.0950899999999999</v>
      </c>
      <c r="J61" s="26">
        <v>1.0850660000000001</v>
      </c>
      <c r="K61" s="26">
        <v>1.1093569999999999</v>
      </c>
      <c r="L61" s="26">
        <v>1.1111249999999999</v>
      </c>
      <c r="M61" s="26">
        <v>1.1123510000000001</v>
      </c>
      <c r="N61" s="26">
        <v>0</v>
      </c>
    </row>
    <row r="62" spans="1:14">
      <c r="A62" s="38" t="s">
        <v>29</v>
      </c>
      <c r="B62" s="2" t="s">
        <v>8</v>
      </c>
      <c r="C62" s="95">
        <f>Reactor1!C62</f>
        <v>0.91300000000000003</v>
      </c>
      <c r="D62" s="23" cm="1">
        <f t="array" ref="D62:N62">TRANSPOSE(_xlfn._xlws.FILTER('Raw Data'!BV2:BV505,('Raw Data'!B2:B505=2)*('Raw Data'!BV2:BV505&lt;&gt;"")))</f>
        <v>0</v>
      </c>
      <c r="E62" s="23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</row>
    <row r="63" spans="1:14">
      <c r="A63" s="38" t="s">
        <v>30</v>
      </c>
      <c r="B63" s="2" t="s">
        <v>8</v>
      </c>
      <c r="C63" s="95">
        <f>Reactor1!C63</f>
        <v>0.84099999999999997</v>
      </c>
      <c r="D63" s="23" cm="1">
        <f t="array" ref="D63:N63">TRANSPOSE(_xlfn._xlws.FILTER('Raw Data'!BW2:BW505,('Raw Data'!B2:B505=2)*('Raw Data'!BW2:BW505&lt;&gt;"")))</f>
        <v>9.7499680000000009</v>
      </c>
      <c r="E63" s="23">
        <v>5.6656649999999997</v>
      </c>
      <c r="F63" s="26">
        <v>4.1319790000000003</v>
      </c>
      <c r="G63" s="26">
        <v>3.9535659999999999</v>
      </c>
      <c r="H63" s="26">
        <v>5.7072900000000004</v>
      </c>
      <c r="I63" s="26">
        <v>5.6311369999999998</v>
      </c>
      <c r="J63" s="26">
        <v>5.6248889999999996</v>
      </c>
      <c r="K63" s="26">
        <v>7.442234</v>
      </c>
      <c r="L63" s="26">
        <v>9.3043399999999998</v>
      </c>
      <c r="M63" s="26">
        <v>9.2595189999999992</v>
      </c>
      <c r="N63" s="26">
        <v>0</v>
      </c>
    </row>
    <row r="64" spans="1:14">
      <c r="A64" s="22" t="s">
        <v>636</v>
      </c>
      <c r="B64" s="2" t="s">
        <v>8</v>
      </c>
      <c r="C64" s="95">
        <f>Reactor1!C64</f>
        <v>0.85629999999999995</v>
      </c>
      <c r="D64" s="23" cm="1">
        <f t="array" ref="D64:N64">TRANSPOSE(_xlfn._xlws.FILTER('Raw Data'!BX2:BX505,('Raw Data'!B2:B505=2)*('Raw Data'!BX2:BX505&lt;&gt;"")))</f>
        <v>0.93377699999999997</v>
      </c>
      <c r="E64" s="23">
        <v>0.82028299999999998</v>
      </c>
      <c r="F64" s="26">
        <v>0.73956900000000003</v>
      </c>
      <c r="G64" s="26">
        <v>0.73706899999999997</v>
      </c>
      <c r="H64" s="26">
        <v>0.73971699999999996</v>
      </c>
      <c r="I64" s="26">
        <v>0.73624900000000004</v>
      </c>
      <c r="J64" s="26">
        <v>0.73759799999999998</v>
      </c>
      <c r="K64" s="26">
        <v>0.71564700000000003</v>
      </c>
      <c r="L64" s="26">
        <v>0.67574400000000001</v>
      </c>
      <c r="M64" s="26">
        <v>0.67776999999999998</v>
      </c>
      <c r="N64" s="26">
        <v>0</v>
      </c>
    </row>
    <row r="65" spans="1:14">
      <c r="A65" s="22" t="s">
        <v>637</v>
      </c>
      <c r="B65" s="2" t="s">
        <v>8</v>
      </c>
      <c r="C65" s="95">
        <f>Reactor1!C65</f>
        <v>0.90600000000000003</v>
      </c>
      <c r="D65" s="23" cm="1">
        <f t="array" ref="D65:N65">TRANSPOSE(_xlfn._xlws.FILTER('Raw Data'!BY2:BY505,('Raw Data'!B2:B505=2)*('Raw Data'!BY2:BY505&lt;&gt;"")))</f>
        <v>0</v>
      </c>
      <c r="E65" s="23">
        <v>0</v>
      </c>
      <c r="F65" s="26">
        <v>0</v>
      </c>
      <c r="G65" s="26">
        <v>0</v>
      </c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</row>
    <row r="66" spans="1:14">
      <c r="A66" s="22" t="s">
        <v>638</v>
      </c>
      <c r="B66" s="2" t="s">
        <v>8</v>
      </c>
      <c r="C66" s="95">
        <f>Reactor1!C66</f>
        <v>0.84299999999999997</v>
      </c>
      <c r="D66" s="23" cm="1">
        <f t="array" ref="D66:N66">TRANSPOSE(_xlfn._xlws.FILTER('Raw Data'!BZ2:BZ505,('Raw Data'!B2:B505=2)*('Raw Data'!BZ2:BZ505&lt;&gt;"")))</f>
        <v>0.11980399999999999</v>
      </c>
      <c r="E66" s="23">
        <v>8.9526999999999995E-2</v>
      </c>
      <c r="F66" s="26">
        <v>8.8965000000000002E-2</v>
      </c>
      <c r="G66" s="26">
        <v>8.9923000000000003E-2</v>
      </c>
      <c r="H66" s="26">
        <v>9.2547000000000004E-2</v>
      </c>
      <c r="I66" s="26">
        <v>9.2573000000000003E-2</v>
      </c>
      <c r="J66" s="26">
        <v>9.3062000000000006E-2</v>
      </c>
      <c r="K66" s="26">
        <v>9.6514000000000003E-2</v>
      </c>
      <c r="L66" s="26">
        <v>0.102768</v>
      </c>
      <c r="M66" s="26">
        <v>0.10370600000000001</v>
      </c>
      <c r="N66" s="26">
        <v>0</v>
      </c>
    </row>
    <row r="67" spans="1:14">
      <c r="A67" s="22" t="s">
        <v>639</v>
      </c>
      <c r="B67" s="2" t="s">
        <v>8</v>
      </c>
      <c r="C67" s="95">
        <f>Reactor1!C67</f>
        <v>0.85699999999999998</v>
      </c>
      <c r="D67" s="23" cm="1">
        <f t="array" ref="D67:N67">TRANSPOSE(_xlfn._xlws.FILTER('Raw Data'!CA2:CA505,('Raw Data'!B2:B505=2)*('Raw Data'!CA2:CA505&lt;&gt;"")))</f>
        <v>1.2434000000000001E-2</v>
      </c>
      <c r="E67" s="23">
        <v>1.928E-3</v>
      </c>
      <c r="F67" s="26">
        <v>0</v>
      </c>
      <c r="G67" s="26">
        <v>0</v>
      </c>
      <c r="H67" s="26">
        <v>2.0969999999999999E-3</v>
      </c>
      <c r="I67" s="26">
        <v>1.825E-3</v>
      </c>
      <c r="J67" s="26">
        <v>1.4989999999999999E-3</v>
      </c>
      <c r="K67" s="26">
        <v>3.447E-3</v>
      </c>
      <c r="L67" s="26">
        <v>6.1240000000000001E-3</v>
      </c>
      <c r="M67" s="26">
        <v>7.6270000000000001E-3</v>
      </c>
      <c r="N67" s="26">
        <v>0</v>
      </c>
    </row>
    <row r="68" spans="1:14">
      <c r="A68" s="22" t="s">
        <v>640</v>
      </c>
      <c r="B68" s="2" t="s">
        <v>8</v>
      </c>
      <c r="C68" s="95">
        <f>Reactor1!C68</f>
        <v>0.9</v>
      </c>
      <c r="D68" s="23" cm="1">
        <f t="array" ref="D68:N68">TRANSPOSE(_xlfn._xlws.FILTER('Raw Data'!CB2:CB505,('Raw Data'!B2:B505=2)*('Raw Data'!CB2:CB505&lt;&gt;"")))</f>
        <v>0</v>
      </c>
      <c r="E68" s="23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</row>
    <row r="69" spans="1:14">
      <c r="A69" s="22" t="s">
        <v>641</v>
      </c>
      <c r="B69" s="2" t="s">
        <v>8</v>
      </c>
      <c r="C69" s="95">
        <f>Reactor1!C69</f>
        <v>0.84399999999999997</v>
      </c>
      <c r="D69" s="23" cm="1">
        <f t="array" ref="D69:N69">TRANSPOSE(_xlfn._xlws.FILTER('Raw Data'!CC2:CC505,('Raw Data'!B2:B505=2)*('Raw Data'!CC2:CC505&lt;&gt;"")))</f>
        <v>0</v>
      </c>
      <c r="E69" s="23">
        <v>0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</row>
    <row r="70" spans="1:14">
      <c r="A70" s="22" t="s">
        <v>642</v>
      </c>
      <c r="B70" s="2" t="s">
        <v>8</v>
      </c>
      <c r="C70" s="95">
        <f>Reactor1!C70</f>
        <v>0.85709999999999997</v>
      </c>
      <c r="D70" s="23" cm="1">
        <f t="array" ref="D70:N70">TRANSPOSE(_xlfn._xlws.FILTER('Raw Data'!CD2:CD505,('Raw Data'!B2:B505=2)*('Raw Data'!CD2:CD505&lt;&gt;"")))</f>
        <v>8.7180000000000001E-3</v>
      </c>
      <c r="E70" s="23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N70" s="26">
        <v>0</v>
      </c>
    </row>
    <row r="71" spans="1:14">
      <c r="A71" s="22" t="s">
        <v>643</v>
      </c>
      <c r="B71" s="2" t="s">
        <v>8</v>
      </c>
      <c r="C71" s="95">
        <f>Reactor1!C71</f>
        <v>0.89600000000000002</v>
      </c>
      <c r="D71" s="23" cm="1">
        <f t="array" ref="D71:N71">TRANSPOSE(_xlfn._xlws.FILTER('Raw Data'!CE2:CE505,('Raw Data'!B2:B505=2)*('Raw Data'!CE2:CE505&lt;&gt;"")))</f>
        <v>0</v>
      </c>
      <c r="E71" s="23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</row>
    <row r="72" spans="1:14">
      <c r="A72" s="22" t="s">
        <v>76</v>
      </c>
      <c r="B72" s="2" t="s">
        <v>8</v>
      </c>
      <c r="C72" s="95">
        <f>Reactor1!C72</f>
        <v>0.79</v>
      </c>
      <c r="D72" s="23" cm="1">
        <f t="array" ref="D72:N72">TRANSPOSE(_xlfn._xlws.FILTER('Raw Data'!CF2:CF505,('Raw Data'!B2:B505=2)*('Raw Data'!CF2:CF505&lt;&gt;"")))</f>
        <v>2.7466000000000001E-2</v>
      </c>
      <c r="E72" s="23">
        <v>2.9753000000000002E-2</v>
      </c>
      <c r="F72" s="26">
        <v>1.8758E-2</v>
      </c>
      <c r="G72" s="26">
        <v>1.7981E-2</v>
      </c>
      <c r="H72" s="26">
        <v>1.388E-2</v>
      </c>
      <c r="I72" s="26">
        <v>1.3565000000000001E-2</v>
      </c>
      <c r="J72" s="26">
        <v>1.3091999999999999E-2</v>
      </c>
      <c r="K72" s="26">
        <v>8.7410000000000005E-3</v>
      </c>
      <c r="L72" s="26">
        <v>8.0920000000000002E-3</v>
      </c>
      <c r="M72" s="26">
        <v>8.0309999999999999E-3</v>
      </c>
      <c r="N72" s="26">
        <v>0</v>
      </c>
    </row>
    <row r="73" spans="1:14">
      <c r="A73" s="22" t="s">
        <v>77</v>
      </c>
      <c r="B73" s="2" t="s">
        <v>8</v>
      </c>
      <c r="C73" s="95">
        <f>Reactor1!C73</f>
        <v>0.83</v>
      </c>
      <c r="D73" s="23" cm="1">
        <f t="array" ref="D73:N73">TRANSPOSE(_xlfn._xlws.FILTER('Raw Data'!CG2:CG505,('Raw Data'!B2:B505=2)*('Raw Data'!CG2:CG505&lt;&gt;"")))</f>
        <v>0</v>
      </c>
      <c r="E73" s="23">
        <v>0</v>
      </c>
      <c r="F73" s="26">
        <v>0</v>
      </c>
      <c r="G73" s="26">
        <v>0</v>
      </c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</row>
    <row r="74" spans="1:14">
      <c r="A74" s="22" t="s">
        <v>78</v>
      </c>
      <c r="B74" s="2" t="s">
        <v>8</v>
      </c>
      <c r="C74" s="95">
        <f>Reactor1!C74</f>
        <v>0.83499999999999996</v>
      </c>
      <c r="D74" s="23" cm="1">
        <f t="array" ref="D74:N74">TRANSPOSE(_xlfn._xlws.FILTER('Raw Data'!CH2:CH505,('Raw Data'!B2:B505=2)*('Raw Data'!CH2:CH505&lt;&gt;"")))</f>
        <v>0</v>
      </c>
      <c r="E74" s="23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</row>
    <row r="75" spans="1:14">
      <c r="A75" s="22" t="s">
        <v>79</v>
      </c>
      <c r="B75" s="2" t="s">
        <v>8</v>
      </c>
      <c r="C75" s="95">
        <f>Reactor1!C75</f>
        <v>0.83860000000000001</v>
      </c>
      <c r="D75" s="23" cm="1">
        <f t="array" ref="D75:N75">TRANSPOSE(_xlfn._xlws.FILTER('Raw Data'!CI2:CI505,('Raw Data'!B2:B505=2)*('Raw Data'!CI2:CI505&lt;&gt;"")))</f>
        <v>0.65412599999999999</v>
      </c>
      <c r="E75" s="23">
        <v>4.731E-3</v>
      </c>
      <c r="F75" s="26">
        <v>0</v>
      </c>
      <c r="G75" s="26">
        <v>0</v>
      </c>
      <c r="H75" s="26">
        <v>0</v>
      </c>
      <c r="I75" s="26">
        <v>4.6690000000000004E-3</v>
      </c>
      <c r="J75" s="26">
        <v>0</v>
      </c>
      <c r="K75" s="26">
        <v>6.1469999999999997E-3</v>
      </c>
      <c r="L75" s="26">
        <v>7.1240000000000001E-3</v>
      </c>
      <c r="M75" s="26">
        <v>6.2119999999999996E-3</v>
      </c>
      <c r="N75" s="26">
        <v>0</v>
      </c>
    </row>
    <row r="76" spans="1:14">
      <c r="A76" s="22" t="s">
        <v>80</v>
      </c>
      <c r="B76" s="2" t="s">
        <v>8</v>
      </c>
      <c r="C76" s="95">
        <f>Reactor1!C76</f>
        <v>0.84060000000000001</v>
      </c>
      <c r="D76" s="23" cm="1">
        <f t="array" ref="D76:N76">TRANSPOSE(_xlfn._xlws.FILTER('Raw Data'!CJ2:CJ505,('Raw Data'!B2:B505=2)*('Raw Data'!CJ2:CJ505&lt;&gt;"")))</f>
        <v>0.13954</v>
      </c>
      <c r="E76" s="23">
        <v>7.0028999999999994E-2</v>
      </c>
      <c r="F76" s="26">
        <v>6.3910999999999996E-2</v>
      </c>
      <c r="G76" s="26">
        <v>6.1692999999999998E-2</v>
      </c>
      <c r="H76" s="26">
        <v>6.4675999999999997E-2</v>
      </c>
      <c r="I76" s="26">
        <v>6.6245999999999999E-2</v>
      </c>
      <c r="J76" s="26">
        <v>6.5943000000000002E-2</v>
      </c>
      <c r="K76" s="26">
        <v>6.6229999999999997E-2</v>
      </c>
      <c r="L76" s="26">
        <v>6.6948999999999995E-2</v>
      </c>
      <c r="M76" s="26">
        <v>6.4508999999999997E-2</v>
      </c>
      <c r="N76" s="26">
        <v>0</v>
      </c>
    </row>
    <row r="77" spans="1:14">
      <c r="A77" s="22" t="s">
        <v>644</v>
      </c>
      <c r="B77" s="2" t="s">
        <v>8</v>
      </c>
      <c r="C77" s="95">
        <f>Reactor1!C77</f>
        <v>0.84799999999999998</v>
      </c>
      <c r="D77" s="23" cm="1">
        <f t="array" ref="D77:N77">TRANSPOSE(_xlfn._xlws.FILTER('Raw Data'!CK2:CK505,('Raw Data'!B2:B505=2)*('Raw Data'!CK2:CK505&lt;&gt;"")))</f>
        <v>1.196871</v>
      </c>
      <c r="E77" s="23">
        <v>4.1685509999999999</v>
      </c>
      <c r="F77" s="26">
        <v>2.3480999999999998E-2</v>
      </c>
      <c r="G77" s="26">
        <v>0.15221699999999999</v>
      </c>
      <c r="H77" s="26">
        <v>6.4544000000000004E-2</v>
      </c>
      <c r="I77" s="26">
        <v>8.2681000000000004E-2</v>
      </c>
      <c r="J77" s="26">
        <v>6.2432000000000001E-2</v>
      </c>
      <c r="K77" s="26">
        <v>6.2819E-2</v>
      </c>
      <c r="L77" s="26">
        <v>5.6422E-2</v>
      </c>
      <c r="M77" s="26">
        <v>5.5109999999999999E-2</v>
      </c>
      <c r="N77" s="26">
        <v>0</v>
      </c>
    </row>
    <row r="78" spans="1:14">
      <c r="A78" s="22" t="s">
        <v>81</v>
      </c>
      <c r="B78" s="2" t="s">
        <v>8</v>
      </c>
      <c r="D78" s="26">
        <f t="shared" ref="D78:N78" si="47">SUM(D42:D77)</f>
        <v>99.999607000000012</v>
      </c>
      <c r="E78" s="139">
        <f t="shared" si="47"/>
        <v>99.78536800000002</v>
      </c>
      <c r="F78" s="26">
        <f t="shared" si="47"/>
        <v>99.99797300000003</v>
      </c>
      <c r="G78" s="26">
        <f t="shared" si="47"/>
        <v>99.998595000000009</v>
      </c>
      <c r="H78" s="26">
        <f t="shared" si="47"/>
        <v>100.000018</v>
      </c>
      <c r="I78" s="26">
        <f t="shared" si="47"/>
        <v>99.999973000000011</v>
      </c>
      <c r="J78" s="26">
        <f t="shared" si="47"/>
        <v>100.00101600000001</v>
      </c>
      <c r="K78" s="26">
        <f t="shared" si="47"/>
        <v>100.00002200000002</v>
      </c>
      <c r="L78" s="26">
        <f t="shared" si="47"/>
        <v>99.997991999999996</v>
      </c>
      <c r="M78" s="26">
        <f t="shared" si="47"/>
        <v>100.000022</v>
      </c>
      <c r="N78" s="26">
        <f t="shared" si="47"/>
        <v>99.999998000000005</v>
      </c>
    </row>
    <row r="79" spans="1:14" s="133" customFormat="1">
      <c r="A79" s="131"/>
      <c r="B79" s="131"/>
      <c r="C79" s="131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</row>
    <row r="80" spans="1:14">
      <c r="A80" s="38" t="s">
        <v>9</v>
      </c>
      <c r="B80" s="2" t="s">
        <v>74</v>
      </c>
      <c r="D80" s="23">
        <f t="shared" ref="D80:I80" si="48">(D36*D42)/(D37)</f>
        <v>0</v>
      </c>
      <c r="E80" s="23">
        <f t="shared" si="48"/>
        <v>0</v>
      </c>
      <c r="F80" s="23">
        <f t="shared" si="48"/>
        <v>0</v>
      </c>
      <c r="G80" s="23">
        <f t="shared" si="48"/>
        <v>0</v>
      </c>
      <c r="H80" s="23">
        <f t="shared" si="48"/>
        <v>0</v>
      </c>
      <c r="I80" s="23">
        <f t="shared" si="48"/>
        <v>0</v>
      </c>
      <c r="J80" s="23">
        <f t="shared" ref="J80:K80" si="49">(J36*J42)/(J37)</f>
        <v>0</v>
      </c>
      <c r="K80" s="23">
        <f t="shared" si="49"/>
        <v>0</v>
      </c>
      <c r="L80" s="23">
        <f t="shared" ref="L80:M80" si="50">(L36*L42)/(L37)</f>
        <v>0</v>
      </c>
      <c r="M80" s="23">
        <f t="shared" si="50"/>
        <v>0</v>
      </c>
      <c r="N80" s="23"/>
    </row>
    <row r="81" spans="1:14">
      <c r="A81" s="38" t="s">
        <v>10</v>
      </c>
      <c r="B81" s="2" t="s">
        <v>74</v>
      </c>
      <c r="D81" s="23">
        <f t="shared" ref="D81:I81" si="51">(D36*D43)/(D37)</f>
        <v>0</v>
      </c>
      <c r="E81" s="23">
        <f t="shared" si="51"/>
        <v>0</v>
      </c>
      <c r="F81" s="23">
        <f t="shared" si="51"/>
        <v>0</v>
      </c>
      <c r="G81" s="23">
        <f t="shared" si="51"/>
        <v>0</v>
      </c>
      <c r="H81" s="23">
        <f t="shared" si="51"/>
        <v>0</v>
      </c>
      <c r="I81" s="23">
        <f t="shared" si="51"/>
        <v>0</v>
      </c>
      <c r="J81" s="23">
        <f t="shared" ref="J81:K81" si="52">(J36*J43)/(J37)</f>
        <v>0</v>
      </c>
      <c r="K81" s="23">
        <f t="shared" si="52"/>
        <v>0</v>
      </c>
      <c r="L81" s="23">
        <f t="shared" ref="L81:M81" si="53">(L36*L43)/(L37)</f>
        <v>0</v>
      </c>
      <c r="M81" s="23">
        <f t="shared" si="53"/>
        <v>0</v>
      </c>
      <c r="N81" s="23"/>
    </row>
    <row r="82" spans="1:14">
      <c r="A82" s="38" t="s">
        <v>11</v>
      </c>
      <c r="B82" s="2" t="s">
        <v>74</v>
      </c>
      <c r="D82" s="23">
        <f t="shared" ref="D82:I82" si="54">(D36*D44)/(D37)</f>
        <v>0.96640290344672353</v>
      </c>
      <c r="E82" s="23">
        <f t="shared" si="54"/>
        <v>2.6876944685778201</v>
      </c>
      <c r="F82" s="23">
        <f t="shared" si="54"/>
        <v>3.8268894092739174</v>
      </c>
      <c r="G82" s="23">
        <f t="shared" si="54"/>
        <v>3.9861223028541737</v>
      </c>
      <c r="H82" s="23">
        <f t="shared" si="54"/>
        <v>2.816169343268712</v>
      </c>
      <c r="I82" s="23">
        <f t="shared" si="54"/>
        <v>2.8465115074063823</v>
      </c>
      <c r="J82" s="23">
        <f t="shared" ref="J82:K82" si="55">(J36*J44)/(J37)</f>
        <v>2.8357001129217241</v>
      </c>
      <c r="K82" s="23">
        <f t="shared" si="55"/>
        <v>1.9159252155920652</v>
      </c>
      <c r="L82" s="23">
        <f t="shared" ref="L82:M82" si="56">(L36*L44)/(L37)</f>
        <v>1.1624155686364677</v>
      </c>
      <c r="M82" s="23">
        <f t="shared" si="56"/>
        <v>1.1850328740558003</v>
      </c>
      <c r="N82" s="23"/>
    </row>
    <row r="83" spans="1:14">
      <c r="A83" s="38" t="s">
        <v>12</v>
      </c>
      <c r="B83" s="2" t="s">
        <v>74</v>
      </c>
      <c r="D83" s="23">
        <f t="shared" ref="D83:I83" si="57">(D36*D45)/(D37)</f>
        <v>2.1349787817014465</v>
      </c>
      <c r="E83" s="23">
        <f t="shared" si="57"/>
        <v>2.8111655908970552</v>
      </c>
      <c r="F83" s="23">
        <f t="shared" si="57"/>
        <v>3.1759726408055919</v>
      </c>
      <c r="G83" s="23">
        <f t="shared" si="57"/>
        <v>3.2020902363890831</v>
      </c>
      <c r="H83" s="23">
        <f t="shared" si="57"/>
        <v>2.8495688206155414</v>
      </c>
      <c r="I83" s="23">
        <f t="shared" si="57"/>
        <v>2.8569915401602839</v>
      </c>
      <c r="J83" s="23">
        <f t="shared" ref="J83:K83" si="58">(J36*J45)/(J37)</f>
        <v>2.8480988469805997</v>
      </c>
      <c r="K83" s="23">
        <f t="shared" si="58"/>
        <v>2.5021489047067274</v>
      </c>
      <c r="L83" s="23">
        <f t="shared" ref="L83:M83" si="59">(L36*L45)/(L37)</f>
        <v>2.1961308162656992</v>
      </c>
      <c r="M83" s="23">
        <f t="shared" si="59"/>
        <v>2.207206043933533</v>
      </c>
      <c r="N83" s="23"/>
    </row>
    <row r="84" spans="1:14">
      <c r="A84" s="38" t="s">
        <v>13</v>
      </c>
      <c r="B84" s="2" t="s">
        <v>74</v>
      </c>
      <c r="D84" s="23">
        <f t="shared" ref="D84:I84" si="60">(D36*D46)/(D37)</f>
        <v>2.8052623170740381</v>
      </c>
      <c r="E84" s="23">
        <f t="shared" si="60"/>
        <v>6.2449237627868177</v>
      </c>
      <c r="F84" s="23">
        <f t="shared" si="60"/>
        <v>8.3412258363675544</v>
      </c>
      <c r="G84" s="23">
        <f t="shared" si="60"/>
        <v>8.6097341105378593</v>
      </c>
      <c r="H84" s="23">
        <f t="shared" si="60"/>
        <v>6.5587112764672213</v>
      </c>
      <c r="I84" s="23">
        <f t="shared" si="60"/>
        <v>6.615691197107056</v>
      </c>
      <c r="J84" s="23">
        <f t="shared" ref="J84:K84" si="61">(J36*J46)/(J37)</f>
        <v>6.5920250369525322</v>
      </c>
      <c r="K84" s="23">
        <f t="shared" si="61"/>
        <v>4.8292699207424512</v>
      </c>
      <c r="L84" s="23">
        <f t="shared" ref="L84:M84" si="62">(L36*L46)/(L37)</f>
        <v>3.2212610331405251</v>
      </c>
      <c r="M84" s="23">
        <f t="shared" si="62"/>
        <v>3.274384139937542</v>
      </c>
      <c r="N84" s="23"/>
    </row>
    <row r="85" spans="1:14">
      <c r="A85" s="38" t="s">
        <v>14</v>
      </c>
      <c r="B85" s="2" t="s">
        <v>74</v>
      </c>
      <c r="D85" s="23">
        <f t="shared" ref="D85:I85" si="63">(D36*D47)/(D37)</f>
        <v>12.266128908606728</v>
      </c>
      <c r="E85" s="23">
        <f t="shared" si="63"/>
        <v>12.103036105391379</v>
      </c>
      <c r="F85" s="23">
        <f t="shared" si="63"/>
        <v>12.678266993253626</v>
      </c>
      <c r="G85" s="23">
        <f t="shared" si="63"/>
        <v>12.700412224844159</v>
      </c>
      <c r="H85" s="23">
        <f t="shared" si="63"/>
        <v>12.712924570167361</v>
      </c>
      <c r="I85" s="23">
        <f t="shared" si="63"/>
        <v>12.719778651315959</v>
      </c>
      <c r="J85" s="23">
        <f t="shared" ref="J85:K85" si="64">(J36*J47)/(J37)</f>
        <v>12.72300192921678</v>
      </c>
      <c r="K85" s="23">
        <f t="shared" si="64"/>
        <v>12.720196190889634</v>
      </c>
      <c r="L85" s="23">
        <f t="shared" ref="L85:M85" si="65">(L36*L47)/(L37)</f>
        <v>12.76669514050276</v>
      </c>
      <c r="M85" s="23">
        <f t="shared" si="65"/>
        <v>12.774543235051778</v>
      </c>
      <c r="N85" s="23"/>
    </row>
    <row r="86" spans="1:14">
      <c r="A86" s="38" t="s">
        <v>15</v>
      </c>
      <c r="B86" s="2" t="s">
        <v>74</v>
      </c>
      <c r="D86" s="23">
        <f t="shared" ref="D86:I86" si="66">(D36*D48)/(D37)</f>
        <v>8.3096254337257314</v>
      </c>
      <c r="E86" s="23">
        <f t="shared" si="66"/>
        <v>9.2227149924747795</v>
      </c>
      <c r="F86" s="23">
        <f t="shared" si="66"/>
        <v>9.881889152949789</v>
      </c>
      <c r="G86" s="23">
        <f t="shared" si="66"/>
        <v>9.9068292671842819</v>
      </c>
      <c r="H86" s="23">
        <f t="shared" si="66"/>
        <v>9.3896695528250564</v>
      </c>
      <c r="I86" s="23">
        <f t="shared" si="66"/>
        <v>9.4018221482678541</v>
      </c>
      <c r="J86" s="23">
        <f t="shared" ref="J86:K86" si="67">(J36*J48)/(J37)</f>
        <v>9.3926002514620155</v>
      </c>
      <c r="K86" s="23">
        <f t="shared" si="67"/>
        <v>8.8996018271133792</v>
      </c>
      <c r="L86" s="23">
        <f t="shared" ref="L86:M86" si="68">(L36*L48)/(L37)</f>
        <v>8.4595093693988233</v>
      </c>
      <c r="M86" s="23">
        <f t="shared" si="68"/>
        <v>8.4803152690454926</v>
      </c>
      <c r="N86" s="23"/>
    </row>
    <row r="87" spans="1:14">
      <c r="A87" s="38" t="s">
        <v>16</v>
      </c>
      <c r="B87" s="2" t="s">
        <v>74</v>
      </c>
      <c r="D87" s="23">
        <f t="shared" ref="D87:I87" si="69">(D36*D49)/(D37)</f>
        <v>0</v>
      </c>
      <c r="E87" s="23">
        <f t="shared" si="69"/>
        <v>0</v>
      </c>
      <c r="F87" s="23">
        <f t="shared" si="69"/>
        <v>0</v>
      </c>
      <c r="G87" s="23">
        <f t="shared" si="69"/>
        <v>0</v>
      </c>
      <c r="H87" s="23">
        <f t="shared" si="69"/>
        <v>0</v>
      </c>
      <c r="I87" s="23">
        <f t="shared" si="69"/>
        <v>0</v>
      </c>
      <c r="J87" s="23">
        <f t="shared" ref="J87:K87" si="70">(J36*J49)/(J37)</f>
        <v>0</v>
      </c>
      <c r="K87" s="23">
        <f t="shared" si="70"/>
        <v>0</v>
      </c>
      <c r="L87" s="23">
        <f t="shared" ref="L87:M87" si="71">(L36*L49)/(L37)</f>
        <v>0</v>
      </c>
      <c r="M87" s="23">
        <f t="shared" si="71"/>
        <v>0</v>
      </c>
      <c r="N87" s="23"/>
    </row>
    <row r="88" spans="1:14">
      <c r="A88" s="38" t="s">
        <v>17</v>
      </c>
      <c r="B88" s="2" t="s">
        <v>74</v>
      </c>
      <c r="D88" s="23">
        <f t="shared" ref="D88:I88" si="72">(D36*D50)/(D37)</f>
        <v>15.967786254716456</v>
      </c>
      <c r="E88" s="23">
        <f t="shared" si="72"/>
        <v>14.396803586122324</v>
      </c>
      <c r="F88" s="23">
        <f t="shared" si="72"/>
        <v>15.385251416861438</v>
      </c>
      <c r="G88" s="23">
        <f t="shared" si="72"/>
        <v>15.508671020782709</v>
      </c>
      <c r="H88" s="23">
        <f t="shared" si="72"/>
        <v>16.209179210787848</v>
      </c>
      <c r="I88" s="23">
        <f t="shared" si="72"/>
        <v>16.194361891965155</v>
      </c>
      <c r="J88" s="23">
        <f t="shared" ref="J88:K88" si="73">(J36*J50)/(J37)</f>
        <v>16.238049554750368</v>
      </c>
      <c r="K88" s="23">
        <f t="shared" si="73"/>
        <v>16.7551099273681</v>
      </c>
      <c r="L88" s="23">
        <f t="shared" ref="L88:M88" si="74">(L36*L50)/(L37)</f>
        <v>17.173350650598465</v>
      </c>
      <c r="M88" s="23">
        <f t="shared" si="74"/>
        <v>17.14599020066143</v>
      </c>
      <c r="N88" s="23"/>
    </row>
    <row r="89" spans="1:14">
      <c r="A89" s="38" t="s">
        <v>18</v>
      </c>
      <c r="B89" s="2" t="s">
        <v>74</v>
      </c>
      <c r="D89" s="23">
        <f t="shared" ref="D89:I89" si="75">(D36*D51)/(D37)</f>
        <v>7.9656690873797222</v>
      </c>
      <c r="E89" s="23">
        <f t="shared" si="75"/>
        <v>8.1024606337088816</v>
      </c>
      <c r="F89" s="23">
        <f t="shared" si="75"/>
        <v>8.1056803062102869</v>
      </c>
      <c r="G89" s="23">
        <f t="shared" si="75"/>
        <v>8.0056105556772135</v>
      </c>
      <c r="H89" s="23">
        <f t="shared" si="75"/>
        <v>7.8370743159743625</v>
      </c>
      <c r="I89" s="23">
        <f t="shared" si="75"/>
        <v>7.8378838913280093</v>
      </c>
      <c r="J89" s="23">
        <f t="shared" ref="J89:K89" si="76">(J36*J51)/(J37)</f>
        <v>7.8481468930479821</v>
      </c>
      <c r="K89" s="23">
        <f t="shared" si="76"/>
        <v>7.7777811907519565</v>
      </c>
      <c r="L89" s="23">
        <f t="shared" ref="L89:M89" si="77">(L36*L51)/(L37)</f>
        <v>7.8237432086915906</v>
      </c>
      <c r="M89" s="23">
        <f t="shared" si="77"/>
        <v>7.8181394297091638</v>
      </c>
      <c r="N89" s="23"/>
    </row>
    <row r="90" spans="1:14">
      <c r="A90" s="38" t="s">
        <v>19</v>
      </c>
      <c r="B90" s="2" t="s">
        <v>74</v>
      </c>
      <c r="D90" s="23">
        <f t="shared" ref="D90:I90" si="78">(D36*D52)/(D37)</f>
        <v>4.2918490449597533</v>
      </c>
      <c r="E90" s="23">
        <f t="shared" si="78"/>
        <v>4.736935762870691</v>
      </c>
      <c r="F90" s="23">
        <f t="shared" si="78"/>
        <v>4.7585613292941407</v>
      </c>
      <c r="G90" s="23">
        <f t="shared" si="78"/>
        <v>4.6822358590730717</v>
      </c>
      <c r="H90" s="23">
        <f t="shared" si="78"/>
        <v>4.4440372805222959</v>
      </c>
      <c r="I90" s="23">
        <f t="shared" si="78"/>
        <v>4.4474959980464419</v>
      </c>
      <c r="J90" s="23">
        <f t="shared" ref="J90:K90" si="79">(J36*J52)/(J37)</f>
        <v>4.4542730453626618</v>
      </c>
      <c r="K90" s="23">
        <f t="shared" si="79"/>
        <v>4.25848134837429</v>
      </c>
      <c r="L90" s="23">
        <f t="shared" ref="L90:M90" si="80">(L36*L52)/(L37)</f>
        <v>4.0821675965937159</v>
      </c>
      <c r="M90" s="23">
        <f t="shared" si="80"/>
        <v>4.0838175883390857</v>
      </c>
      <c r="N90" s="23"/>
    </row>
    <row r="91" spans="1:14">
      <c r="A91" s="38" t="s">
        <v>20</v>
      </c>
      <c r="B91" s="2" t="s">
        <v>74</v>
      </c>
      <c r="D91" s="23">
        <f t="shared" ref="D91:I91" si="81">(D36*D53)/(D37)</f>
        <v>1.1497559541311804</v>
      </c>
      <c r="E91" s="23">
        <f t="shared" si="81"/>
        <v>1.6281630361831803</v>
      </c>
      <c r="F91" s="23">
        <f t="shared" si="81"/>
        <v>1.9325118205538427</v>
      </c>
      <c r="G91" s="23">
        <f t="shared" si="81"/>
        <v>1.9710162756105376</v>
      </c>
      <c r="H91" s="23">
        <f t="shared" si="81"/>
        <v>1.7374689370353502</v>
      </c>
      <c r="I91" s="23">
        <f t="shared" si="81"/>
        <v>1.7457038326801293</v>
      </c>
      <c r="J91" s="23">
        <f t="shared" ref="J91:K91" si="82">(J36*J53)/(J37)</f>
        <v>1.750708069871393</v>
      </c>
      <c r="K91" s="23">
        <f t="shared" si="82"/>
        <v>1.5201003776234563</v>
      </c>
      <c r="L91" s="23">
        <f t="shared" ref="L91:M91" si="83">(L36*L53)/(L37)</f>
        <v>1.2612411047136496</v>
      </c>
      <c r="M91" s="23">
        <f t="shared" si="83"/>
        <v>1.2678873828744612</v>
      </c>
      <c r="N91" s="23"/>
    </row>
    <row r="92" spans="1:14">
      <c r="A92" s="38" t="s">
        <v>75</v>
      </c>
      <c r="B92" s="2" t="s">
        <v>74</v>
      </c>
      <c r="D92" s="23">
        <f t="shared" ref="D92:I92" si="84">(D36*D54)/(D37)</f>
        <v>0.12613815790146449</v>
      </c>
      <c r="E92" s="23">
        <f t="shared" si="84"/>
        <v>0.25863978380079905</v>
      </c>
      <c r="F92" s="23">
        <f t="shared" si="84"/>
        <v>0.20365960304989483</v>
      </c>
      <c r="G92" s="23">
        <f t="shared" si="84"/>
        <v>0.17753548276102507</v>
      </c>
      <c r="H92" s="23">
        <f t="shared" si="84"/>
        <v>0.12312508990932074</v>
      </c>
      <c r="I92" s="23">
        <f t="shared" si="84"/>
        <v>0.12433303023969647</v>
      </c>
      <c r="J92" s="23">
        <f t="shared" ref="J92:K92" si="85">(J36*J54)/(J37)</f>
        <v>0.12469348966872106</v>
      </c>
      <c r="K92" s="23">
        <f t="shared" si="85"/>
        <v>8.480192275103228E-2</v>
      </c>
      <c r="L92" s="23">
        <f t="shared" ref="L92:M92" si="86">(L36*L54)/(L37)</f>
        <v>5.4273344150739478E-2</v>
      </c>
      <c r="M92" s="23">
        <f t="shared" si="86"/>
        <v>5.497852510196885E-2</v>
      </c>
      <c r="N92" s="23"/>
    </row>
    <row r="93" spans="1:14">
      <c r="A93" s="38" t="s">
        <v>22</v>
      </c>
      <c r="B93" s="2" t="s">
        <v>74</v>
      </c>
      <c r="D93" s="23">
        <f t="shared" ref="D93:I93" si="87">(D36*D55)/(D37)</f>
        <v>0.35007542554965282</v>
      </c>
      <c r="E93" s="23">
        <f t="shared" si="87"/>
        <v>0.32420889094491051</v>
      </c>
      <c r="F93" s="23">
        <f t="shared" si="87"/>
        <v>0.3648678724783545</v>
      </c>
      <c r="G93" s="23">
        <f t="shared" si="87"/>
        <v>0.3739789060020155</v>
      </c>
      <c r="H93" s="23">
        <f t="shared" si="87"/>
        <v>0.38855253585187405</v>
      </c>
      <c r="I93" s="23">
        <f t="shared" si="87"/>
        <v>0.38903209641763087</v>
      </c>
      <c r="J93" s="23">
        <f t="shared" ref="J93:K93" si="88">(J36*J55)/(J37)</f>
        <v>0.38930881464825118</v>
      </c>
      <c r="K93" s="23">
        <f t="shared" si="88"/>
        <v>0.39546998465465505</v>
      </c>
      <c r="L93" s="23">
        <f t="shared" ref="L93:M93" si="89">(L36*L55)/(L37)</f>
        <v>0.38986098407682396</v>
      </c>
      <c r="M93" s="23">
        <f t="shared" si="89"/>
        <v>0.38961155576716883</v>
      </c>
      <c r="N93" s="23"/>
    </row>
    <row r="94" spans="1:14">
      <c r="A94" s="38" t="s">
        <v>23</v>
      </c>
      <c r="B94" s="2" t="s">
        <v>74</v>
      </c>
      <c r="D94" s="23">
        <f t="shared" ref="D94:I94" si="90">(D36*D56)/(D37)</f>
        <v>0.66787996907328839</v>
      </c>
      <c r="E94" s="23">
        <f t="shared" si="90"/>
        <v>0.65750437083891622</v>
      </c>
      <c r="F94" s="23">
        <f t="shared" si="90"/>
        <v>0.65122391405005686</v>
      </c>
      <c r="G94" s="23">
        <f t="shared" si="90"/>
        <v>0.63883060742460906</v>
      </c>
      <c r="H94" s="23">
        <f t="shared" si="90"/>
        <v>0.63484885585785267</v>
      </c>
      <c r="I94" s="23">
        <f t="shared" si="90"/>
        <v>0.63510021615883427</v>
      </c>
      <c r="J94" s="23">
        <f t="shared" ref="J94:K94" si="91">(J36*J56)/(J37)</f>
        <v>0.63448297276999244</v>
      </c>
      <c r="K94" s="23">
        <f t="shared" si="91"/>
        <v>0.63582195781839435</v>
      </c>
      <c r="L94" s="23">
        <f t="shared" ref="L94:M94" si="92">(L36*L56)/(L37)</f>
        <v>0.64535907347108168</v>
      </c>
      <c r="M94" s="23">
        <f t="shared" si="92"/>
        <v>0.64411215379823417</v>
      </c>
      <c r="N94" s="23"/>
    </row>
    <row r="95" spans="1:14">
      <c r="A95" s="38" t="s">
        <v>24</v>
      </c>
      <c r="B95" s="2" t="s">
        <v>74</v>
      </c>
      <c r="D95" s="23">
        <f t="shared" ref="D95:I95" si="93">(D36*D57)/(D37)</f>
        <v>0</v>
      </c>
      <c r="E95" s="23">
        <f t="shared" si="93"/>
        <v>0</v>
      </c>
      <c r="F95" s="23">
        <f t="shared" si="93"/>
        <v>0</v>
      </c>
      <c r="G95" s="23">
        <f t="shared" si="93"/>
        <v>0</v>
      </c>
      <c r="H95" s="23">
        <f t="shared" si="93"/>
        <v>0</v>
      </c>
      <c r="I95" s="23">
        <f t="shared" si="93"/>
        <v>0</v>
      </c>
      <c r="J95" s="23">
        <f t="shared" ref="J95:K95" si="94">(J36*J57)/(J37)</f>
        <v>0</v>
      </c>
      <c r="K95" s="23">
        <f t="shared" si="94"/>
        <v>0</v>
      </c>
      <c r="L95" s="23">
        <f t="shared" ref="L95:M95" si="95">(L36*L57)/(L37)</f>
        <v>0</v>
      </c>
      <c r="M95" s="23">
        <f t="shared" si="95"/>
        <v>0</v>
      </c>
      <c r="N95" s="23"/>
    </row>
    <row r="96" spans="1:14">
      <c r="A96" s="38" t="s">
        <v>25</v>
      </c>
      <c r="B96" s="2" t="s">
        <v>74</v>
      </c>
      <c r="D96" s="23">
        <f t="shared" ref="D96:I96" si="96">(D36*D58)/(D37)</f>
        <v>11.817464200889455</v>
      </c>
      <c r="E96" s="23">
        <f t="shared" si="96"/>
        <v>8.5488165868033281</v>
      </c>
      <c r="F96" s="23">
        <f t="shared" si="96"/>
        <v>9.5980836241989334</v>
      </c>
      <c r="G96" s="23">
        <f t="shared" si="96"/>
        <v>9.9129425267682159</v>
      </c>
      <c r="H96" s="23">
        <f t="shared" si="96"/>
        <v>11.577807754438764</v>
      </c>
      <c r="I96" s="23">
        <f t="shared" si="96"/>
        <v>11.54844240241043</v>
      </c>
      <c r="J96" s="23">
        <f t="shared" ref="J96:K96" si="97">(J36*J58)/(J37)</f>
        <v>11.555618136766716</v>
      </c>
      <c r="K96" s="23">
        <f t="shared" si="97"/>
        <v>12.91942828328586</v>
      </c>
      <c r="L96" s="23">
        <f t="shared" ref="L96:M96" si="98">(L36*L58)/(L37)</f>
        <v>14.022147435822204</v>
      </c>
      <c r="M96" s="23">
        <f t="shared" si="98"/>
        <v>13.985983353889225</v>
      </c>
      <c r="N96" s="23"/>
    </row>
    <row r="97" spans="1:14">
      <c r="A97" s="38" t="s">
        <v>26</v>
      </c>
      <c r="B97" s="2" t="s">
        <v>74</v>
      </c>
      <c r="D97" s="23">
        <f t="shared" ref="D97:I97" si="99">(D36*D59)/(D37)</f>
        <v>14.623696957856836</v>
      </c>
      <c r="E97" s="23">
        <f t="shared" si="99"/>
        <v>13.400249398020646</v>
      </c>
      <c r="F97" s="23">
        <f t="shared" si="99"/>
        <v>11.847413101077352</v>
      </c>
      <c r="G97" s="23">
        <f t="shared" si="99"/>
        <v>11.281267697670206</v>
      </c>
      <c r="H97" s="23">
        <f t="shared" si="99"/>
        <v>11.921520052579284</v>
      </c>
      <c r="I97" s="23">
        <f t="shared" si="99"/>
        <v>11.886380326889103</v>
      </c>
      <c r="J97" s="23">
        <f t="shared" ref="J97:K97" si="100">(J36*J59)/(J37)</f>
        <v>11.894302883139629</v>
      </c>
      <c r="K97" s="23">
        <f t="shared" si="100"/>
        <v>12.321940507479393</v>
      </c>
      <c r="L97" s="23">
        <f t="shared" ref="L97:M97" si="101">(L36*L59)/(L37)</f>
        <v>12.742901711236055</v>
      </c>
      <c r="M97" s="23">
        <f t="shared" si="101"/>
        <v>12.726279231329526</v>
      </c>
      <c r="N97" s="23"/>
    </row>
    <row r="98" spans="1:14">
      <c r="A98" s="38" t="s">
        <v>27</v>
      </c>
      <c r="B98" s="2" t="s">
        <v>74</v>
      </c>
      <c r="D98" s="23">
        <f t="shared" ref="D98:I98" si="102">(D36*D60)/(D37)</f>
        <v>2.7213097521832159</v>
      </c>
      <c r="E98" s="23">
        <f t="shared" si="102"/>
        <v>3.1652703138525928</v>
      </c>
      <c r="F98" s="23">
        <f t="shared" si="102"/>
        <v>3.4608481603738515</v>
      </c>
      <c r="G98" s="23">
        <f t="shared" si="102"/>
        <v>3.3215005659566534</v>
      </c>
      <c r="H98" s="23">
        <f t="shared" si="102"/>
        <v>3.3085332884390852</v>
      </c>
      <c r="I98" s="23">
        <f t="shared" si="102"/>
        <v>3.3093201054589874</v>
      </c>
      <c r="J98" s="23">
        <f t="shared" ref="J98:K98" si="103">(J36*J60)/(J37)</f>
        <v>3.318239664126104</v>
      </c>
      <c r="K98" s="23">
        <f t="shared" si="103"/>
        <v>3.1709311218926799</v>
      </c>
      <c r="L98" s="23">
        <f t="shared" ref="L98:M98" si="104">(L36*L60)/(L37)</f>
        <v>2.8241094353631748</v>
      </c>
      <c r="M98" s="23">
        <f t="shared" si="104"/>
        <v>2.8326343557129134</v>
      </c>
      <c r="N98" s="23"/>
    </row>
    <row r="99" spans="1:14">
      <c r="A99" s="38" t="s">
        <v>28</v>
      </c>
      <c r="B99" s="2" t="s">
        <v>74</v>
      </c>
      <c r="D99" s="23">
        <f t="shared" ref="D99:I99" si="105">(D36*D61)/(D37)</f>
        <v>1.1223913518136155</v>
      </c>
      <c r="E99" s="23">
        <f t="shared" si="105"/>
        <v>1.0552367759261621</v>
      </c>
      <c r="F99" s="23">
        <f t="shared" si="105"/>
        <v>1.0743621213527363</v>
      </c>
      <c r="G99" s="23">
        <f t="shared" si="105"/>
        <v>1.0701496799214527</v>
      </c>
      <c r="H99" s="23">
        <f t="shared" si="105"/>
        <v>1.0904591326714925</v>
      </c>
      <c r="I99" s="23">
        <f t="shared" si="105"/>
        <v>1.0984474606115964</v>
      </c>
      <c r="J99" s="23">
        <f t="shared" ref="J99:K99" si="106">(J36*J61)/(J37)</f>
        <v>1.0883783488656185</v>
      </c>
      <c r="K99" s="23">
        <f t="shared" si="106"/>
        <v>1.1120310955024577</v>
      </c>
      <c r="L99" s="23">
        <f t="shared" ref="L99:M99" si="107">(L36*L61)/(L37)</f>
        <v>1.1132036756902164</v>
      </c>
      <c r="M99" s="23">
        <f t="shared" si="107"/>
        <v>1.1144292108699645</v>
      </c>
      <c r="N99" s="23"/>
    </row>
    <row r="100" spans="1:14" ht="16.5">
      <c r="A100" s="137" t="s">
        <v>29</v>
      </c>
      <c r="B100" s="2" t="s">
        <v>74</v>
      </c>
      <c r="D100" s="23">
        <f t="shared" ref="D100:I100" si="108">(D36*D62)/(D37)</f>
        <v>0</v>
      </c>
      <c r="E100" s="23">
        <f t="shared" si="108"/>
        <v>0</v>
      </c>
      <c r="F100" s="23">
        <f t="shared" si="108"/>
        <v>0</v>
      </c>
      <c r="G100" s="23">
        <f t="shared" si="108"/>
        <v>0</v>
      </c>
      <c r="H100" s="23">
        <f t="shared" si="108"/>
        <v>0</v>
      </c>
      <c r="I100" s="23">
        <f t="shared" si="108"/>
        <v>0</v>
      </c>
      <c r="J100" s="23">
        <f t="shared" ref="J100:K100" si="109">(J36*J62)/(J37)</f>
        <v>0</v>
      </c>
      <c r="K100" s="23">
        <f t="shared" si="109"/>
        <v>0</v>
      </c>
      <c r="L100" s="23">
        <f t="shared" ref="L100:M100" si="110">(L36*L62)/(L37)</f>
        <v>0</v>
      </c>
      <c r="M100" s="23">
        <f t="shared" si="110"/>
        <v>0</v>
      </c>
      <c r="N100" s="23"/>
    </row>
    <row r="101" spans="1:14">
      <c r="A101" s="38" t="s">
        <v>30</v>
      </c>
      <c r="B101" s="2" t="s">
        <v>74</v>
      </c>
      <c r="D101" s="23">
        <f t="shared" ref="D101:I101" si="111">(D36*SUM(D63,D64,D65,D66,D67,D68,D69,D70,D71,D77))/(D37)</f>
        <v>12.039435551602008</v>
      </c>
      <c r="E101" s="23">
        <f t="shared" si="111"/>
        <v>10.795363942939113</v>
      </c>
      <c r="F101" s="23">
        <f t="shared" si="111"/>
        <v>5.0026527335784028</v>
      </c>
      <c r="G101" s="23">
        <f t="shared" si="111"/>
        <v>4.9516147855734225</v>
      </c>
      <c r="H101" s="23">
        <f t="shared" si="111"/>
        <v>6.6263277149147868</v>
      </c>
      <c r="I101" s="23">
        <f t="shared" si="111"/>
        <v>6.5645298197513178</v>
      </c>
      <c r="J101" s="23">
        <f t="shared" ref="J101:K101" si="112">(J36*SUM(J63,J64,J65,J66,J67,J68,J69,J70,J71,J77))/(J37)</f>
        <v>6.5393818236516692</v>
      </c>
      <c r="K101" s="23">
        <f t="shared" si="112"/>
        <v>8.340717881741023</v>
      </c>
      <c r="L101" s="23">
        <f t="shared" ref="L101:M101" si="113">(L36*SUM(L63,L64,L65,L66,L67,L68,L69,L70,L71,L77))/(L37)</f>
        <v>10.164377855722956</v>
      </c>
      <c r="M101" s="23">
        <f t="shared" si="113"/>
        <v>10.122608852423026</v>
      </c>
      <c r="N101" s="23"/>
    </row>
    <row r="102" spans="1:14">
      <c r="A102" s="22" t="s">
        <v>76</v>
      </c>
      <c r="B102" s="2" t="s">
        <v>74</v>
      </c>
      <c r="D102" s="23">
        <f t="shared" ref="D102:I102" si="114">(D36*D72)/(D37)</f>
        <v>2.7506813323606986E-2</v>
      </c>
      <c r="E102" s="23">
        <f t="shared" si="114"/>
        <v>2.9889804422601043E-2</v>
      </c>
      <c r="F102" s="23">
        <f t="shared" si="114"/>
        <v>1.8828224908871007E-2</v>
      </c>
      <c r="G102" s="23">
        <f t="shared" si="114"/>
        <v>1.8049674971876015E-2</v>
      </c>
      <c r="H102" s="23">
        <f t="shared" si="114"/>
        <v>1.3922300005224982E-2</v>
      </c>
      <c r="I102" s="23">
        <f t="shared" si="114"/>
        <v>1.3606589233027702E-2</v>
      </c>
      <c r="J102" s="23">
        <f t="shared" ref="J102:K102" si="115">(J36*J72)/(J37)</f>
        <v>1.3131965560941615E-2</v>
      </c>
      <c r="K102" s="23">
        <f t="shared" si="115"/>
        <v>8.7620701052834957E-3</v>
      </c>
      <c r="L102" s="23">
        <f t="shared" ref="L102:M102" si="116">(L36*L72)/(L37)</f>
        <v>8.1071383900868325E-3</v>
      </c>
      <c r="M102" s="23">
        <f t="shared" si="116"/>
        <v>8.0460043569850551E-3</v>
      </c>
      <c r="N102" s="23"/>
    </row>
    <row r="103" spans="1:14">
      <c r="A103" s="22" t="s">
        <v>77</v>
      </c>
      <c r="B103" s="2" t="s">
        <v>74</v>
      </c>
      <c r="D103" s="23">
        <f t="shared" ref="D103:I103" si="117">(D36*D73)/(D37)</f>
        <v>0</v>
      </c>
      <c r="E103" s="23">
        <f t="shared" si="117"/>
        <v>0</v>
      </c>
      <c r="F103" s="23">
        <f t="shared" si="117"/>
        <v>0</v>
      </c>
      <c r="G103" s="23">
        <f t="shared" si="117"/>
        <v>0</v>
      </c>
      <c r="H103" s="23">
        <f t="shared" si="117"/>
        <v>0</v>
      </c>
      <c r="I103" s="23">
        <f t="shared" si="117"/>
        <v>0</v>
      </c>
      <c r="J103" s="23">
        <f t="shared" ref="J103:K103" si="118">(J36*J73)/(J37)</f>
        <v>0</v>
      </c>
      <c r="K103" s="23">
        <f t="shared" si="118"/>
        <v>0</v>
      </c>
      <c r="L103" s="23">
        <f t="shared" ref="L103:M103" si="119">(L36*L73)/(L37)</f>
        <v>0</v>
      </c>
      <c r="M103" s="23">
        <f t="shared" si="119"/>
        <v>0</v>
      </c>
      <c r="N103" s="23"/>
    </row>
    <row r="104" spans="1:14">
      <c r="A104" s="22" t="s">
        <v>78</v>
      </c>
      <c r="B104" s="2" t="s">
        <v>74</v>
      </c>
      <c r="D104" s="23">
        <f t="shared" ref="D104:I104" si="120">(D36*D74)/(D37)</f>
        <v>0</v>
      </c>
      <c r="E104" s="23">
        <f t="shared" si="120"/>
        <v>0</v>
      </c>
      <c r="F104" s="23">
        <f t="shared" si="120"/>
        <v>0</v>
      </c>
      <c r="G104" s="23">
        <f t="shared" si="120"/>
        <v>0</v>
      </c>
      <c r="H104" s="23">
        <f t="shared" si="120"/>
        <v>0</v>
      </c>
      <c r="I104" s="23">
        <f t="shared" si="120"/>
        <v>0</v>
      </c>
      <c r="J104" s="23">
        <f t="shared" ref="J104:K104" si="121">(J36*J74)/(J37)</f>
        <v>0</v>
      </c>
      <c r="K104" s="23">
        <f t="shared" si="121"/>
        <v>0</v>
      </c>
      <c r="L104" s="23">
        <f t="shared" ref="L104:M104" si="122">(L36*L74)/(L37)</f>
        <v>0</v>
      </c>
      <c r="M104" s="23">
        <f t="shared" si="122"/>
        <v>0</v>
      </c>
      <c r="N104" s="23"/>
    </row>
    <row r="105" spans="1:14">
      <c r="A105" s="22" t="s">
        <v>79</v>
      </c>
      <c r="B105" s="2" t="s">
        <v>74</v>
      </c>
      <c r="D105" s="23">
        <f t="shared" ref="D105:I105" si="123">(D36*D75)/(D37)</f>
        <v>0.65509800379078653</v>
      </c>
      <c r="E105" s="23">
        <f t="shared" si="123"/>
        <v>4.7527531584487456E-3</v>
      </c>
      <c r="F105" s="23">
        <f t="shared" si="123"/>
        <v>0</v>
      </c>
      <c r="G105" s="23">
        <f t="shared" si="123"/>
        <v>0</v>
      </c>
      <c r="H105" s="23">
        <f t="shared" si="123"/>
        <v>0</v>
      </c>
      <c r="I105" s="23">
        <f t="shared" si="123"/>
        <v>4.6833147901958238E-3</v>
      </c>
      <c r="J105" s="23">
        <f t="shared" ref="J105:K105" si="124">(J36*J75)/(J37)</f>
        <v>0</v>
      </c>
      <c r="K105" s="23">
        <f t="shared" si="124"/>
        <v>6.1618172906049247E-3</v>
      </c>
      <c r="L105" s="23">
        <f t="shared" ref="L105:M105" si="125">(L36*L75)/(L37)</f>
        <v>7.1373274704620111E-3</v>
      </c>
      <c r="M105" s="23">
        <f t="shared" si="125"/>
        <v>6.2236059102964963E-3</v>
      </c>
      <c r="N105" s="23"/>
    </row>
    <row r="106" spans="1:14">
      <c r="A106" s="22" t="s">
        <v>80</v>
      </c>
      <c r="B106" s="2" t="s">
        <v>74</v>
      </c>
      <c r="D106" s="23">
        <f t="shared" ref="D106:I106" si="126">(D36*D76)/(D37)</f>
        <v>0.13974735058530982</v>
      </c>
      <c r="E106" s="23">
        <f t="shared" si="126"/>
        <v>7.0350993644685528E-2</v>
      </c>
      <c r="F106" s="23">
        <f t="shared" si="126"/>
        <v>6.4150265601389006E-2</v>
      </c>
      <c r="G106" s="23">
        <f t="shared" si="126"/>
        <v>6.1928624550355763E-2</v>
      </c>
      <c r="H106" s="23">
        <f t="shared" si="126"/>
        <v>6.4873103396104526E-2</v>
      </c>
      <c r="I106" s="23">
        <f t="shared" si="126"/>
        <v>6.6449105074172732E-2</v>
      </c>
      <c r="J106" s="23">
        <f t="shared" ref="J106:K106" si="127">(J36*J76)/(J37)</f>
        <v>6.6144302244513661E-2</v>
      </c>
      <c r="K106" s="23">
        <f t="shared" si="127"/>
        <v>6.6389646845089342E-2</v>
      </c>
      <c r="L106" s="23">
        <f t="shared" ref="L106:M106" si="128">(L36*L76)/(L37)</f>
        <v>6.7074247167316275E-2</v>
      </c>
      <c r="M106" s="23">
        <f t="shared" si="128"/>
        <v>6.4629522483470161E-2</v>
      </c>
      <c r="N106" s="23"/>
    </row>
    <row r="107" spans="1:14">
      <c r="A107" s="22" t="s">
        <v>81</v>
      </c>
      <c r="B107" s="2" t="s">
        <v>74</v>
      </c>
      <c r="D107" s="23">
        <f t="shared" ref="D107:I107" si="129">SUM(D80:D106)</f>
        <v>100.14820222031103</v>
      </c>
      <c r="E107" s="23">
        <f t="shared" si="129"/>
        <v>100.24418155336512</v>
      </c>
      <c r="F107" s="23">
        <f t="shared" si="129"/>
        <v>100.37233852624003</v>
      </c>
      <c r="G107" s="23">
        <f t="shared" si="129"/>
        <v>100.38052040455294</v>
      </c>
      <c r="H107" s="23">
        <f t="shared" si="129"/>
        <v>100.30477313572754</v>
      </c>
      <c r="I107" s="23">
        <f t="shared" si="129"/>
        <v>100.30656512531226</v>
      </c>
      <c r="J107" s="23">
        <f t="shared" ref="J107:K107" si="130">SUM(J80:J106)</f>
        <v>100.30628614200819</v>
      </c>
      <c r="K107" s="23">
        <f t="shared" si="130"/>
        <v>100.24107119252854</v>
      </c>
      <c r="L107" s="23">
        <f t="shared" ref="L107:M107" si="131">SUM(L80:L106)</f>
        <v>100.1850667171028</v>
      </c>
      <c r="M107" s="23">
        <f t="shared" si="131"/>
        <v>100.18685253525106</v>
      </c>
      <c r="N107" s="23"/>
    </row>
    <row r="108" spans="1:14" s="133" customFormat="1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</row>
    <row r="109" spans="1:14" s="85" customFormat="1">
      <c r="A109" s="153" t="s">
        <v>967</v>
      </c>
      <c r="B109" s="84" t="s">
        <v>74</v>
      </c>
      <c r="C109" s="84"/>
      <c r="D109" s="88">
        <f t="shared" ref="D109:I109" si="132">SUM(D102,D80,D81,D82,D83,D84)</f>
        <v>5.9341508155458147</v>
      </c>
      <c r="E109" s="88">
        <f t="shared" si="132"/>
        <v>11.773673626684294</v>
      </c>
      <c r="F109" s="88">
        <f t="shared" si="132"/>
        <v>15.362916111355934</v>
      </c>
      <c r="G109" s="88">
        <f t="shared" si="132"/>
        <v>15.815996324752993</v>
      </c>
      <c r="H109" s="88">
        <f t="shared" si="132"/>
        <v>12.238371740356699</v>
      </c>
      <c r="I109" s="88">
        <f t="shared" si="132"/>
        <v>12.332800833906749</v>
      </c>
      <c r="J109" s="88">
        <f t="shared" ref="J109:K109" si="133">SUM(J102,J80,J81,J82,J83,J84)</f>
        <v>12.288955962415798</v>
      </c>
      <c r="K109" s="88">
        <f t="shared" si="133"/>
        <v>9.2561061111465275</v>
      </c>
      <c r="L109" s="88">
        <f t="shared" ref="L109:M109" si="134">SUM(L102,L80,L81,L82,L83,L84)</f>
        <v>6.5879145564327786</v>
      </c>
      <c r="M109" s="88">
        <f t="shared" si="134"/>
        <v>6.6746690622838605</v>
      </c>
      <c r="N109" s="88"/>
    </row>
    <row r="110" spans="1:14" s="85" customFormat="1">
      <c r="A110" s="153" t="s">
        <v>968</v>
      </c>
      <c r="B110" s="84" t="s">
        <v>74</v>
      </c>
      <c r="C110" s="84"/>
      <c r="D110" s="88">
        <f t="shared" ref="D110:I110" si="135">D107-D109</f>
        <v>94.214051404765215</v>
      </c>
      <c r="E110" s="88">
        <f t="shared" si="135"/>
        <v>88.470507926680824</v>
      </c>
      <c r="F110" s="88">
        <f t="shared" si="135"/>
        <v>85.009422414884099</v>
      </c>
      <c r="G110" s="88">
        <f t="shared" si="135"/>
        <v>84.564524079799952</v>
      </c>
      <c r="H110" s="88">
        <f t="shared" si="135"/>
        <v>88.066401395370846</v>
      </c>
      <c r="I110" s="88">
        <f t="shared" si="135"/>
        <v>87.973764291405516</v>
      </c>
      <c r="J110" s="88">
        <f t="shared" ref="J110:K110" si="136">J107-J109</f>
        <v>88.017330179592392</v>
      </c>
      <c r="K110" s="88">
        <f t="shared" si="136"/>
        <v>90.984965081382015</v>
      </c>
      <c r="L110" s="88">
        <f t="shared" ref="L110:M110" si="137">L107-L109</f>
        <v>93.597152160670021</v>
      </c>
      <c r="M110" s="88">
        <f t="shared" si="137"/>
        <v>93.512183472967209</v>
      </c>
      <c r="N110" s="88"/>
    </row>
    <row r="111" spans="1:14">
      <c r="A111" s="22" t="s">
        <v>41</v>
      </c>
      <c r="B111" s="2" t="s">
        <v>74</v>
      </c>
      <c r="D111" s="23">
        <f t="shared" ref="D111:I111" si="138">D107-100</f>
        <v>0.14820222031103469</v>
      </c>
      <c r="E111" s="23">
        <f t="shared" si="138"/>
        <v>0.2441815533651237</v>
      </c>
      <c r="F111" s="23">
        <f t="shared" si="138"/>
        <v>0.3723385262400285</v>
      </c>
      <c r="G111" s="23">
        <f t="shared" si="138"/>
        <v>0.38052040455293934</v>
      </c>
      <c r="H111" s="23">
        <f t="shared" si="138"/>
        <v>0.30477313572754383</v>
      </c>
      <c r="I111" s="23">
        <f t="shared" si="138"/>
        <v>0.30656512531226099</v>
      </c>
      <c r="J111" s="23">
        <f t="shared" ref="J111:K111" si="139">J107-100</f>
        <v>0.30628614200819015</v>
      </c>
      <c r="K111" s="23">
        <f t="shared" si="139"/>
        <v>0.24107119252853693</v>
      </c>
      <c r="L111" s="23">
        <f t="shared" ref="L111:M111" si="140">L107-100</f>
        <v>0.18506671710279932</v>
      </c>
      <c r="M111" s="23">
        <f t="shared" si="140"/>
        <v>0.18685253525106305</v>
      </c>
      <c r="N111" s="23"/>
    </row>
    <row r="112" spans="1:14" ht="15.75" customHeight="1">
      <c r="A112" s="22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</row>
    <row r="113" spans="1:14">
      <c r="A113" s="22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</row>
    <row r="114" spans="1:14">
      <c r="A114" s="22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</row>
    <row r="115" spans="1:14" s="85" customFormat="1">
      <c r="A115" s="153" t="s">
        <v>969</v>
      </c>
      <c r="B115" s="84" t="s">
        <v>8</v>
      </c>
      <c r="C115" s="84"/>
      <c r="D115" s="90"/>
      <c r="E115" s="90"/>
      <c r="F115" s="90">
        <f t="shared" ref="F115:M115" si="141">100*(F37*$D$8-F36*F50)/(F37*$D$8)</f>
        <v>13.608688106973457</v>
      </c>
      <c r="G115" s="90"/>
      <c r="H115" s="90">
        <f t="shared" si="141"/>
        <v>8.9821661806291075</v>
      </c>
      <c r="I115" s="90">
        <f t="shared" si="141"/>
        <v>9.0653684356424247</v>
      </c>
      <c r="J115" s="90">
        <f t="shared" si="141"/>
        <v>8.8200533348818055</v>
      </c>
      <c r="K115" s="90">
        <f t="shared" si="141"/>
        <v>5.9166543127906044</v>
      </c>
      <c r="L115" s="90">
        <f t="shared" si="141"/>
        <v>3.5681476951242579</v>
      </c>
      <c r="M115" s="90">
        <f t="shared" si="141"/>
        <v>3.7217821792155328</v>
      </c>
      <c r="N115" s="90"/>
    </row>
    <row r="116" spans="1:14" s="85" customFormat="1">
      <c r="A116" s="153" t="s">
        <v>970</v>
      </c>
      <c r="B116" s="84" t="s">
        <v>8</v>
      </c>
      <c r="C116" s="84"/>
      <c r="D116" s="84"/>
      <c r="E116" s="84"/>
      <c r="F116" s="84"/>
      <c r="G116" s="84"/>
      <c r="H116" s="84"/>
      <c r="I116" s="84"/>
      <c r="J116" s="84"/>
    </row>
    <row r="117" spans="1:14" s="85" customFormat="1">
      <c r="A117" s="153" t="s">
        <v>971</v>
      </c>
      <c r="B117" s="84" t="s">
        <v>8</v>
      </c>
      <c r="C117" s="84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</row>
    <row r="118" spans="1:14">
      <c r="A118" s="22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</row>
    <row r="119" spans="1:14">
      <c r="A119" s="38" t="s">
        <v>18</v>
      </c>
      <c r="B119" s="2" t="s">
        <v>8</v>
      </c>
      <c r="D119" s="26"/>
      <c r="E119" s="26">
        <f>100*(E36*E51-E37*$D$9)/(E37*$D$8-E36*E50)</f>
        <v>2.276585136891236</v>
      </c>
      <c r="F119" s="26">
        <f t="shared" ref="F119:M119" si="142">100*(F36*F51-F37*$D$9)/(F37*$D$8-F36*F50)</f>
        <v>3.3379455239829778</v>
      </c>
      <c r="G119" s="26">
        <f t="shared" si="142"/>
        <v>-0.83357230218707457</v>
      </c>
      <c r="H119" s="26">
        <f t="shared" si="142"/>
        <v>-11.734659324332988</v>
      </c>
      <c r="I119" s="26">
        <f t="shared" si="142"/>
        <v>-11.576812113418804</v>
      </c>
      <c r="J119" s="26">
        <f t="shared" si="142"/>
        <v>-11.245417620007235</v>
      </c>
      <c r="K119" s="26">
        <f t="shared" si="142"/>
        <v>-23.441787709448015</v>
      </c>
      <c r="L119" s="26">
        <f t="shared" si="142"/>
        <v>-31.637801263360835</v>
      </c>
      <c r="M119" s="26">
        <f t="shared" si="142"/>
        <v>-31.17726341755689</v>
      </c>
      <c r="N119" s="26"/>
    </row>
    <row r="120" spans="1:14">
      <c r="A120" s="38" t="s">
        <v>19</v>
      </c>
      <c r="B120" s="2" t="s">
        <v>8</v>
      </c>
      <c r="D120" s="26"/>
      <c r="E120" s="26">
        <f>100*(E36*E52-E37*$D$10)/(E37*$D$8-E36*E50)</f>
        <v>30.73234110251887</v>
      </c>
      <c r="F120" s="26">
        <f t="shared" ref="F120:M120" si="143">100*(F36*F52-F37*$D$10)/(F37*$D$8-F36*F50)</f>
        <v>44.158910412721426</v>
      </c>
      <c r="G120" s="26">
        <f t="shared" si="143"/>
        <v>43.210060678400154</v>
      </c>
      <c r="H120" s="26">
        <f t="shared" si="143"/>
        <v>47.241744156504566</v>
      </c>
      <c r="I120" s="26">
        <f t="shared" si="143"/>
        <v>47.022395156804748</v>
      </c>
      <c r="J120" s="26">
        <f t="shared" si="143"/>
        <v>48.76169907627429</v>
      </c>
      <c r="K120" s="26">
        <f t="shared" si="143"/>
        <v>54.108243388209232</v>
      </c>
      <c r="L120" s="26">
        <f t="shared" si="143"/>
        <v>61.975018253315227</v>
      </c>
      <c r="M120" s="26">
        <f t="shared" si="143"/>
        <v>59.665641814578855</v>
      </c>
      <c r="N120" s="26"/>
    </row>
    <row r="121" spans="1:14" s="80" customFormat="1">
      <c r="A121" s="38" t="s">
        <v>20</v>
      </c>
      <c r="B121" s="2" t="s">
        <v>8</v>
      </c>
      <c r="C121" s="81"/>
      <c r="D121" s="82"/>
      <c r="E121" s="26">
        <f>100*(E36*E53-E37*$D$11)/(E37*$D$8-E36*E50)</f>
        <v>26.593292379807291</v>
      </c>
      <c r="F121" s="26">
        <f t="shared" ref="F121:M121" si="144">100*(F36*F53-F37*$D$11)/(F37*$D$8-F36*F50)</f>
        <v>49.997437800488655</v>
      </c>
      <c r="G121" s="26">
        <f t="shared" si="144"/>
        <v>54.354207546738074</v>
      </c>
      <c r="H121" s="26">
        <f t="shared" si="144"/>
        <v>63.556939909203564</v>
      </c>
      <c r="I121" s="26">
        <f t="shared" si="144"/>
        <v>63.483691971413528</v>
      </c>
      <c r="J121" s="26">
        <f t="shared" si="144"/>
        <v>65.567975186943983</v>
      </c>
      <c r="K121" s="26">
        <f t="shared" si="144"/>
        <v>75.857420592522487</v>
      </c>
      <c r="L121" s="26">
        <f t="shared" si="144"/>
        <v>85.049000411308882</v>
      </c>
      <c r="M121" s="26">
        <f t="shared" si="144"/>
        <v>82.540944147171359</v>
      </c>
      <c r="N121" s="82"/>
    </row>
    <row r="122" spans="1:14">
      <c r="A122" s="38" t="s">
        <v>75</v>
      </c>
      <c r="B122" s="2" t="s">
        <v>8</v>
      </c>
      <c r="E122" s="26">
        <f>100*(E36*E54-E37*$D$12)/(E37*$D$8-E36*E50)</f>
        <v>7.0902706713302663</v>
      </c>
      <c r="F122" s="26">
        <f t="shared" ref="F122:M122" si="145">100*(F36*F54-F37*$D$12)/(F37*$D$8-F36*F50)</f>
        <v>7.7134675288765218</v>
      </c>
      <c r="G122" s="26">
        <f t="shared" si="145"/>
        <v>6.991585092500606</v>
      </c>
      <c r="H122" s="26">
        <f t="shared" si="145"/>
        <v>6.6518930518596697</v>
      </c>
      <c r="I122" s="26">
        <f t="shared" si="145"/>
        <v>6.6656630967414188</v>
      </c>
      <c r="J122" s="26">
        <f t="shared" si="145"/>
        <v>6.8740057264069119</v>
      </c>
      <c r="K122" s="26">
        <f t="shared" si="145"/>
        <v>6.4612819971134909</v>
      </c>
      <c r="L122" s="26">
        <f t="shared" si="145"/>
        <v>5.9097203335599611</v>
      </c>
      <c r="M122" s="26">
        <f t="shared" si="145"/>
        <v>5.7721616636680579</v>
      </c>
      <c r="N122" s="2"/>
    </row>
    <row r="123" spans="1:14" s="85" customFormat="1">
      <c r="A123" s="151" t="s">
        <v>972</v>
      </c>
      <c r="B123" s="84" t="s">
        <v>8</v>
      </c>
      <c r="C123" s="84"/>
      <c r="D123" s="90"/>
      <c r="E123" s="90">
        <f>SUM(E119:E122)</f>
        <v>66.692489290547655</v>
      </c>
      <c r="F123" s="90">
        <f t="shared" ref="F123:M123" si="146">SUM(F119:F122)</f>
        <v>105.20776126606958</v>
      </c>
      <c r="G123" s="90">
        <f t="shared" si="146"/>
        <v>103.72228101545176</v>
      </c>
      <c r="H123" s="90">
        <f t="shared" si="146"/>
        <v>105.71591779323481</v>
      </c>
      <c r="I123" s="90">
        <f t="shared" si="146"/>
        <v>105.5949381115409</v>
      </c>
      <c r="J123" s="90">
        <f t="shared" si="146"/>
        <v>109.95826236961794</v>
      </c>
      <c r="K123" s="90">
        <f t="shared" si="146"/>
        <v>112.9851582683972</v>
      </c>
      <c r="L123" s="90">
        <f t="shared" si="146"/>
        <v>121.29593773482324</v>
      </c>
      <c r="M123" s="90">
        <f t="shared" si="146"/>
        <v>116.80148420786138</v>
      </c>
      <c r="N123" s="90"/>
    </row>
    <row r="124" spans="1:14"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</row>
    <row r="125" spans="1:14" s="80" customFormat="1">
      <c r="A125" s="77" t="s">
        <v>973</v>
      </c>
      <c r="B125" s="2" t="s">
        <v>8</v>
      </c>
      <c r="C125" s="81"/>
      <c r="D125" s="82"/>
      <c r="E125" s="26">
        <f>100*(E36*E59-E37*$D$14)/(E37*$D$13-E36*E58)</f>
        <v>-4.9117831930696294</v>
      </c>
      <c r="F125" s="26">
        <f t="shared" ref="F125:M125" si="147">100*(F36*F59-F37*$D$14)/(F37*$D$13-F36*F58)</f>
        <v>-29.696673291187597</v>
      </c>
      <c r="G125" s="26">
        <f t="shared" si="147"/>
        <v>-40.408140148857719</v>
      </c>
      <c r="H125" s="26">
        <f t="shared" si="147"/>
        <v>-41.13116089926897</v>
      </c>
      <c r="I125" s="26">
        <f t="shared" si="147"/>
        <v>-41.641049373286108</v>
      </c>
      <c r="J125" s="26">
        <f t="shared" si="147"/>
        <v>-41.531773968947348</v>
      </c>
      <c r="K125" s="26">
        <f t="shared" si="147"/>
        <v>-45.93480558728799</v>
      </c>
      <c r="L125" s="26">
        <f t="shared" si="147"/>
        <v>-50.110757685726107</v>
      </c>
      <c r="M125" s="26">
        <f t="shared" si="147"/>
        <v>-50.038843827766108</v>
      </c>
      <c r="N125" s="82"/>
    </row>
    <row r="126" spans="1:14">
      <c r="A126" s="77" t="s">
        <v>974</v>
      </c>
      <c r="B126" s="2" t="s">
        <v>8</v>
      </c>
      <c r="C126" s="81"/>
      <c r="D126" s="26"/>
      <c r="E126" s="26">
        <f>100*(E36*E60-E37*$D$15)/(E37*$D$13-E36*E58)</f>
        <v>28.884163411678752</v>
      </c>
      <c r="F126" s="26">
        <f t="shared" ref="F126:M126" si="148">100*(F36*F60-F37*$D$15)/(F37*$D$13-F36*F58)</f>
        <v>38.132300454279395</v>
      </c>
      <c r="G126" s="26">
        <f t="shared" si="148"/>
        <v>37.819153290722639</v>
      </c>
      <c r="H126" s="26">
        <f t="shared" si="148"/>
        <v>51.542860643456542</v>
      </c>
      <c r="I126" s="26">
        <f t="shared" si="148"/>
        <v>51.225605542455838</v>
      </c>
      <c r="J126" s="26">
        <f t="shared" si="148"/>
        <v>51.504532066390212</v>
      </c>
      <c r="K126" s="26">
        <f t="shared" si="148"/>
        <v>69.116906003759652</v>
      </c>
      <c r="L126" s="26">
        <f t="shared" si="148"/>
        <v>89.386173218116113</v>
      </c>
      <c r="M126" s="26">
        <f t="shared" si="148"/>
        <v>88.244810634458432</v>
      </c>
      <c r="N126" s="26"/>
    </row>
    <row r="127" spans="1:14">
      <c r="A127" s="22" t="s">
        <v>975</v>
      </c>
      <c r="B127" s="2" t="s">
        <v>8</v>
      </c>
      <c r="E127" s="1"/>
      <c r="F127" s="1"/>
      <c r="G127" s="1"/>
      <c r="H127" s="1"/>
      <c r="I127" s="1"/>
      <c r="J127" s="1"/>
      <c r="N127" s="2"/>
    </row>
    <row r="128" spans="1:14" s="152" customFormat="1">
      <c r="A128" s="151" t="s">
        <v>976</v>
      </c>
      <c r="B128" s="84" t="s">
        <v>8</v>
      </c>
      <c r="C128" s="99"/>
      <c r="D128" s="232"/>
      <c r="E128" s="90">
        <f>E126+E125</f>
        <v>23.972380218609125</v>
      </c>
      <c r="F128" s="90">
        <f t="shared" ref="F128:M128" si="149">F126+F125</f>
        <v>8.4356271630917981</v>
      </c>
      <c r="G128" s="90">
        <f t="shared" si="149"/>
        <v>-2.5889868581350797</v>
      </c>
      <c r="H128" s="90">
        <f t="shared" si="149"/>
        <v>10.411699744187572</v>
      </c>
      <c r="I128" s="90">
        <f t="shared" si="149"/>
        <v>9.5845561691697299</v>
      </c>
      <c r="J128" s="90">
        <f t="shared" si="149"/>
        <v>9.9727580974428633</v>
      </c>
      <c r="K128" s="90">
        <f t="shared" si="149"/>
        <v>23.182100416471663</v>
      </c>
      <c r="L128" s="90">
        <f t="shared" si="149"/>
        <v>39.275415532390006</v>
      </c>
      <c r="M128" s="90">
        <f t="shared" si="149"/>
        <v>38.205966806692324</v>
      </c>
      <c r="N128" s="232"/>
    </row>
    <row r="129" spans="1:14">
      <c r="A129" s="80"/>
      <c r="B129" s="81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</row>
    <row r="130" spans="1:14">
      <c r="A130" s="22" t="s">
        <v>977</v>
      </c>
      <c r="B130" s="2" t="s">
        <v>8</v>
      </c>
    </row>
    <row r="131" spans="1:14" s="85" customFormat="1">
      <c r="A131" s="151" t="s">
        <v>978</v>
      </c>
      <c r="B131" s="84" t="s">
        <v>8</v>
      </c>
      <c r="C131" s="84"/>
      <c r="D131" s="84"/>
      <c r="E131" s="84"/>
      <c r="F131" s="84"/>
      <c r="G131" s="84"/>
      <c r="H131" s="84"/>
      <c r="I131" s="84"/>
      <c r="J131" s="84"/>
    </row>
    <row r="132" spans="1:14">
      <c r="K132" s="2"/>
      <c r="L132" s="2"/>
      <c r="M132" s="2"/>
      <c r="N132" s="2"/>
    </row>
    <row r="133" spans="1:14" s="85" customFormat="1">
      <c r="A133" s="151" t="s">
        <v>979</v>
      </c>
      <c r="B133" s="84" t="s">
        <v>980</v>
      </c>
      <c r="C133" s="84"/>
      <c r="D133" s="84"/>
      <c r="E133" s="92">
        <f>E114*E110</f>
        <v>0</v>
      </c>
      <c r="F133" s="92">
        <f t="shared" ref="F133:M133" si="150">F114*F110</f>
        <v>0</v>
      </c>
      <c r="G133" s="92">
        <f t="shared" si="150"/>
        <v>0</v>
      </c>
      <c r="H133" s="92">
        <f t="shared" si="150"/>
        <v>0</v>
      </c>
      <c r="I133" s="92">
        <f t="shared" si="150"/>
        <v>0</v>
      </c>
      <c r="J133" s="92">
        <f t="shared" si="150"/>
        <v>0</v>
      </c>
      <c r="K133" s="92">
        <f t="shared" si="150"/>
        <v>0</v>
      </c>
      <c r="L133" s="92">
        <f t="shared" si="150"/>
        <v>0</v>
      </c>
      <c r="M133" s="92">
        <f t="shared" si="150"/>
        <v>0</v>
      </c>
    </row>
    <row r="134" spans="1:14">
      <c r="A134" s="83"/>
      <c r="E134" s="39"/>
      <c r="F134" s="39"/>
      <c r="G134" s="39"/>
      <c r="H134" s="39"/>
      <c r="I134" s="39"/>
      <c r="J134" s="39"/>
      <c r="K134" s="39"/>
      <c r="L134" s="39"/>
      <c r="M134" s="39"/>
    </row>
    <row r="135" spans="1:14" s="85" customFormat="1">
      <c r="A135" s="151" t="s">
        <v>981</v>
      </c>
      <c r="B135" s="99" t="s">
        <v>8</v>
      </c>
      <c r="C135" s="84"/>
      <c r="D135" s="84"/>
      <c r="E135" s="92">
        <f>(E86)/(E86+E85)*100</f>
        <v>43.246847204352854</v>
      </c>
      <c r="F135" s="92">
        <f t="shared" ref="F135:M135" si="151">(F86)/(F86+F85)*100</f>
        <v>43.802396973270881</v>
      </c>
      <c r="G135" s="92">
        <f t="shared" si="151"/>
        <v>43.821486450160393</v>
      </c>
      <c r="H135" s="92">
        <f t="shared" si="151"/>
        <v>42.482205937344567</v>
      </c>
      <c r="I135" s="92">
        <f t="shared" si="151"/>
        <v>42.500641040610112</v>
      </c>
      <c r="J135" s="92">
        <f t="shared" si="151"/>
        <v>42.470470280333686</v>
      </c>
      <c r="K135" s="92">
        <f t="shared" si="151"/>
        <v>41.164130301784482</v>
      </c>
      <c r="L135" s="92">
        <f t="shared" si="151"/>
        <v>39.854083971784206</v>
      </c>
      <c r="M135" s="92">
        <f t="shared" si="151"/>
        <v>39.898243817575889</v>
      </c>
    </row>
    <row r="136" spans="1:14" s="85" customFormat="1">
      <c r="A136" s="151" t="s">
        <v>982</v>
      </c>
      <c r="B136" s="99" t="s">
        <v>8</v>
      </c>
      <c r="C136" s="84"/>
      <c r="D136" s="84"/>
      <c r="E136" s="92" cm="1">
        <f t="array" ref="E136">SUM(E89:E92)/SUM(E89:E92+E88)*100</f>
        <v>20.364408885400632</v>
      </c>
      <c r="F136" s="92" cm="1">
        <f t="array" ref="F136">SUM(F89:F92)/SUM(F89:F92+F88)*100</f>
        <v>19.597772433115601</v>
      </c>
      <c r="G136" s="92" cm="1">
        <f t="array" ref="G136">SUM(G89:G92)/SUM(G89:G92+G88)*100</f>
        <v>19.300363332552219</v>
      </c>
      <c r="H136" s="92" cm="1">
        <f t="array" ref="H136">SUM(H89:H92)/SUM(H89:H92+H88)*100</f>
        <v>17.905783860678103</v>
      </c>
      <c r="I136" s="92" cm="1">
        <f t="array" ref="I136">SUM(I89:I92)/SUM(I89:I92+I88)*100</f>
        <v>17.933489268651563</v>
      </c>
      <c r="J136" s="92" cm="1">
        <f t="array" ref="J136">SUM(J89:J92)/SUM(J89:J92+J88)*100</f>
        <v>17.917121149046555</v>
      </c>
      <c r="K136" s="92" cm="1">
        <f t="array" ref="K136">SUM(K89:K92)/SUM(K89:K92+K88)*100</f>
        <v>16.911596187277173</v>
      </c>
      <c r="L136" s="92" cm="1">
        <f t="array" ref="L136">SUM(L89:L92)/SUM(L89:L92+L88)*100</f>
        <v>16.140454176750779</v>
      </c>
      <c r="M136" s="92" cm="1">
        <f t="array" ref="M136">SUM(M89:M92)/SUM(M89:M92+M88)*100</f>
        <v>16.165529327372163</v>
      </c>
    </row>
    <row r="137" spans="1:14" s="85" customFormat="1">
      <c r="A137" s="151" t="s">
        <v>983</v>
      </c>
      <c r="B137" s="99" t="s">
        <v>8</v>
      </c>
      <c r="C137" s="84"/>
      <c r="D137" s="84"/>
      <c r="E137" s="92">
        <f>SUM(E98,E97)/(SUM(E98,E97)+E96)*100</f>
        <v>65.960412072471058</v>
      </c>
      <c r="F137" s="92">
        <f t="shared" ref="F137:M137" si="152">SUM(F98,F97)/(SUM(F98,F97)+F96)*100</f>
        <v>61.463299138169027</v>
      </c>
      <c r="G137" s="92">
        <f t="shared" si="152"/>
        <v>59.564939350434933</v>
      </c>
      <c r="H137" s="92">
        <f t="shared" si="152"/>
        <v>56.811892924942285</v>
      </c>
      <c r="I137" s="92">
        <f t="shared" si="152"/>
        <v>56.818797769052885</v>
      </c>
      <c r="J137" s="92">
        <f t="shared" si="152"/>
        <v>56.830735315856828</v>
      </c>
      <c r="K137" s="92">
        <f t="shared" si="152"/>
        <v>54.528748735577928</v>
      </c>
      <c r="L137" s="92">
        <f t="shared" si="152"/>
        <v>52.610523219972215</v>
      </c>
      <c r="M137" s="92">
        <f t="shared" si="152"/>
        <v>52.661932171058055</v>
      </c>
    </row>
    <row r="138" spans="1:14">
      <c r="A138" s="83"/>
      <c r="K138" s="2"/>
      <c r="L138" s="2"/>
      <c r="M138" s="2"/>
    </row>
    <row r="139" spans="1:14" s="85" customFormat="1">
      <c r="A139" s="245" t="s">
        <v>984</v>
      </c>
      <c r="B139" s="99" t="s">
        <v>74</v>
      </c>
      <c r="C139" s="84"/>
      <c r="D139" s="84"/>
      <c r="E139" s="92">
        <f t="shared" ref="E139:M139" si="153">E137*SUM(E96:E101,E105,E106)</f>
        <v>2443.1763519973206</v>
      </c>
      <c r="F139" s="92">
        <f t="shared" si="153"/>
        <v>1908.2823950053009</v>
      </c>
      <c r="G139" s="92">
        <f t="shared" si="153"/>
        <v>1822.6516362978903</v>
      </c>
      <c r="H139" s="92">
        <f t="shared" si="153"/>
        <v>1965.0961660153594</v>
      </c>
      <c r="I139" s="92">
        <f t="shared" si="153"/>
        <v>1959.0128582156931</v>
      </c>
      <c r="J139" s="92">
        <f t="shared" si="153"/>
        <v>1958.5045034772477</v>
      </c>
      <c r="K139" s="92">
        <f t="shared" si="153"/>
        <v>2068.6898773360617</v>
      </c>
      <c r="L139" s="92">
        <f t="shared" si="153"/>
        <v>2153.924889454137</v>
      </c>
      <c r="M139" s="92">
        <f t="shared" si="153"/>
        <v>2151.3867576385574</v>
      </c>
    </row>
    <row r="140" spans="1:14" s="85" customFormat="1">
      <c r="A140" s="245" t="s">
        <v>985</v>
      </c>
      <c r="B140" s="99" t="s">
        <v>74</v>
      </c>
      <c r="C140" s="84"/>
      <c r="D140" s="84"/>
      <c r="E140" s="88">
        <f t="shared" ref="E140:M140" si="154">SUM(E96,E97,E98,E99,E100,E101,E105,E106)</f>
        <v>37.04004076434498</v>
      </c>
      <c r="F140" s="88">
        <f t="shared" si="154"/>
        <v>31.047510006182659</v>
      </c>
      <c r="G140" s="88">
        <f t="shared" si="154"/>
        <v>30.599403880440306</v>
      </c>
      <c r="H140" s="88">
        <f t="shared" si="154"/>
        <v>34.589521046439515</v>
      </c>
      <c r="I140" s="88">
        <f t="shared" si="154"/>
        <v>34.478252534985799</v>
      </c>
      <c r="J140" s="88">
        <f t="shared" si="154"/>
        <v>34.462065158794253</v>
      </c>
      <c r="K140" s="88">
        <f t="shared" si="154"/>
        <v>37.937600354037109</v>
      </c>
      <c r="L140" s="88">
        <f t="shared" si="154"/>
        <v>40.940951688472381</v>
      </c>
      <c r="M140" s="88">
        <f t="shared" si="154"/>
        <v>40.852788132618429</v>
      </c>
    </row>
    <row r="141" spans="1:14">
      <c r="A141" s="77"/>
    </row>
    <row r="142" spans="1:14" s="2" customFormat="1">
      <c r="A142" s="77"/>
      <c r="K142" s="1"/>
      <c r="L142" s="1"/>
      <c r="M142" s="1"/>
      <c r="N142" s="1"/>
    </row>
    <row r="143" spans="1:14" s="2" customFormat="1">
      <c r="A143" s="77"/>
      <c r="K143" s="1"/>
      <c r="L143" s="1"/>
      <c r="M143" s="1"/>
      <c r="N143" s="1"/>
    </row>
    <row r="144" spans="1:14" s="2" customFormat="1">
      <c r="A144" s="77"/>
      <c r="K144" s="1"/>
      <c r="L144" s="1"/>
      <c r="M144" s="1"/>
      <c r="N144" s="1"/>
    </row>
    <row r="145" spans="1:14" s="2" customFormat="1">
      <c r="A145" s="77"/>
      <c r="K145" s="1"/>
      <c r="L145" s="1"/>
      <c r="M145" s="1"/>
      <c r="N145" s="1"/>
    </row>
    <row r="146" spans="1:14" s="2" customFormat="1">
      <c r="A146" s="77"/>
      <c r="K146" s="1"/>
      <c r="L146" s="1"/>
      <c r="M146" s="1"/>
      <c r="N146" s="1"/>
    </row>
    <row r="147" spans="1:14" s="2" customFormat="1">
      <c r="A147" s="77"/>
      <c r="K147" s="1"/>
      <c r="L147" s="1"/>
      <c r="M147" s="1"/>
      <c r="N147" s="1"/>
    </row>
    <row r="148" spans="1:14" s="2" customFormat="1">
      <c r="A148" s="77"/>
      <c r="K148" s="1"/>
      <c r="L148" s="1"/>
      <c r="M148" s="1"/>
      <c r="N148" s="1"/>
    </row>
    <row r="149" spans="1:14" s="2" customFormat="1">
      <c r="A149" s="77"/>
      <c r="K149" s="1"/>
      <c r="L149" s="1"/>
      <c r="M149" s="1"/>
      <c r="N149" s="1"/>
    </row>
    <row r="150" spans="1:14" s="2" customFormat="1">
      <c r="A150" s="77"/>
      <c r="K150" s="1"/>
      <c r="L150" s="1"/>
      <c r="M150" s="1"/>
      <c r="N150" s="1"/>
    </row>
    <row r="151" spans="1:14" s="2" customFormat="1">
      <c r="A151" s="77"/>
      <c r="K151" s="1"/>
      <c r="L151" s="1"/>
      <c r="M151" s="1"/>
      <c r="N151" s="1"/>
    </row>
    <row r="152" spans="1:14" s="2" customFormat="1">
      <c r="A152" s="77"/>
      <c r="K152" s="1"/>
      <c r="L152" s="1"/>
      <c r="M152" s="1"/>
      <c r="N152" s="1"/>
    </row>
    <row r="153" spans="1:14" s="2" customFormat="1">
      <c r="A153" s="22"/>
      <c r="K153" s="1"/>
      <c r="L153" s="1"/>
      <c r="M153" s="1"/>
      <c r="N153" s="1"/>
    </row>
    <row r="154" spans="1:14" s="2" customFormat="1">
      <c r="A154" s="22"/>
      <c r="K154" s="1"/>
      <c r="L154" s="1"/>
      <c r="M154" s="1"/>
      <c r="N154" s="1"/>
    </row>
    <row r="155" spans="1:14" s="2" customFormat="1">
      <c r="A155" s="22"/>
      <c r="K155" s="1"/>
      <c r="L155" s="1"/>
      <c r="M155" s="1"/>
      <c r="N155" s="1"/>
    </row>
    <row r="156" spans="1:14" s="2" customFormat="1">
      <c r="A156" s="22"/>
      <c r="K156" s="1"/>
      <c r="L156" s="1"/>
      <c r="M156" s="1"/>
      <c r="N156" s="1"/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654D-E382-41CA-911F-CA205B43CE62}">
  <dimension ref="A1:N156"/>
  <sheetViews>
    <sheetView topLeftCell="A12" zoomScaleNormal="100" workbookViewId="0">
      <selection activeCell="D28" sqref="D28"/>
    </sheetView>
  </sheetViews>
  <sheetFormatPr defaultColWidth="9.140625" defaultRowHeight="15"/>
  <cols>
    <col min="1" max="1" width="29.7109375" style="2" bestFit="1" customWidth="1"/>
    <col min="2" max="2" width="11.7109375" style="2" bestFit="1" customWidth="1"/>
    <col min="3" max="3" width="11.7109375" style="2" customWidth="1"/>
    <col min="4" max="4" width="25.42578125" style="2" customWidth="1"/>
    <col min="5" max="5" width="27" style="2" bestFit="1" customWidth="1"/>
    <col min="6" max="10" width="15.85546875" style="2" bestFit="1" customWidth="1"/>
    <col min="11" max="11" width="15.85546875" style="1" bestFit="1" customWidth="1"/>
    <col min="12" max="13" width="15.85546875" style="2" bestFit="1" customWidth="1"/>
    <col min="14" max="16384" width="9.140625" style="1"/>
  </cols>
  <sheetData>
    <row r="1" spans="1:11" s="2" customFormat="1">
      <c r="A1" s="246" t="s">
        <v>939</v>
      </c>
      <c r="B1" s="246"/>
      <c r="C1" s="246"/>
      <c r="D1" s="246"/>
      <c r="K1" s="1"/>
    </row>
    <row r="2" spans="1:11" s="2" customFormat="1">
      <c r="A2" s="31" t="s">
        <v>940</v>
      </c>
      <c r="B2" s="16" t="s">
        <v>8</v>
      </c>
      <c r="C2" s="16"/>
      <c r="D2" s="105">
        <f>Reactor1!D2</f>
        <v>83.84</v>
      </c>
      <c r="G2" s="1"/>
      <c r="K2" s="1"/>
    </row>
    <row r="3" spans="1:11" s="2" customFormat="1">
      <c r="A3" s="31" t="s">
        <v>941</v>
      </c>
      <c r="B3" s="16" t="s">
        <v>8</v>
      </c>
      <c r="C3" s="16"/>
      <c r="D3" s="105">
        <f>Reactor1!D3</f>
        <v>16.159999999999997</v>
      </c>
      <c r="K3" s="1"/>
    </row>
    <row r="4" spans="1:11" s="2" customFormat="1">
      <c r="A4" s="31" t="s">
        <v>942</v>
      </c>
      <c r="B4" s="16" t="s">
        <v>8</v>
      </c>
      <c r="C4" s="16"/>
      <c r="D4" s="105">
        <f>Reactor1!D4</f>
        <v>100</v>
      </c>
      <c r="K4" s="1"/>
    </row>
    <row r="5" spans="1:11" s="2" customFormat="1">
      <c r="A5" s="31" t="s">
        <v>943</v>
      </c>
      <c r="B5" s="114" t="s">
        <v>89</v>
      </c>
      <c r="C5" s="114"/>
      <c r="D5" s="105">
        <f>Reactor1!D5</f>
        <v>0</v>
      </c>
      <c r="K5" s="1"/>
    </row>
    <row r="6" spans="1:11" s="2" customFormat="1">
      <c r="A6" s="31" t="s">
        <v>944</v>
      </c>
      <c r="B6" s="114" t="s">
        <v>89</v>
      </c>
      <c r="C6" s="114"/>
      <c r="D6" s="105">
        <f>Reactor1!D6</f>
        <v>89</v>
      </c>
      <c r="F6" s="2" t="s">
        <v>945</v>
      </c>
      <c r="G6" s="102">
        <v>46247</v>
      </c>
      <c r="K6" s="1"/>
    </row>
    <row r="7" spans="1:11" s="2" customFormat="1">
      <c r="A7" s="31" t="s">
        <v>946</v>
      </c>
      <c r="B7" s="16" t="s">
        <v>102</v>
      </c>
      <c r="C7" s="16"/>
      <c r="D7" s="105">
        <f>Reactor1!D7</f>
        <v>0.66500000000000004</v>
      </c>
      <c r="G7" s="138">
        <v>0.66666666666666663</v>
      </c>
      <c r="K7" s="1"/>
    </row>
    <row r="8" spans="1:11" s="2" customFormat="1">
      <c r="A8" s="29" t="s">
        <v>17</v>
      </c>
      <c r="B8" s="28" t="s">
        <v>8</v>
      </c>
      <c r="C8" s="28"/>
      <c r="D8" s="227">
        <f>Reactor1!D8</f>
        <v>17.808794750000001</v>
      </c>
      <c r="G8" s="138"/>
      <c r="K8" s="1"/>
    </row>
    <row r="9" spans="1:11" s="2" customFormat="1">
      <c r="A9" s="229" t="s">
        <v>18</v>
      </c>
      <c r="B9" s="28" t="s">
        <v>8</v>
      </c>
      <c r="C9" s="28"/>
      <c r="D9" s="227">
        <f>Reactor1!D9</f>
        <v>8.024783750000001</v>
      </c>
      <c r="G9" s="138"/>
      <c r="K9" s="1"/>
    </row>
    <row r="10" spans="1:11" s="2" customFormat="1">
      <c r="A10" s="229" t="s">
        <v>19</v>
      </c>
      <c r="B10" s="226" t="s">
        <v>8</v>
      </c>
      <c r="C10" s="28"/>
      <c r="D10" s="105">
        <f>Reactor1!D10</f>
        <v>3.6883509999999999</v>
      </c>
      <c r="G10" s="138"/>
      <c r="K10" s="1"/>
    </row>
    <row r="11" spans="1:11" s="2" customFormat="1">
      <c r="A11" s="229" t="s">
        <v>20</v>
      </c>
      <c r="B11" s="230" t="s">
        <v>8</v>
      </c>
      <c r="C11" s="28"/>
      <c r="D11" s="227">
        <f>Reactor1!D11</f>
        <v>0.72080225000000009</v>
      </c>
      <c r="G11" s="138"/>
      <c r="K11" s="1"/>
    </row>
    <row r="12" spans="1:11" s="2" customFormat="1">
      <c r="A12" s="229" t="s">
        <v>75</v>
      </c>
      <c r="B12" s="230" t="s">
        <v>8</v>
      </c>
      <c r="C12" s="28"/>
      <c r="D12" s="227">
        <f>Reactor1!D12</f>
        <v>1.6720374999999999E-2</v>
      </c>
      <c r="G12" s="138"/>
      <c r="K12" s="1"/>
    </row>
    <row r="13" spans="1:11" s="2" customFormat="1">
      <c r="A13" s="229" t="s">
        <v>25</v>
      </c>
      <c r="B13" s="230" t="s">
        <v>8</v>
      </c>
      <c r="C13" s="229"/>
      <c r="D13" s="227">
        <f>Reactor1!D13</f>
        <v>16.071277625</v>
      </c>
      <c r="G13" s="138"/>
      <c r="K13" s="1"/>
    </row>
    <row r="14" spans="1:11" s="2" customFormat="1">
      <c r="A14" s="229" t="s">
        <v>26</v>
      </c>
      <c r="B14" s="230" t="s">
        <v>8</v>
      </c>
      <c r="C14" s="229"/>
      <c r="D14" s="227">
        <f>Reactor1!D14</f>
        <v>13.769736375000001</v>
      </c>
      <c r="G14" s="138"/>
      <c r="K14" s="1"/>
    </row>
    <row r="15" spans="1:11" s="2" customFormat="1">
      <c r="A15" s="229" t="s">
        <v>27</v>
      </c>
      <c r="B15" s="230" t="s">
        <v>8</v>
      </c>
      <c r="C15" s="229"/>
      <c r="D15" s="227">
        <f>Reactor1!D15</f>
        <v>0.99247037500000013</v>
      </c>
      <c r="G15" s="138"/>
      <c r="K15" s="1"/>
    </row>
    <row r="16" spans="1:11">
      <c r="A16" s="22"/>
      <c r="D16" s="95"/>
      <c r="E16" s="1"/>
      <c r="F16" s="1"/>
      <c r="G16" s="1"/>
    </row>
    <row r="17" spans="1:13">
      <c r="A17" s="129" t="s">
        <v>988</v>
      </c>
      <c r="D17" s="95"/>
      <c r="E17" s="1"/>
      <c r="F17" s="1"/>
      <c r="G17" s="1"/>
    </row>
    <row r="18" spans="1:13" s="133" customFormat="1">
      <c r="A18" s="134"/>
      <c r="B18" s="131"/>
      <c r="C18" s="131"/>
      <c r="D18" s="132"/>
      <c r="H18" s="131"/>
      <c r="I18" s="131"/>
      <c r="J18" s="131"/>
      <c r="L18" s="131"/>
      <c r="M18" s="131"/>
    </row>
    <row r="19" spans="1:13" s="101" customFormat="1">
      <c r="A19" s="103" t="s">
        <v>227</v>
      </c>
      <c r="B19" s="104" t="s">
        <v>89</v>
      </c>
      <c r="C19" s="104"/>
      <c r="D19" s="102" cm="1">
        <f t="array" ref="D19:M19">TRANSPOSE(_xlfn._xlws.FILTER('Raw Data'!AU2:AU505,('Raw Data'!B2:B505=3)*('Raw Data'!AU2:AU505&lt;&gt;"")))</f>
        <v>46251</v>
      </c>
      <c r="E19" s="102">
        <v>46252</v>
      </c>
      <c r="F19" s="102">
        <v>46253</v>
      </c>
      <c r="G19" s="102">
        <v>46254</v>
      </c>
      <c r="H19" s="102">
        <v>46254</v>
      </c>
      <c r="I19" s="102">
        <v>46255</v>
      </c>
      <c r="J19" s="102">
        <v>46256</v>
      </c>
      <c r="K19" s="102">
        <v>46256</v>
      </c>
      <c r="L19" s="102">
        <v>46257</v>
      </c>
      <c r="M19" s="102">
        <v>46258</v>
      </c>
    </row>
    <row r="20" spans="1:13" s="101" customFormat="1">
      <c r="A20" s="103" t="s">
        <v>950</v>
      </c>
      <c r="B20" s="104" t="s">
        <v>89</v>
      </c>
      <c r="C20" s="104"/>
      <c r="D20" s="108" cm="1">
        <f t="array" ref="D20:M20">TRANSPOSE(_xlfn._xlws.FILTER('Raw Data'!AV2:AV505,('Raw Data'!B2:B505=3)*('Raw Data'!AV2:AV505&lt;&gt;"")))</f>
        <v>0.76090277777777782</v>
      </c>
      <c r="E20" s="108">
        <v>0.64803240740740742</v>
      </c>
      <c r="F20" s="108">
        <v>0.33703703703703702</v>
      </c>
      <c r="G20" s="108">
        <v>2.6064814814814815E-2</v>
      </c>
      <c r="H20" s="108">
        <v>0.71506944444444442</v>
      </c>
      <c r="I20" s="108">
        <v>0.40409722222222222</v>
      </c>
      <c r="J20" s="108">
        <v>9.3113425925925933E-2</v>
      </c>
      <c r="K20" s="108">
        <v>0.78215277777777781</v>
      </c>
      <c r="L20" s="108">
        <v>0.47116898148148151</v>
      </c>
      <c r="M20" s="108">
        <v>0.16017361111111111</v>
      </c>
    </row>
    <row r="21" spans="1:13" s="101" customFormat="1">
      <c r="A21" s="103" t="s">
        <v>121</v>
      </c>
      <c r="B21" s="102" t="s">
        <v>122</v>
      </c>
      <c r="C21" s="102"/>
      <c r="D21" s="39">
        <f>((D19+D20)-(G6+G7))*24</f>
        <v>98.261666666774545</v>
      </c>
      <c r="E21" s="23">
        <f t="shared" ref="E21:H21" si="0">((E19+E20)-(D19+D20))*24</f>
        <v>21.291111111058854</v>
      </c>
      <c r="F21" s="23">
        <f t="shared" si="0"/>
        <v>16.536111111170612</v>
      </c>
      <c r="G21" s="23">
        <f t="shared" si="0"/>
        <v>16.536666666681413</v>
      </c>
      <c r="H21" s="23">
        <f t="shared" si="0"/>
        <v>16.536111110995989</v>
      </c>
      <c r="I21" s="23">
        <f t="shared" ref="I21" si="1">((I19+I20)-(H19+H20))*24</f>
        <v>16.536666666681413</v>
      </c>
      <c r="J21" s="23">
        <f t="shared" ref="J21:K21" si="2">((J19+J20)-(I19+I20))*24</f>
        <v>16.536388888838701</v>
      </c>
      <c r="K21" s="23">
        <f t="shared" si="2"/>
        <v>16.536944444524124</v>
      </c>
      <c r="L21" s="23">
        <f t="shared" ref="L21" si="3">((L19+L20)-(K19+K20))*24</f>
        <v>16.536388888838701</v>
      </c>
      <c r="M21" s="23">
        <f t="shared" ref="M21" si="4">((M19+M20)-(L19+L20))*24</f>
        <v>16.536111111170612</v>
      </c>
    </row>
    <row r="22" spans="1:13" s="39" customFormat="1">
      <c r="A22" s="94" t="s">
        <v>951</v>
      </c>
      <c r="B22" s="39" t="s">
        <v>952</v>
      </c>
      <c r="D22" s="39">
        <f>D21-40</f>
        <v>58.261666666774545</v>
      </c>
      <c r="E22" s="39">
        <f>E21+D22</f>
        <v>79.552777777833398</v>
      </c>
      <c r="F22" s="39">
        <f t="shared" ref="F22:H22" si="5">F21+E22</f>
        <v>96.088888889004011</v>
      </c>
      <c r="G22" s="39">
        <f t="shared" si="5"/>
        <v>112.62555555568542</v>
      </c>
      <c r="H22" s="39">
        <f t="shared" si="5"/>
        <v>129.16166666668141</v>
      </c>
      <c r="I22" s="39">
        <f t="shared" ref="I22" si="6">I21+H22</f>
        <v>145.69833333336283</v>
      </c>
      <c r="J22" s="39">
        <f t="shared" ref="J22:K22" si="7">J21+I22</f>
        <v>162.23472222220153</v>
      </c>
      <c r="K22" s="39">
        <f t="shared" si="7"/>
        <v>178.77166666672565</v>
      </c>
      <c r="L22" s="39">
        <f t="shared" ref="L22" si="8">L21+K22</f>
        <v>195.30805555556435</v>
      </c>
      <c r="M22" s="39">
        <f t="shared" ref="M22" si="9">M21+L22</f>
        <v>211.84416666673496</v>
      </c>
    </row>
    <row r="23" spans="1:13" s="85" customFormat="1">
      <c r="A23" s="153" t="s">
        <v>114</v>
      </c>
      <c r="B23" s="84" t="s">
        <v>115</v>
      </c>
      <c r="C23" s="84"/>
      <c r="D23" s="88" cm="1">
        <f t="array" ref="D23:M23">TRANSPOSE(_xlfn._xlws.FILTER('Raw Data'!E2:E505,('Raw Data'!B2:B505=3)*('Raw Data'!E2:E505&lt;&gt;"")))</f>
        <v>25.292200000000001</v>
      </c>
      <c r="E23" s="92">
        <v>25.125900000000001</v>
      </c>
      <c r="F23" s="92">
        <v>25.241599999999998</v>
      </c>
      <c r="G23" s="92">
        <v>25.380500000000001</v>
      </c>
      <c r="H23" s="92">
        <v>25.289400000000001</v>
      </c>
      <c r="I23" s="92">
        <v>25.260400000000001</v>
      </c>
      <c r="J23" s="92">
        <v>25.221399999999999</v>
      </c>
      <c r="K23" s="92">
        <v>25.091100000000001</v>
      </c>
      <c r="L23" s="92">
        <v>25.235800000000001</v>
      </c>
      <c r="M23" s="92">
        <v>25.095500000000001</v>
      </c>
    </row>
    <row r="24" spans="1:13" s="85" customFormat="1">
      <c r="A24" s="153" t="s">
        <v>953</v>
      </c>
      <c r="B24" s="84" t="s">
        <v>954</v>
      </c>
      <c r="C24" s="84"/>
      <c r="D24" s="92" cm="1">
        <f t="array" ref="D24:M24">TRANSPOSE(_xlfn._xlws.FILTER('Raw Data'!C2:C505,('Raw Data'!B2:B505=3)*('Raw Data'!C2:C505&lt;&gt;"")))</f>
        <v>220</v>
      </c>
      <c r="E24" s="92">
        <v>220</v>
      </c>
      <c r="F24" s="92">
        <v>220</v>
      </c>
      <c r="G24" s="92">
        <v>214.9</v>
      </c>
      <c r="H24" s="92">
        <v>215.1</v>
      </c>
      <c r="I24" s="92">
        <v>215</v>
      </c>
      <c r="J24" s="92">
        <v>210</v>
      </c>
      <c r="K24" s="92">
        <v>205</v>
      </c>
      <c r="L24" s="84">
        <v>200</v>
      </c>
      <c r="M24" s="84">
        <v>200</v>
      </c>
    </row>
    <row r="25" spans="1:13" s="85" customFormat="1">
      <c r="A25" s="153" t="s">
        <v>56</v>
      </c>
      <c r="B25" s="84" t="s">
        <v>118</v>
      </c>
      <c r="C25" s="84"/>
      <c r="D25" s="90">
        <f>D37/$D$7*(1/2)</f>
        <v>1.5410915569587214</v>
      </c>
      <c r="E25" s="90">
        <f t="shared" ref="E25:F25" si="10">E37/$D$7*(1/2)</f>
        <v>1.5397491456243371</v>
      </c>
      <c r="F25" s="90">
        <f t="shared" si="10"/>
        <v>1.4956942665628468</v>
      </c>
      <c r="G25" s="90">
        <f t="shared" ref="G25:H25" si="11">G37/$D$7*(1/2)</f>
        <v>1.4848331868502502</v>
      </c>
      <c r="H25" s="90">
        <f t="shared" si="11"/>
        <v>1.5320845909503766</v>
      </c>
      <c r="I25" s="90">
        <f t="shared" ref="I25:J25" si="12">I37/$D$7*(1/2)</f>
        <v>1.5033551594748158</v>
      </c>
      <c r="J25" s="90">
        <f t="shared" si="12"/>
        <v>1.4913688519969881</v>
      </c>
      <c r="K25" s="90">
        <f t="shared" ref="K25" si="13">K37/$D$7*(1/2)</f>
        <v>1.4692848061728494</v>
      </c>
      <c r="L25" s="84"/>
      <c r="M25" s="84"/>
    </row>
    <row r="26" spans="1:13" s="85" customFormat="1">
      <c r="A26" s="153" t="s">
        <v>119</v>
      </c>
      <c r="B26" s="84" t="s">
        <v>955</v>
      </c>
      <c r="C26" s="84"/>
      <c r="D26" s="88">
        <f>(D35/2)/(D37/$D$6)</f>
        <v>2.8666217388042998</v>
      </c>
      <c r="E26" s="88">
        <f t="shared" ref="E26:F26" si="14">(E35/2)/(E37/$D$6)</f>
        <v>2.8232034984025538</v>
      </c>
      <c r="F26" s="88">
        <f t="shared" si="14"/>
        <v>2.921934148386069</v>
      </c>
      <c r="G26" s="88">
        <f t="shared" ref="G26:H26" si="15">(G35/2)/(G37/$D$6)</f>
        <v>3.0090037773814156</v>
      </c>
      <c r="H26" s="88">
        <f t="shared" si="15"/>
        <v>2.9040806667058625</v>
      </c>
      <c r="I26" s="88">
        <f t="shared" ref="I26:J26" si="16">(I35/2)/(I37/$D$6)</f>
        <v>2.9711708479502978</v>
      </c>
      <c r="J26" s="88">
        <f t="shared" si="16"/>
        <v>3.021928966071564</v>
      </c>
      <c r="K26" s="88">
        <f t="shared" ref="K26" si="17">(K35/2)/(K37/$D$6)</f>
        <v>3.7911714148021081</v>
      </c>
      <c r="L26" s="84"/>
      <c r="M26" s="84"/>
    </row>
    <row r="27" spans="1:13">
      <c r="A27" s="22" t="s">
        <v>956</v>
      </c>
      <c r="B27" s="2" t="s">
        <v>130</v>
      </c>
      <c r="D27" s="2">
        <v>3.2</v>
      </c>
      <c r="E27" s="2">
        <v>3.2</v>
      </c>
      <c r="F27" s="2">
        <v>3.2</v>
      </c>
      <c r="G27" s="2">
        <v>3.2</v>
      </c>
      <c r="H27" s="2">
        <v>3.2</v>
      </c>
      <c r="I27" s="2">
        <v>3.2</v>
      </c>
      <c r="J27" s="2">
        <v>3.2</v>
      </c>
      <c r="K27" s="2">
        <v>3.2</v>
      </c>
      <c r="L27" s="2">
        <v>3.2</v>
      </c>
      <c r="M27" s="2">
        <v>3.2</v>
      </c>
    </row>
    <row r="28" spans="1:13" s="79" customFormat="1">
      <c r="A28" s="111" t="s">
        <v>957</v>
      </c>
      <c r="B28" s="23" t="s">
        <v>958</v>
      </c>
      <c r="C28" s="23"/>
      <c r="D28" s="23" cm="1">
        <f t="array" ref="D28:M28">TRANSPOSE(_xlfn._xlws.FILTER('Raw Data'!AJ2:AJ505,('Raw Data'!B2:B505=3)*('Raw Data'!AJ2:AJ505&lt;&gt;"")))</f>
        <v>28.932162000000002</v>
      </c>
      <c r="E28" s="23">
        <v>28.546714000000001</v>
      </c>
      <c r="F28" s="23">
        <v>28.733661000000001</v>
      </c>
      <c r="G28" s="23">
        <v>29.297184000000001</v>
      </c>
      <c r="H28" s="23">
        <v>29.083886</v>
      </c>
      <c r="I28" s="23">
        <v>29.237400000000001</v>
      </c>
      <c r="J28" s="23">
        <v>29.553943</v>
      </c>
      <c r="K28" s="23">
        <v>34.324598000000002</v>
      </c>
      <c r="L28" s="23">
        <v>36.003307999999997</v>
      </c>
      <c r="M28" s="23">
        <v>35.828623999999998</v>
      </c>
    </row>
    <row r="29" spans="1:13" s="97" customFormat="1">
      <c r="A29" s="112" t="s">
        <v>956</v>
      </c>
      <c r="B29" s="26" t="s">
        <v>958</v>
      </c>
      <c r="C29" s="26"/>
      <c r="D29" s="23" cm="1">
        <f t="array" ref="D29:M29">TRANSPOSE(_xlfn._xlws.FILTER('Raw Data'!AN2:AN505,('Raw Data'!B2:B505=3)*('Raw Data'!AN2:AN505&lt;&gt;"")))</f>
        <v>58.333416</v>
      </c>
      <c r="E29" s="26">
        <v>58.498623000000002</v>
      </c>
      <c r="F29" s="26">
        <v>58.567864</v>
      </c>
      <c r="G29" s="26">
        <v>58.412683000000001</v>
      </c>
      <c r="H29" s="26">
        <v>58.22945</v>
      </c>
      <c r="I29" s="26">
        <v>58.308411</v>
      </c>
      <c r="J29" s="26">
        <v>58.415458000000001</v>
      </c>
      <c r="K29" s="26">
        <v>54.891832000000001</v>
      </c>
      <c r="L29" s="26">
        <v>65.146378999999996</v>
      </c>
      <c r="M29" s="26">
        <v>65.273762000000005</v>
      </c>
    </row>
    <row r="30" spans="1:13">
      <c r="A30" s="22" t="s">
        <v>959</v>
      </c>
      <c r="B30" s="2" t="s">
        <v>958</v>
      </c>
      <c r="D30" s="26">
        <f t="shared" ref="D30:F30" si="18">100-D29-D28</f>
        <v>12.734421999999999</v>
      </c>
      <c r="E30" s="26">
        <f t="shared" si="18"/>
        <v>12.954662999999996</v>
      </c>
      <c r="F30" s="26">
        <f t="shared" si="18"/>
        <v>12.698474999999998</v>
      </c>
      <c r="G30" s="26">
        <f t="shared" ref="G30:H30" si="19">100-G29-G28</f>
        <v>12.290132999999997</v>
      </c>
      <c r="H30" s="26">
        <f t="shared" si="19"/>
        <v>12.686664</v>
      </c>
      <c r="I30" s="26">
        <f t="shared" ref="I30:J30" si="20">100-I29-I28</f>
        <v>12.454189</v>
      </c>
      <c r="J30" s="26">
        <f t="shared" si="20"/>
        <v>12.030598999999999</v>
      </c>
      <c r="K30" s="26">
        <f t="shared" ref="K30" si="21">100-K29-K28</f>
        <v>10.783569999999997</v>
      </c>
      <c r="L30" s="26"/>
      <c r="M30" s="26"/>
    </row>
    <row r="31" spans="1:13">
      <c r="A31" s="22" t="s">
        <v>81</v>
      </c>
      <c r="B31" s="2" t="s">
        <v>958</v>
      </c>
      <c r="D31" s="2">
        <f t="shared" ref="D31:F31" si="22">SUM(D28:D30)</f>
        <v>100</v>
      </c>
      <c r="E31" s="2">
        <f t="shared" si="22"/>
        <v>100</v>
      </c>
      <c r="F31" s="2">
        <f t="shared" si="22"/>
        <v>100</v>
      </c>
      <c r="G31" s="2">
        <f t="shared" ref="G31:H31" si="23">SUM(G28:G30)</f>
        <v>100</v>
      </c>
      <c r="H31" s="2">
        <f t="shared" si="23"/>
        <v>100</v>
      </c>
      <c r="I31" s="2">
        <f t="shared" ref="I31:J31" si="24">SUM(I28:I30)</f>
        <v>100</v>
      </c>
      <c r="J31" s="2">
        <f t="shared" si="24"/>
        <v>100</v>
      </c>
      <c r="K31" s="2">
        <f t="shared" ref="K31:M31" si="25">SUM(K28:K30)</f>
        <v>100</v>
      </c>
      <c r="L31" s="39">
        <f t="shared" si="25"/>
        <v>101.149687</v>
      </c>
      <c r="M31" s="39">
        <f t="shared" si="25"/>
        <v>101.102386</v>
      </c>
    </row>
    <row r="32" spans="1:13" s="26" customFormat="1">
      <c r="A32" s="112" t="s">
        <v>650</v>
      </c>
      <c r="B32" s="96" t="s">
        <v>89</v>
      </c>
      <c r="C32" s="96"/>
      <c r="D32" s="23" cm="1">
        <f t="array" ref="D32:M32">TRANSPOSE(_xlfn._xlws.FILTER('Raw Data'!CP2:CP505,('Raw Data'!B2:B505=3)*('Raw Data'!CP2:CP505&lt;&gt;"")))</f>
        <v>71.02758</v>
      </c>
      <c r="E32" s="26">
        <v>69.981392</v>
      </c>
      <c r="F32" s="26">
        <v>69.448813999999999</v>
      </c>
      <c r="G32" s="26">
        <v>70.969314999999995</v>
      </c>
      <c r="H32" s="26">
        <v>70.751761999999999</v>
      </c>
      <c r="I32" s="26">
        <v>70.814980000000006</v>
      </c>
      <c r="J32" s="26">
        <v>72.796195999999995</v>
      </c>
      <c r="K32" s="26">
        <v>75.11618</v>
      </c>
      <c r="L32" s="26">
        <v>63.937545999999998</v>
      </c>
      <c r="M32" s="26">
        <v>68.44632</v>
      </c>
    </row>
    <row r="33" spans="1:14" s="23" customFormat="1">
      <c r="A33" s="111" t="s">
        <v>960</v>
      </c>
      <c r="B33" s="23" t="s">
        <v>8</v>
      </c>
      <c r="D33" s="23">
        <f>SUMPRODUCT($C$42:$C$77,D42:D77)</f>
        <v>83.26174697110001</v>
      </c>
      <c r="E33" s="23">
        <f>SUMPRODUCT($C$42:$C$77,E42:E77)</f>
        <v>83.223604225800003</v>
      </c>
      <c r="F33" s="23">
        <f>SUMPRODUCT($C$42:$C$77,F42:F77)</f>
        <v>83.204231576699996</v>
      </c>
      <c r="G33" s="23">
        <f>SUMPRODUCT($C$42:$C$77,G42:G77)</f>
        <v>83.294672674099999</v>
      </c>
      <c r="H33" s="23">
        <f>SUMPRODUCT($C$42:$C$77,H42:H77)</f>
        <v>83.253085165899961</v>
      </c>
      <c r="I33" s="23">
        <f t="shared" ref="I33:J33" si="26">SUMPRODUCT($C$42:$C$77,I42:I77)</f>
        <v>83.255284930500039</v>
      </c>
      <c r="J33" s="23">
        <f t="shared" si="26"/>
        <v>83.325229637500001</v>
      </c>
      <c r="K33" s="23">
        <f t="shared" ref="K33" si="27">SUMPRODUCT($C$42:$C$77,K42:K77)</f>
        <v>83.402152419900005</v>
      </c>
    </row>
    <row r="34" spans="1:14" s="23" customFormat="1">
      <c r="A34" s="111" t="s">
        <v>961</v>
      </c>
      <c r="B34" s="23" t="s">
        <v>8</v>
      </c>
      <c r="D34" s="23">
        <f>100-D33</f>
        <v>16.73825302889999</v>
      </c>
      <c r="E34" s="23">
        <f t="shared" ref="E34" si="28">100-E33</f>
        <v>16.776395774199997</v>
      </c>
      <c r="F34" s="23">
        <f t="shared" ref="F34:G34" si="29">100-F33</f>
        <v>16.795768423300004</v>
      </c>
      <c r="G34" s="23">
        <f t="shared" si="29"/>
        <v>16.705327325900001</v>
      </c>
      <c r="H34" s="23">
        <f t="shared" ref="H34:J34" si="30">100-H33</f>
        <v>16.746914834100039</v>
      </c>
      <c r="I34" s="23">
        <f t="shared" si="30"/>
        <v>16.744715069499961</v>
      </c>
      <c r="J34" s="23">
        <f t="shared" si="30"/>
        <v>16.674770362499999</v>
      </c>
      <c r="K34" s="23">
        <f t="shared" ref="K34" si="31">100-K33</f>
        <v>16.597847580099995</v>
      </c>
    </row>
    <row r="35" spans="1:14">
      <c r="A35" s="22" t="s">
        <v>957</v>
      </c>
      <c r="B35" s="2" t="s">
        <v>110</v>
      </c>
      <c r="D35" s="95">
        <f>(D27/(D29/100))*(D28/100)*(273/293)*(2/22.4)</f>
        <v>0.13203542298933249</v>
      </c>
      <c r="E35" s="95">
        <f t="shared" ref="E35:F35" si="32">(E27/(E29/100))*(E28/100)*(0.0416)*2</f>
        <v>0.12992232544277152</v>
      </c>
      <c r="F35" s="95">
        <f t="shared" si="32"/>
        <v>0.13061855738225317</v>
      </c>
      <c r="G35" s="95">
        <f t="shared" ref="G35:H35" si="33">(G27/(G29/100))*(G28/100)*(0.0416)*2</f>
        <v>0.13353405232490351</v>
      </c>
      <c r="H35" s="95">
        <f t="shared" si="33"/>
        <v>0.13297899617186834</v>
      </c>
      <c r="I35" s="95">
        <f t="shared" ref="I35:J35" si="34">(I27/(I29/100))*(I28/100)*(0.0416)*2</f>
        <v>0.13349987150224346</v>
      </c>
      <c r="J35" s="95">
        <f t="shared" si="34"/>
        <v>0.13469793875997685</v>
      </c>
      <c r="K35" s="95">
        <f t="shared" ref="K35:M35" si="35">(K27/(K29/100))*(K28/100)*(0.0416)*2</f>
        <v>0.16648343913025165</v>
      </c>
      <c r="L35" s="95">
        <f t="shared" si="35"/>
        <v>0.14713819661289232</v>
      </c>
      <c r="M35" s="95">
        <f t="shared" si="35"/>
        <v>0.14613854880556754</v>
      </c>
    </row>
    <row r="36" spans="1:14">
      <c r="A36" s="22" t="s">
        <v>959</v>
      </c>
      <c r="B36" s="2" t="s">
        <v>110</v>
      </c>
      <c r="D36" s="23">
        <f>(D27/(D29/100))*(D30/100)*(273/293)*(D32/22.4)</f>
        <v>2.0638866071324911</v>
      </c>
      <c r="E36" s="23">
        <f t="shared" ref="E36:F36" si="36">(E27/(E29/100))*(E30/100)*(0.0416)*(E32)</f>
        <v>2.0630338895817228</v>
      </c>
      <c r="F36" s="23">
        <f t="shared" si="36"/>
        <v>2.0044735292907978</v>
      </c>
      <c r="G36" s="23">
        <f t="shared" ref="G36:H36" si="37">(G27/(G29/100))*(G30/100)*(0.0416)*(G32)</f>
        <v>1.9877572696702748</v>
      </c>
      <c r="H36" s="23">
        <f t="shared" si="37"/>
        <v>2.052037621904208</v>
      </c>
      <c r="I36" s="23">
        <f t="shared" ref="I36:J36" si="38">(I27/(I29/100))*(I30/100)*(0.0416)*(I32)</f>
        <v>2.0135049033647379</v>
      </c>
      <c r="J36" s="23">
        <f t="shared" si="38"/>
        <v>1.9957744560305062</v>
      </c>
      <c r="K36" s="23">
        <f t="shared" ref="K36" si="39">(K27/(K29/100))*(K30/100)*(0.0416)*(K32)</f>
        <v>1.9644077519009624</v>
      </c>
    </row>
    <row r="37" spans="1:14">
      <c r="A37" s="22" t="s">
        <v>962</v>
      </c>
      <c r="B37" s="2" t="s">
        <v>110</v>
      </c>
      <c r="D37" s="23">
        <f>(D36*D33)/($D$2)</f>
        <v>2.0496517707550996</v>
      </c>
      <c r="E37" s="23">
        <f>(E36*E33)/($D$2)</f>
        <v>2.0478663636803685</v>
      </c>
      <c r="F37" s="23">
        <f>(F36*F33)/($D$2)</f>
        <v>1.9892733745285862</v>
      </c>
      <c r="G37" s="23">
        <f>(G36*G33)/($D$2)</f>
        <v>1.9748281385108331</v>
      </c>
      <c r="H37" s="23">
        <f>(H36*H33)/($D$2)</f>
        <v>2.0376725059640011</v>
      </c>
      <c r="I37" s="23">
        <f t="shared" ref="I37:J37" si="40">(I36*I33)/($D$2)</f>
        <v>1.9994623621015051</v>
      </c>
      <c r="J37" s="23">
        <f t="shared" si="40"/>
        <v>1.9835205731559942</v>
      </c>
      <c r="K37" s="23">
        <f t="shared" ref="K37" si="41">(K36*K33)/($D$2)</f>
        <v>1.9541487922098899</v>
      </c>
    </row>
    <row r="38" spans="1:14">
      <c r="A38" s="22" t="s">
        <v>963</v>
      </c>
      <c r="B38" s="2" t="s">
        <v>964</v>
      </c>
      <c r="D38" s="23">
        <f>D36/D35</f>
        <v>15.631309844019951</v>
      </c>
      <c r="E38" s="23">
        <f t="shared" ref="E38:F38" si="42">(E30*E32)/(E28*2)</f>
        <v>15.87897909424699</v>
      </c>
      <c r="F38" s="23">
        <f t="shared" si="42"/>
        <v>15.346008786674448</v>
      </c>
      <c r="G38" s="23">
        <f t="shared" ref="G38:H38" si="43">(G30*G32)/(G28*2)</f>
        <v>14.885770596056171</v>
      </c>
      <c r="H38" s="23">
        <f t="shared" si="43"/>
        <v>15.431291263862882</v>
      </c>
      <c r="I38" s="23">
        <f t="shared" ref="I38:J38" si="44">(I30*I32)/(I28*2)</f>
        <v>15.082448250378283</v>
      </c>
      <c r="J38" s="23">
        <f t="shared" si="44"/>
        <v>14.816666642440975</v>
      </c>
      <c r="K38" s="23">
        <f t="shared" ref="K38" si="45">(K30*K32)/(K28*2)</f>
        <v>11.799418381572885</v>
      </c>
    </row>
    <row r="39" spans="1:14" s="91" customFormat="1">
      <c r="A39" s="94" t="s">
        <v>965</v>
      </c>
      <c r="B39" s="93" t="s">
        <v>89</v>
      </c>
      <c r="C39" s="93"/>
      <c r="D39" s="23" cm="1">
        <f t="array" ref="D39:M39">TRANSPOSE(_xlfn._xlws.FILTER('Raw Data'!CO2:CO505,('Raw Data'!B2:B505=3)*('Raw Data'!CO2:CO505&lt;&gt;"")))</f>
        <v>76.392837999999998</v>
      </c>
      <c r="E39" s="39">
        <v>78.203963999999999</v>
      </c>
      <c r="F39" s="39">
        <v>78.930344000000005</v>
      </c>
      <c r="G39" s="39">
        <v>75.380820999999997</v>
      </c>
      <c r="H39" s="39">
        <v>75.883330999999998</v>
      </c>
      <c r="I39" s="39">
        <v>75.758658999999994</v>
      </c>
      <c r="J39" s="39">
        <v>71.458838999999998</v>
      </c>
      <c r="K39" s="39">
        <v>66.482963999999996</v>
      </c>
      <c r="L39" s="39">
        <v>89.387978000000004</v>
      </c>
      <c r="M39" s="39">
        <v>79.209663000000006</v>
      </c>
    </row>
    <row r="40" spans="1:14" s="91" customFormat="1">
      <c r="A40" s="94" t="s">
        <v>966</v>
      </c>
      <c r="B40" s="93" t="s">
        <v>89</v>
      </c>
      <c r="C40" s="93"/>
      <c r="D40" s="73" cm="1">
        <f t="array" ref="D40:M40">TRANSPOSE(_xlfn._xlws.FILTER('Raw Data'!CQ2:CQ506,('Raw Data'!B2:B506=3)*('Raw Data'!CQ2:CQ506&lt;&gt;"")))</f>
        <v>0.56308499999999995</v>
      </c>
      <c r="E40" s="73">
        <v>0.55628</v>
      </c>
      <c r="F40" s="73">
        <v>0.554593</v>
      </c>
      <c r="G40" s="73">
        <v>0.56365100000000001</v>
      </c>
      <c r="H40" s="73">
        <v>0.56028699999999998</v>
      </c>
      <c r="I40" s="73">
        <v>0.56001599999999996</v>
      </c>
      <c r="J40" s="73">
        <v>0.61988600000000005</v>
      </c>
      <c r="K40" s="73">
        <v>0.62796700000000005</v>
      </c>
      <c r="L40" s="73">
        <v>0.58895500000000001</v>
      </c>
      <c r="M40" s="73">
        <v>0.60517299999999996</v>
      </c>
      <c r="N40" s="78"/>
    </row>
    <row r="41" spans="1:14" s="133" customFormat="1">
      <c r="A41" s="134"/>
      <c r="B41" s="131"/>
      <c r="C41" s="131" t="s">
        <v>651</v>
      </c>
      <c r="D41" s="135"/>
      <c r="E41" s="135"/>
      <c r="F41" s="135"/>
      <c r="G41" s="135"/>
      <c r="H41" s="135"/>
      <c r="I41" s="135"/>
      <c r="J41" s="135"/>
      <c r="K41" s="135"/>
      <c r="L41" s="131"/>
      <c r="M41" s="131"/>
    </row>
    <row r="42" spans="1:14" s="2" customFormat="1" ht="18.75" customHeight="1">
      <c r="A42" s="38" t="s">
        <v>9</v>
      </c>
      <c r="B42" s="2" t="s">
        <v>8</v>
      </c>
      <c r="C42" s="95">
        <f>Reactor1!C42</f>
        <v>0.749</v>
      </c>
      <c r="D42" s="23" cm="1">
        <f t="array" ref="D42:M42">TRANSPOSE(_xlfn._xlws.FILTER('Raw Data'!BB2:BB505,('Raw Data'!B2:B505=3)*('Raw Data'!BB2:BB505&lt;&gt;"")))</f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">
        <v>0</v>
      </c>
      <c r="M42" s="2">
        <v>0</v>
      </c>
    </row>
    <row r="43" spans="1:14" s="2" customFormat="1">
      <c r="A43" s="38" t="s">
        <v>10</v>
      </c>
      <c r="B43" s="2" t="s">
        <v>8</v>
      </c>
      <c r="C43" s="95">
        <f>Reactor1!C43</f>
        <v>0.79900000000000004</v>
      </c>
      <c r="D43" s="23" cm="1">
        <f t="array" ref="D43:M43">TRANSPOSE(_xlfn._xlws.FILTER('Raw Data'!BC2:BC505,('Raw Data'!B2:B505=3)*('Raw Data'!BC2:BC505&lt;&gt;"")))</f>
        <v>0</v>
      </c>
      <c r="E43" s="26">
        <v>0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">
        <v>0</v>
      </c>
      <c r="M43" s="2">
        <v>0</v>
      </c>
    </row>
    <row r="44" spans="1:14" s="2" customFormat="1">
      <c r="A44" s="38" t="s">
        <v>11</v>
      </c>
      <c r="B44" s="2" t="s">
        <v>8</v>
      </c>
      <c r="C44" s="95">
        <f>Reactor1!C44</f>
        <v>0.81699999999999995</v>
      </c>
      <c r="D44" s="23" cm="1">
        <f t="array" ref="D44:M44">TRANSPOSE(_xlfn._xlws.FILTER('Raw Data'!BD2:BD505,('Raw Data'!B2:B505=3)*('Raw Data'!BD2:BD505&lt;&gt;"")))</f>
        <v>9.0285689999999992</v>
      </c>
      <c r="E44" s="26">
        <v>9.8913089999999997</v>
      </c>
      <c r="F44" s="26">
        <v>10.353241000000001</v>
      </c>
      <c r="G44" s="26">
        <v>9.0535139999999998</v>
      </c>
      <c r="H44" s="26">
        <v>9.2251049999999992</v>
      </c>
      <c r="I44" s="26">
        <v>9.1774660000000008</v>
      </c>
      <c r="J44" s="26">
        <v>7.5914950000000001</v>
      </c>
      <c r="K44" s="26">
        <v>5.9150390000000002</v>
      </c>
      <c r="L44" s="23">
        <v>15.242620000000001</v>
      </c>
      <c r="M44" s="23">
        <v>10.92606</v>
      </c>
    </row>
    <row r="45" spans="1:14" s="2" customFormat="1">
      <c r="A45" s="38" t="s">
        <v>12</v>
      </c>
      <c r="B45" s="2" t="s">
        <v>8</v>
      </c>
      <c r="C45" s="95">
        <f>Reactor1!C45</f>
        <v>0.82599999999999996</v>
      </c>
      <c r="D45" s="23" cm="1">
        <f t="array" ref="D45:M45">TRANSPOSE(_xlfn._xlws.FILTER('Raw Data'!BE2:BE505,('Raw Data'!B2:B505=3)*('Raw Data'!BE2:BE505&lt;&gt;"")))</f>
        <v>3.7051240000000001</v>
      </c>
      <c r="E45" s="26">
        <v>3.735582</v>
      </c>
      <c r="F45" s="26">
        <v>3.7505199999999999</v>
      </c>
      <c r="G45" s="26">
        <v>3.623135</v>
      </c>
      <c r="H45" s="26">
        <v>3.6290290000000001</v>
      </c>
      <c r="I45" s="26">
        <v>3.6197360000000001</v>
      </c>
      <c r="J45" s="26">
        <v>3.4574039999999999</v>
      </c>
      <c r="K45" s="26">
        <v>3.299569</v>
      </c>
      <c r="L45" s="23">
        <v>4.7226929999999996</v>
      </c>
      <c r="M45" s="23">
        <v>4.7729059999999999</v>
      </c>
    </row>
    <row r="46" spans="1:14" s="2" customFormat="1">
      <c r="A46" s="38" t="s">
        <v>13</v>
      </c>
      <c r="B46" s="2" t="s">
        <v>8</v>
      </c>
      <c r="C46" s="95">
        <f>Reactor1!C46</f>
        <v>0.82599999999999996</v>
      </c>
      <c r="D46" s="23" cm="1">
        <f t="array" ref="D46:M46">TRANSPOSE(_xlfn._xlws.FILTER('Raw Data'!BF2:BF505,('Raw Data'!B2:B505=3)*('Raw Data'!BF2:BF505&lt;&gt;"")))</f>
        <v>17.745235000000001</v>
      </c>
      <c r="E46" s="26">
        <v>19.062832</v>
      </c>
      <c r="F46" s="26">
        <v>19.737593</v>
      </c>
      <c r="G46" s="26">
        <v>18.000826</v>
      </c>
      <c r="H46" s="26">
        <v>18.265266</v>
      </c>
      <c r="I46" s="26">
        <v>18.218029000000001</v>
      </c>
      <c r="J46" s="26">
        <v>16.028065000000002</v>
      </c>
      <c r="K46" s="26">
        <v>13.474015</v>
      </c>
      <c r="L46" s="23">
        <v>30.142545999999999</v>
      </c>
      <c r="M46" s="23">
        <v>20.056726000000001</v>
      </c>
    </row>
    <row r="47" spans="1:14" s="2" customFormat="1">
      <c r="A47" s="38" t="s">
        <v>14</v>
      </c>
      <c r="B47" s="2" t="s">
        <v>8</v>
      </c>
      <c r="C47" s="95">
        <f>Reactor1!C47</f>
        <v>0.83299999999999996</v>
      </c>
      <c r="D47" s="23" cm="1">
        <f t="array" ref="D47:M47">TRANSPOSE(_xlfn._xlws.FILTER('Raw Data'!BG2:BG505,('Raw Data'!B2:B505=3)*('Raw Data'!BG2:BG505&lt;&gt;"")))</f>
        <v>11.996096</v>
      </c>
      <c r="E47" s="26">
        <v>11.938774</v>
      </c>
      <c r="F47" s="26">
        <v>11.94685</v>
      </c>
      <c r="G47" s="26">
        <v>12.145187999999999</v>
      </c>
      <c r="H47" s="26">
        <v>12.12237</v>
      </c>
      <c r="I47" s="26">
        <v>12.103301999999999</v>
      </c>
      <c r="J47" s="26">
        <v>12.257020000000001</v>
      </c>
      <c r="K47" s="26">
        <v>12.451097000000001</v>
      </c>
      <c r="L47" s="23">
        <v>8.1723130000000008</v>
      </c>
      <c r="M47" s="23">
        <v>9.5424299999999995</v>
      </c>
    </row>
    <row r="48" spans="1:14" s="2" customFormat="1">
      <c r="A48" s="38" t="s">
        <v>15</v>
      </c>
      <c r="B48" s="2" t="s">
        <v>8</v>
      </c>
      <c r="C48" s="95">
        <f>Reactor1!C48</f>
        <v>0.83299999999999996</v>
      </c>
      <c r="D48" s="23" cm="1">
        <f t="array" ref="D48:M48">TRANSPOSE(_xlfn._xlws.FILTER('Raw Data'!BH2:BH505,('Raw Data'!B2:B505=3)*('Raw Data'!BH2:BH505&lt;&gt;"")))</f>
        <v>11.612995</v>
      </c>
      <c r="E48" s="26">
        <v>11.752045000000001</v>
      </c>
      <c r="F48" s="26">
        <v>11.781513</v>
      </c>
      <c r="G48" s="26">
        <v>11.393465000000001</v>
      </c>
      <c r="H48" s="26">
        <v>11.439116</v>
      </c>
      <c r="I48" s="26">
        <v>11.416169</v>
      </c>
      <c r="J48" s="26">
        <v>11.001996</v>
      </c>
      <c r="K48" s="26">
        <v>10.555583</v>
      </c>
      <c r="L48" s="23">
        <v>13.380931</v>
      </c>
      <c r="M48" s="23">
        <v>10.223031000000001</v>
      </c>
    </row>
    <row r="49" spans="1:13" s="2" customFormat="1">
      <c r="A49" s="38" t="s">
        <v>16</v>
      </c>
      <c r="B49" s="2" t="s">
        <v>8</v>
      </c>
      <c r="C49" s="95">
        <f>Reactor1!C49</f>
        <v>0.85699999999999998</v>
      </c>
      <c r="D49" s="23" cm="1">
        <f t="array" ref="D49:M49">TRANSPOSE(_xlfn._xlws.FILTER('Raw Data'!BI2:BI505,('Raw Data'!B2:B505=3)*('Raw Data'!BI2:BI505&lt;&gt;"")))</f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3">
        <v>0</v>
      </c>
      <c r="M49" s="23">
        <v>0</v>
      </c>
    </row>
    <row r="50" spans="1:13" s="2" customFormat="1">
      <c r="A50" s="38" t="s">
        <v>17</v>
      </c>
      <c r="B50" s="2" t="s">
        <v>8</v>
      </c>
      <c r="C50" s="95">
        <f>Reactor1!C50</f>
        <v>0.83699999999999997</v>
      </c>
      <c r="D50" s="23" cm="1">
        <f t="array" ref="D50:M50">TRANSPOSE(_xlfn._xlws.FILTER('Raw Data'!BJ2:BJ505,('Raw Data'!B2:B505=3)*('Raw Data'!BJ2:BJ505&lt;&gt;"")))</f>
        <v>10.937249</v>
      </c>
      <c r="E50" s="26">
        <v>10.856396</v>
      </c>
      <c r="F50" s="26">
        <v>11.068094</v>
      </c>
      <c r="G50" s="26">
        <v>12.203727000000001</v>
      </c>
      <c r="H50" s="26">
        <v>12.073672</v>
      </c>
      <c r="I50" s="26">
        <v>12.098523</v>
      </c>
      <c r="J50" s="26">
        <v>13.227259</v>
      </c>
      <c r="K50" s="26">
        <v>14.463718999999999</v>
      </c>
      <c r="L50" s="23">
        <v>6.4272910000000003</v>
      </c>
      <c r="M50" s="23">
        <v>17.589853000000002</v>
      </c>
    </row>
    <row r="51" spans="1:13" s="2" customFormat="1">
      <c r="A51" s="38" t="s">
        <v>18</v>
      </c>
      <c r="B51" s="2" t="s">
        <v>8</v>
      </c>
      <c r="C51" s="95">
        <f>Reactor1!C51</f>
        <v>0.83699999999999997</v>
      </c>
      <c r="D51" s="23" cm="1">
        <f t="array" ref="D51:M51">TRANSPOSE(_xlfn._xlws.FILTER('Raw Data'!BK2:BK505,('Raw Data'!B2:B505=3)*('Raw Data'!BK2:BK505&lt;&gt;"")))</f>
        <v>9.5745550000000001</v>
      </c>
      <c r="E51" s="26">
        <v>9.5609400000000004</v>
      </c>
      <c r="F51" s="26">
        <v>9.4050340000000006</v>
      </c>
      <c r="G51" s="26">
        <v>8.9481459999999995</v>
      </c>
      <c r="H51" s="26">
        <v>9.0118399999999994</v>
      </c>
      <c r="I51" s="26">
        <v>9.0001560000000005</v>
      </c>
      <c r="J51" s="26">
        <v>8.5526309999999999</v>
      </c>
      <c r="K51" s="26">
        <v>8.0515290000000004</v>
      </c>
      <c r="L51" s="23">
        <v>7.3649250000000004</v>
      </c>
      <c r="M51" s="23">
        <v>14.172425</v>
      </c>
    </row>
    <row r="52" spans="1:13" s="2" customFormat="1">
      <c r="A52" s="38" t="s">
        <v>19</v>
      </c>
      <c r="B52" s="2" t="s">
        <v>8</v>
      </c>
      <c r="C52" s="95">
        <f>Reactor1!C52</f>
        <v>0.83699999999999997</v>
      </c>
      <c r="D52" s="23" cm="1">
        <f t="array" ref="D52:M52">TRANSPOSE(_xlfn._xlws.FILTER('Raw Data'!BL2:BL505,('Raw Data'!B2:B505=3)*('Raw Data'!BL2:BL505&lt;&gt;"")))</f>
        <v>5.9318090000000003</v>
      </c>
      <c r="E52" s="26">
        <v>5.9070400000000003</v>
      </c>
      <c r="F52" s="26">
        <v>5.7957599999999996</v>
      </c>
      <c r="G52" s="26">
        <v>5.4756999999999998</v>
      </c>
      <c r="H52" s="26">
        <v>5.5181019999999998</v>
      </c>
      <c r="I52" s="26">
        <v>5.5089240000000004</v>
      </c>
      <c r="J52" s="26">
        <v>5.20364</v>
      </c>
      <c r="K52" s="26">
        <v>4.8710329999999997</v>
      </c>
      <c r="L52" s="23">
        <v>4.4833129999999999</v>
      </c>
      <c r="M52" s="23">
        <v>7.0938290000000004</v>
      </c>
    </row>
    <row r="53" spans="1:13" s="2" customFormat="1">
      <c r="A53" s="38" t="s">
        <v>20</v>
      </c>
      <c r="B53" s="2" t="s">
        <v>8</v>
      </c>
      <c r="C53" s="95">
        <f>Reactor1!C53</f>
        <v>0.83699999999999997</v>
      </c>
      <c r="D53" s="23" cm="1">
        <f t="array" ref="D53:M53">TRANSPOSE(_xlfn._xlws.FILTER('Raw Data'!BM2:BM505,('Raw Data'!B2:B505=3)*('Raw Data'!BM2:BM505&lt;&gt;"")))</f>
        <v>2.7601339999999999</v>
      </c>
      <c r="E53" s="26">
        <v>2.8712240000000002</v>
      </c>
      <c r="F53" s="26">
        <v>2.9475709999999999</v>
      </c>
      <c r="G53" s="26">
        <v>2.8317830000000002</v>
      </c>
      <c r="H53" s="26">
        <v>2.8552759999999999</v>
      </c>
      <c r="I53" s="26">
        <v>2.8512789999999999</v>
      </c>
      <c r="J53" s="26">
        <v>2.7004250000000001</v>
      </c>
      <c r="K53" s="26">
        <v>2.5113020000000001</v>
      </c>
      <c r="L53" s="23">
        <v>2.490237</v>
      </c>
      <c r="M53" s="23">
        <v>3.140682</v>
      </c>
    </row>
    <row r="54" spans="1:13" s="2" customFormat="1">
      <c r="A54" s="38" t="s">
        <v>75</v>
      </c>
      <c r="B54" s="2" t="s">
        <v>8</v>
      </c>
      <c r="C54" s="95">
        <f>Reactor1!C54</f>
        <v>0.83699999999999997</v>
      </c>
      <c r="D54" s="23" cm="1">
        <f t="array" ref="D54:M54">TRANSPOSE(_xlfn._xlws.FILTER('Raw Data'!BN2:BN505,('Raw Data'!B2:B505=3)*('Raw Data'!BN2:BN505&lt;&gt;"")))</f>
        <v>0.86875999999999998</v>
      </c>
      <c r="E54" s="26">
        <v>0.83699900000000005</v>
      </c>
      <c r="F54" s="26">
        <v>0.76486100000000001</v>
      </c>
      <c r="G54" s="26">
        <v>0.61624500000000004</v>
      </c>
      <c r="H54" s="26">
        <v>0.63664900000000002</v>
      </c>
      <c r="I54" s="26">
        <v>0.63423700000000005</v>
      </c>
      <c r="J54" s="26">
        <v>0.50086699999999995</v>
      </c>
      <c r="K54" s="26">
        <v>0.35497000000000001</v>
      </c>
      <c r="L54" s="23">
        <v>0.68435199999999996</v>
      </c>
      <c r="M54" s="23">
        <v>0</v>
      </c>
    </row>
    <row r="55" spans="1:13" s="2" customFormat="1">
      <c r="A55" s="38" t="s">
        <v>22</v>
      </c>
      <c r="B55" s="2" t="s">
        <v>8</v>
      </c>
      <c r="C55" s="95">
        <f>Reactor1!C55</f>
        <v>0.85699999999999998</v>
      </c>
      <c r="D55" s="23" cm="1">
        <f t="array" ref="D55:M55">TRANSPOSE(_xlfn._xlws.FILTER('Raw Data'!BO2:BO505,('Raw Data'!B2:B505=3)*('Raw Data'!BO2:BO505&lt;&gt;"")))</f>
        <v>0.247892</v>
      </c>
      <c r="E55" s="26">
        <v>0.24310399999999999</v>
      </c>
      <c r="F55" s="26">
        <v>0.24413000000000001</v>
      </c>
      <c r="G55" s="26">
        <v>0.26530100000000001</v>
      </c>
      <c r="H55" s="26">
        <v>0.26215500000000003</v>
      </c>
      <c r="I55" s="26">
        <v>0.26195299999999999</v>
      </c>
      <c r="J55" s="26">
        <v>0.287273</v>
      </c>
      <c r="K55" s="26">
        <v>0.32502599999999998</v>
      </c>
      <c r="L55" s="23">
        <v>0.36025299999999999</v>
      </c>
      <c r="M55" s="23">
        <v>0</v>
      </c>
    </row>
    <row r="56" spans="1:13" s="2" customFormat="1">
      <c r="A56" s="38" t="s">
        <v>23</v>
      </c>
      <c r="B56" s="2" t="s">
        <v>8</v>
      </c>
      <c r="C56" s="95">
        <f>Reactor1!C56</f>
        <v>0.85699999999999998</v>
      </c>
      <c r="D56" s="23" cm="1">
        <f t="array" ref="D56:M56">TRANSPOSE(_xlfn._xlws.FILTER('Raw Data'!BP2:BP506,('Raw Data'!B2:B506=3)*('Raw Data'!BP2:BP506&lt;&gt;"")))</f>
        <v>0.57523199999999997</v>
      </c>
      <c r="E56" s="26">
        <v>0.55218699999999998</v>
      </c>
      <c r="F56" s="26">
        <v>0.53828200000000004</v>
      </c>
      <c r="G56" s="26">
        <v>0.54042199999999996</v>
      </c>
      <c r="H56" s="26">
        <v>0.53820000000000001</v>
      </c>
      <c r="I56" s="26">
        <v>0.53695800000000005</v>
      </c>
      <c r="J56" s="26">
        <v>0.54053899999999999</v>
      </c>
      <c r="K56" s="26">
        <v>0.55173399999999995</v>
      </c>
      <c r="L56" s="23">
        <v>0.82651699999999995</v>
      </c>
      <c r="M56" s="23">
        <v>0</v>
      </c>
    </row>
    <row r="57" spans="1:13" s="2" customFormat="1">
      <c r="A57" s="38" t="s">
        <v>24</v>
      </c>
      <c r="B57" s="2" t="s">
        <v>8</v>
      </c>
      <c r="C57" s="95">
        <f>Reactor1!C57</f>
        <v>0.92300000000000004</v>
      </c>
      <c r="D57" s="23" cm="1">
        <f t="array" ref="D57:M57">TRANSPOSE(_xlfn._xlws.FILTER('Raw Data'!BQ2:BQ505,('Raw Data'!B2:B505=3)*('Raw Data'!BQ2:BQ505&lt;&gt;"")))</f>
        <v>0</v>
      </c>
      <c r="E57" s="26">
        <v>0</v>
      </c>
      <c r="F57" s="26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3">
        <v>0</v>
      </c>
      <c r="M57" s="23">
        <v>0</v>
      </c>
    </row>
    <row r="58" spans="1:13">
      <c r="A58" s="38" t="s">
        <v>25</v>
      </c>
      <c r="B58" s="2" t="s">
        <v>8</v>
      </c>
      <c r="C58" s="95">
        <f>Reactor1!C58</f>
        <v>0.83899999999999997</v>
      </c>
      <c r="D58" s="23" cm="1">
        <f t="array" ref="D58:M58">TRANSPOSE(_xlfn._xlws.FILTER('Raw Data'!BR2:BR505,('Raw Data'!B2:B505=3)*('Raw Data'!BR2:BR505&lt;&gt;"")))</f>
        <v>2.8388339999999999</v>
      </c>
      <c r="E58" s="26">
        <v>2.6050049999999998</v>
      </c>
      <c r="F58" s="26">
        <v>2.7169180000000002</v>
      </c>
      <c r="G58" s="26">
        <v>4.0129330000000003</v>
      </c>
      <c r="H58" s="26">
        <v>3.8308909999999998</v>
      </c>
      <c r="I58" s="26">
        <v>3.8685179999999999</v>
      </c>
      <c r="J58" s="26">
        <v>5.4518820000000003</v>
      </c>
      <c r="K58" s="26">
        <v>7.4505670000000004</v>
      </c>
      <c r="L58" s="23">
        <v>1.899907</v>
      </c>
      <c r="M58" s="23">
        <v>2.4820519999999999</v>
      </c>
    </row>
    <row r="59" spans="1:13">
      <c r="A59" s="38" t="s">
        <v>26</v>
      </c>
      <c r="B59" s="2" t="s">
        <v>8</v>
      </c>
      <c r="C59" s="95">
        <f>Reactor1!C59</f>
        <v>0.83899999999999997</v>
      </c>
      <c r="D59" s="23" cm="1">
        <f t="array" ref="D59:M59">TRANSPOSE(_xlfn._xlws.FILTER('Raw Data'!BS2:BS505,('Raw Data'!B2:B505=3)*('Raw Data'!BS2:BS505&lt;&gt;"")))</f>
        <v>7.0036019999999999</v>
      </c>
      <c r="E59" s="26">
        <v>5.6833320000000001</v>
      </c>
      <c r="F59" s="26">
        <v>4.819706</v>
      </c>
      <c r="G59" s="26">
        <v>6.0632419999999998</v>
      </c>
      <c r="H59" s="26">
        <v>5.8802849999999998</v>
      </c>
      <c r="I59" s="26">
        <v>5.9292470000000002</v>
      </c>
      <c r="J59" s="26">
        <v>7.4954939999999999</v>
      </c>
      <c r="K59" s="26">
        <v>8.9313830000000003</v>
      </c>
      <c r="L59" s="23">
        <v>2.0984609999999999</v>
      </c>
      <c r="M59" s="23">
        <v>0</v>
      </c>
    </row>
    <row r="60" spans="1:13">
      <c r="A60" s="38" t="s">
        <v>27</v>
      </c>
      <c r="B60" s="2" t="s">
        <v>8</v>
      </c>
      <c r="C60" s="95">
        <f>Reactor1!C60</f>
        <v>0.83899999999999997</v>
      </c>
      <c r="D60" s="23" cm="1">
        <f t="array" ref="D60:M60">TRANSPOSE(_xlfn._xlws.FILTER('Raw Data'!BT2:BT505,('Raw Data'!B2:B505=3)*('Raw Data'!BT2:BT505&lt;&gt;"")))</f>
        <v>3.048162</v>
      </c>
      <c r="E60" s="26">
        <v>2.537032</v>
      </c>
      <c r="F60" s="26">
        <v>2.2160160000000002</v>
      </c>
      <c r="G60" s="26">
        <v>2.6491889999999998</v>
      </c>
      <c r="H60" s="26">
        <v>2.6004170000000002</v>
      </c>
      <c r="I60" s="26">
        <v>2.6223339999999999</v>
      </c>
      <c r="J60" s="26">
        <v>3.1327189999999998</v>
      </c>
      <c r="K60" s="26">
        <v>3.518526</v>
      </c>
      <c r="L60" s="23">
        <v>1.1576709999999999</v>
      </c>
      <c r="M60" s="23">
        <v>0</v>
      </c>
    </row>
    <row r="61" spans="1:13">
      <c r="A61" s="38" t="s">
        <v>28</v>
      </c>
      <c r="B61" s="2" t="s">
        <v>8</v>
      </c>
      <c r="C61" s="95">
        <f>Reactor1!C61</f>
        <v>0.85619999999999996</v>
      </c>
      <c r="D61" s="23" cm="1">
        <f t="array" ref="D61:M61">TRANSPOSE(_xlfn._xlws.FILTER('Raw Data'!BU2:BU505,('Raw Data'!B2:B505=3)*('Raw Data'!BU2:BU505&lt;&gt;"")))</f>
        <v>0.90431799999999996</v>
      </c>
      <c r="E61" s="26">
        <v>0.87341899999999995</v>
      </c>
      <c r="F61" s="26">
        <v>0.86450300000000002</v>
      </c>
      <c r="G61" s="26">
        <v>0.89563199999999998</v>
      </c>
      <c r="H61" s="26">
        <v>0.89000500000000005</v>
      </c>
      <c r="I61" s="26">
        <v>0.88954500000000003</v>
      </c>
      <c r="J61" s="26">
        <v>0.92362999999999995</v>
      </c>
      <c r="K61" s="26">
        <v>0.96072999999999997</v>
      </c>
      <c r="L61" s="23">
        <v>0.390345</v>
      </c>
      <c r="M61" s="23">
        <v>0</v>
      </c>
    </row>
    <row r="62" spans="1:13">
      <c r="A62" s="38" t="s">
        <v>29</v>
      </c>
      <c r="B62" s="2" t="s">
        <v>8</v>
      </c>
      <c r="C62" s="95">
        <f>Reactor1!C62</f>
        <v>0.91300000000000003</v>
      </c>
      <c r="D62" s="23" cm="1">
        <f t="array" ref="D62:M62">TRANSPOSE(_xlfn._xlws.FILTER('Raw Data'!BV2:BV505,('Raw Data'!B2:B505=3)*('Raw Data'!BV2:BV505&lt;&gt;"")))</f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6">
        <v>0</v>
      </c>
      <c r="L62" s="23">
        <v>0</v>
      </c>
      <c r="M62" s="23">
        <v>0</v>
      </c>
    </row>
    <row r="63" spans="1:13">
      <c r="A63" s="38" t="s">
        <v>30</v>
      </c>
      <c r="B63" s="2" t="s">
        <v>8</v>
      </c>
      <c r="C63" s="95">
        <f>Reactor1!C63</f>
        <v>0.84099999999999997</v>
      </c>
      <c r="D63" s="23" cm="1">
        <f t="array" ref="D63:M63">TRANSPOSE(_xlfn._xlws.FILTER('Raw Data'!BW2:BW505,('Raw Data'!B2:B505=3)*('Raw Data'!BW2:BW505&lt;&gt;"")))</f>
        <v>0.40426000000000001</v>
      </c>
      <c r="E63" s="26">
        <v>0.27910099999999999</v>
      </c>
      <c r="F63" s="26">
        <v>0.22084300000000001</v>
      </c>
      <c r="G63" s="26">
        <v>0.39317099999999999</v>
      </c>
      <c r="H63" s="26">
        <v>0.30650300000000003</v>
      </c>
      <c r="I63" s="26">
        <v>0.32949899999999999</v>
      </c>
      <c r="J63" s="26">
        <v>0.63063999999999998</v>
      </c>
      <c r="K63" s="26">
        <v>1.2706059999999999</v>
      </c>
      <c r="L63" s="23">
        <v>0.15562799999999999</v>
      </c>
      <c r="M63" s="23">
        <v>0</v>
      </c>
    </row>
    <row r="64" spans="1:13">
      <c r="A64" s="22" t="s">
        <v>636</v>
      </c>
      <c r="B64" s="2" t="s">
        <v>8</v>
      </c>
      <c r="C64" s="95">
        <f>Reactor1!C64</f>
        <v>0.85629999999999995</v>
      </c>
      <c r="D64" s="23" cm="1">
        <f t="array" ref="D64:M64">TRANSPOSE(_xlfn._xlws.FILTER('Raw Data'!BX2:BX505,('Raw Data'!B2:B505=3)*('Raw Data'!BX2:BX505&lt;&gt;"")))</f>
        <v>0.52621099999999998</v>
      </c>
      <c r="E64" s="26">
        <v>0.52335799999999999</v>
      </c>
      <c r="F64" s="26">
        <v>0.54764900000000005</v>
      </c>
      <c r="G64" s="26">
        <v>0.60988500000000001</v>
      </c>
      <c r="H64" s="26">
        <v>0.60502100000000003</v>
      </c>
      <c r="I64" s="26">
        <v>0.609985</v>
      </c>
      <c r="J64" s="26">
        <v>0.67277900000000002</v>
      </c>
      <c r="K64" s="26">
        <v>0.71658299999999997</v>
      </c>
      <c r="L64" s="23">
        <v>0</v>
      </c>
      <c r="M64" s="23">
        <v>0</v>
      </c>
    </row>
    <row r="65" spans="1:13">
      <c r="A65" s="22" t="s">
        <v>637</v>
      </c>
      <c r="B65" s="2" t="s">
        <v>8</v>
      </c>
      <c r="C65" s="95">
        <f>Reactor1!C65</f>
        <v>0.90600000000000003</v>
      </c>
      <c r="D65" s="23" cm="1">
        <f t="array" ref="D65:M65">TRANSPOSE(_xlfn._xlws.FILTER('Raw Data'!BY2:BY505,('Raw Data'!B2:B505=3)*('Raw Data'!BY2:BY505&lt;&gt;"")))</f>
        <v>0</v>
      </c>
      <c r="E65" s="26">
        <v>0</v>
      </c>
      <c r="F65" s="26">
        <v>0</v>
      </c>
      <c r="G65" s="26">
        <v>0</v>
      </c>
      <c r="H65" s="26">
        <v>0</v>
      </c>
      <c r="I65" s="26">
        <v>0</v>
      </c>
      <c r="J65" s="26">
        <v>0</v>
      </c>
      <c r="K65" s="26">
        <v>0</v>
      </c>
      <c r="L65" s="23">
        <v>0</v>
      </c>
      <c r="M65" s="23">
        <v>0</v>
      </c>
    </row>
    <row r="66" spans="1:13">
      <c r="A66" s="22" t="s">
        <v>638</v>
      </c>
      <c r="B66" s="2" t="s">
        <v>8</v>
      </c>
      <c r="C66" s="95">
        <f>Reactor1!C66</f>
        <v>0.84299999999999997</v>
      </c>
      <c r="D66" s="23" cm="1">
        <f t="array" ref="D66:M66">TRANSPOSE(_xlfn._xlws.FILTER('Raw Data'!BZ2:BZ505,('Raw Data'!B2:B505=3)*('Raw Data'!BZ2:BZ505&lt;&gt;"")))</f>
        <v>0.120694</v>
      </c>
      <c r="E66" s="26">
        <v>0.12111</v>
      </c>
      <c r="F66" s="26">
        <v>0.118947</v>
      </c>
      <c r="G66" s="26">
        <v>0.12514900000000001</v>
      </c>
      <c r="H66" s="26">
        <v>0.12614400000000001</v>
      </c>
      <c r="I66" s="26">
        <v>0.12690399999999999</v>
      </c>
      <c r="J66" s="26">
        <v>0.13037499999999999</v>
      </c>
      <c r="K66" s="26">
        <v>0.12697600000000001</v>
      </c>
      <c r="L66" s="23">
        <v>0</v>
      </c>
      <c r="M66" s="23">
        <v>0</v>
      </c>
    </row>
    <row r="67" spans="1:13">
      <c r="A67" s="22" t="s">
        <v>639</v>
      </c>
      <c r="B67" s="2" t="s">
        <v>8</v>
      </c>
      <c r="C67" s="95">
        <f>Reactor1!C67</f>
        <v>0.85699999999999998</v>
      </c>
      <c r="D67" s="23" cm="1">
        <f t="array" ref="D67:M67">TRANSPOSE(_xlfn._xlws.FILTER('Raw Data'!CA2:CA505,('Raw Data'!B2:B505=3)*('Raw Data'!CA2:CA505&lt;&gt;"")))</f>
        <v>2.4369999999999999E-3</v>
      </c>
      <c r="E67" s="26">
        <v>2.6280000000000001E-3</v>
      </c>
      <c r="F67" s="26">
        <v>2.4880000000000002E-3</v>
      </c>
      <c r="G67" s="26">
        <v>3.3050000000000002E-3</v>
      </c>
      <c r="H67" s="26">
        <v>3.101E-3</v>
      </c>
      <c r="I67" s="26">
        <v>3.199E-3</v>
      </c>
      <c r="J67" s="26">
        <v>3.4989999999999999E-3</v>
      </c>
      <c r="K67" s="26">
        <v>2.8470000000000001E-3</v>
      </c>
      <c r="L67" s="23">
        <v>0</v>
      </c>
      <c r="M67" s="23">
        <v>0</v>
      </c>
    </row>
    <row r="68" spans="1:13">
      <c r="A68" s="22" t="s">
        <v>640</v>
      </c>
      <c r="B68" s="2" t="s">
        <v>8</v>
      </c>
      <c r="C68" s="95">
        <f>Reactor1!C68</f>
        <v>0.9</v>
      </c>
      <c r="D68" s="23" cm="1">
        <f t="array" ref="D68:M68">TRANSPOSE(_xlfn._xlws.FILTER('Raw Data'!CB2:CB505,('Raw Data'!B2:B505=3)*('Raw Data'!CB2:CB505&lt;&gt;"")))</f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3">
        <v>0</v>
      </c>
      <c r="M68" s="23">
        <v>0</v>
      </c>
    </row>
    <row r="69" spans="1:13">
      <c r="A69" s="22" t="s">
        <v>641</v>
      </c>
      <c r="B69" s="2" t="s">
        <v>8</v>
      </c>
      <c r="C69" s="95">
        <f>Reactor1!C69</f>
        <v>0.84399999999999997</v>
      </c>
      <c r="D69" s="23" cm="1">
        <f t="array" ref="D69:M69">TRANSPOSE(_xlfn._xlws.FILTER('Raw Data'!CC2:CC505,('Raw Data'!B2:B505=3)*('Raw Data'!CC2:CC505&lt;&gt;"")))</f>
        <v>0</v>
      </c>
      <c r="E69" s="26">
        <v>0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>
        <v>0</v>
      </c>
      <c r="L69" s="23">
        <v>0</v>
      </c>
      <c r="M69" s="23">
        <v>0</v>
      </c>
    </row>
    <row r="70" spans="1:13">
      <c r="A70" s="22" t="s">
        <v>642</v>
      </c>
      <c r="B70" s="2" t="s">
        <v>8</v>
      </c>
      <c r="C70" s="95">
        <f>Reactor1!C70</f>
        <v>0.85709999999999997</v>
      </c>
      <c r="D70" s="23" cm="1">
        <f t="array" ref="D70:M70">TRANSPOSE(_xlfn._xlws.FILTER('Raw Data'!CD2:CD505,('Raw Data'!B2:B505=3)*('Raw Data'!CD2:CD505&lt;&gt;"")))</f>
        <v>0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6">
        <v>0</v>
      </c>
      <c r="L70" s="23">
        <v>0</v>
      </c>
      <c r="M70" s="23">
        <v>0</v>
      </c>
    </row>
    <row r="71" spans="1:13">
      <c r="A71" s="22" t="s">
        <v>643</v>
      </c>
      <c r="B71" s="2" t="s">
        <v>8</v>
      </c>
      <c r="C71" s="95">
        <f>Reactor1!C71</f>
        <v>0.89600000000000002</v>
      </c>
      <c r="D71" s="23" cm="1">
        <f t="array" ref="D71:M71">TRANSPOSE(_xlfn._xlws.FILTER('Raw Data'!CE2:CE505,('Raw Data'!B2:B505=3)*('Raw Data'!CE2:CE505&lt;&gt;"")))</f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3">
        <v>0</v>
      </c>
      <c r="M71" s="23">
        <v>0</v>
      </c>
    </row>
    <row r="72" spans="1:13">
      <c r="A72" s="22" t="s">
        <v>76</v>
      </c>
      <c r="B72" s="2" t="s">
        <v>8</v>
      </c>
      <c r="C72" s="95">
        <f>Reactor1!C72</f>
        <v>0.79</v>
      </c>
      <c r="D72" s="23" cm="1">
        <f t="array" ref="D72:M72">TRANSPOSE(_xlfn._xlws.FILTER('Raw Data'!CF2:CF505,('Raw Data'!B2:B505=3)*('Raw Data'!CF2:CF505&lt;&gt;"")))</f>
        <v>2.1371999999999999E-2</v>
      </c>
      <c r="E72" s="26">
        <v>1.7843000000000001E-2</v>
      </c>
      <c r="F72" s="26">
        <v>1.7646999999999999E-2</v>
      </c>
      <c r="G72" s="26">
        <v>1.3226999999999999E-2</v>
      </c>
      <c r="H72" s="26">
        <v>1.2788000000000001E-2</v>
      </c>
      <c r="I72" s="26">
        <v>1.2463E-2</v>
      </c>
      <c r="J72" s="26">
        <v>8.9899999999999997E-3</v>
      </c>
      <c r="K72" s="26">
        <v>7.6940000000000003E-3</v>
      </c>
      <c r="L72" s="23">
        <v>0</v>
      </c>
      <c r="M72" s="23">
        <v>0</v>
      </c>
    </row>
    <row r="73" spans="1:13">
      <c r="A73" s="22" t="s">
        <v>77</v>
      </c>
      <c r="B73" s="2" t="s">
        <v>8</v>
      </c>
      <c r="C73" s="95">
        <f>Reactor1!C73</f>
        <v>0.83</v>
      </c>
      <c r="D73" s="23" cm="1">
        <f t="array" ref="D73:M73">TRANSPOSE(_xlfn._xlws.FILTER('Raw Data'!CG2:CG505,('Raw Data'!B2:B505=3)*('Raw Data'!CG2:CG505&lt;&gt;"")))</f>
        <v>0</v>
      </c>
      <c r="E73" s="26">
        <v>4.5139999999999998E-3</v>
      </c>
      <c r="F73" s="26">
        <v>4.3930000000000002E-3</v>
      </c>
      <c r="G73" s="26">
        <v>0</v>
      </c>
      <c r="H73" s="26">
        <v>0</v>
      </c>
      <c r="I73" s="26">
        <v>0</v>
      </c>
      <c r="J73" s="26">
        <v>0</v>
      </c>
      <c r="K73" s="26">
        <v>0</v>
      </c>
      <c r="L73" s="23">
        <v>0</v>
      </c>
      <c r="M73" s="23">
        <v>0</v>
      </c>
    </row>
    <row r="74" spans="1:13">
      <c r="A74" s="22" t="s">
        <v>78</v>
      </c>
      <c r="B74" s="2" t="s">
        <v>8</v>
      </c>
      <c r="C74" s="95">
        <f>Reactor1!C74</f>
        <v>0.83499999999999996</v>
      </c>
      <c r="D74" s="23" cm="1">
        <f t="array" ref="D74:M74">TRANSPOSE(_xlfn._xlws.FILTER('Raw Data'!CH2:CH505,('Raw Data'!B2:B505=3)*('Raw Data'!CH2:CH505&lt;&gt;"")))</f>
        <v>0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6">
        <v>0</v>
      </c>
      <c r="L74" s="23">
        <v>0</v>
      </c>
      <c r="M74" s="23">
        <v>0</v>
      </c>
    </row>
    <row r="75" spans="1:13">
      <c r="A75" s="22" t="s">
        <v>79</v>
      </c>
      <c r="B75" s="2" t="s">
        <v>8</v>
      </c>
      <c r="C75" s="95">
        <f>Reactor1!C75</f>
        <v>0.83860000000000001</v>
      </c>
      <c r="D75" s="23" cm="1">
        <f t="array" ref="D75:M75">TRANSPOSE(_xlfn._xlws.FILTER('Raw Data'!CI2:CI505,('Raw Data'!B2:B505=3)*('Raw Data'!CI2:CI505&lt;&gt;"")))</f>
        <v>0</v>
      </c>
      <c r="E75" s="26">
        <v>0</v>
      </c>
      <c r="F75" s="26">
        <v>0</v>
      </c>
      <c r="G75" s="26">
        <v>0</v>
      </c>
      <c r="H75" s="26">
        <v>0</v>
      </c>
      <c r="I75" s="26">
        <v>0</v>
      </c>
      <c r="J75" s="26">
        <v>0</v>
      </c>
      <c r="K75" s="26">
        <v>0</v>
      </c>
      <c r="L75" s="23">
        <v>0</v>
      </c>
      <c r="M75" s="23">
        <v>0</v>
      </c>
    </row>
    <row r="76" spans="1:13">
      <c r="A76" s="22" t="s">
        <v>80</v>
      </c>
      <c r="B76" s="2" t="s">
        <v>8</v>
      </c>
      <c r="C76" s="95">
        <f>Reactor1!C76</f>
        <v>0.84060000000000001</v>
      </c>
      <c r="D76" s="23" cm="1">
        <f t="array" ref="D76:M76">TRANSPOSE(_xlfn._xlws.FILTER('Raw Data'!CJ2:CJ505,('Raw Data'!B2:B505=3)*('Raw Data'!CJ2:CJ505&lt;&gt;"")))</f>
        <v>7.2570000000000004E-3</v>
      </c>
      <c r="E76" s="26">
        <v>7.7809999999999997E-3</v>
      </c>
      <c r="F76" s="26">
        <v>5.1989999999999996E-3</v>
      </c>
      <c r="G76" s="26">
        <v>1.6327000000000001E-2</v>
      </c>
      <c r="H76" s="26">
        <v>5.561E-3</v>
      </c>
      <c r="I76" s="26">
        <v>1.482E-2</v>
      </c>
      <c r="J76" s="26">
        <v>2.1343000000000001E-2</v>
      </c>
      <c r="K76" s="26">
        <v>3.2989999999999998E-2</v>
      </c>
      <c r="L76" s="23">
        <v>0</v>
      </c>
      <c r="M76" s="23">
        <v>0</v>
      </c>
    </row>
    <row r="77" spans="1:13">
      <c r="A77" s="22" t="s">
        <v>644</v>
      </c>
      <c r="B77" s="2" t="s">
        <v>8</v>
      </c>
      <c r="C77" s="95">
        <f>Reactor1!C77</f>
        <v>0.84799999999999998</v>
      </c>
      <c r="D77" s="23" cm="1">
        <f t="array" ref="D77:M77">TRANSPOSE(_xlfn._xlws.FILTER('Raw Data'!CK2:CK505,('Raw Data'!B2:B505=3)*('Raw Data'!CK2:CK505&lt;&gt;"")))</f>
        <v>0.139207</v>
      </c>
      <c r="E77" s="26">
        <v>0.136439</v>
      </c>
      <c r="F77" s="26">
        <v>0.132239</v>
      </c>
      <c r="G77" s="26">
        <v>0.16067300000000001</v>
      </c>
      <c r="H77" s="26">
        <v>0.16253200000000001</v>
      </c>
      <c r="I77" s="26">
        <v>0.166768</v>
      </c>
      <c r="J77" s="26">
        <v>0.18002499999999999</v>
      </c>
      <c r="K77" s="26">
        <v>0.15647900000000001</v>
      </c>
      <c r="L77" s="23">
        <v>0</v>
      </c>
      <c r="M77" s="23">
        <v>0</v>
      </c>
    </row>
    <row r="78" spans="1:13">
      <c r="A78" s="22" t="s">
        <v>81</v>
      </c>
      <c r="B78" s="2" t="s">
        <v>8</v>
      </c>
      <c r="D78" s="26">
        <f>SUM(D42:D77)</f>
        <v>100.00000399999999</v>
      </c>
      <c r="E78" s="26">
        <f>SUM(E42:E77)</f>
        <v>99.999994000000015</v>
      </c>
      <c r="F78" s="26">
        <f>SUM(F42:F77)</f>
        <v>99.999996999999993</v>
      </c>
      <c r="G78" s="26">
        <f>SUM(G42:G77)</f>
        <v>100.04018500000002</v>
      </c>
      <c r="H78" s="26">
        <f>SUM(H42:H77)</f>
        <v>100.00002800000003</v>
      </c>
      <c r="I78" s="26">
        <f t="shared" ref="I78:M78" si="46">SUM(I42:I77)</f>
        <v>100.00001399999998</v>
      </c>
      <c r="J78" s="26">
        <f t="shared" si="46"/>
        <v>99.999989999999997</v>
      </c>
      <c r="K78" s="26">
        <f t="shared" si="46"/>
        <v>99.999996999999979</v>
      </c>
      <c r="L78" s="26">
        <f t="shared" si="46"/>
        <v>100.00000299999998</v>
      </c>
      <c r="M78" s="26">
        <f t="shared" si="46"/>
        <v>99.999993999999987</v>
      </c>
    </row>
    <row r="79" spans="1:13" s="133" customFormat="1">
      <c r="A79" s="131"/>
      <c r="B79" s="131"/>
      <c r="C79" s="131"/>
      <c r="D79" s="136"/>
      <c r="E79" s="136"/>
      <c r="F79" s="136"/>
      <c r="G79" s="136"/>
      <c r="H79" s="136"/>
      <c r="I79" s="136"/>
      <c r="J79" s="136"/>
      <c r="K79" s="136"/>
      <c r="L79" s="131"/>
      <c r="M79" s="131"/>
    </row>
    <row r="80" spans="1:13">
      <c r="A80" s="38" t="s">
        <v>9</v>
      </c>
      <c r="B80" s="2" t="s">
        <v>74</v>
      </c>
      <c r="D80" s="23">
        <f t="shared" ref="D80:K80" si="47">(D36*D42)/(D37)</f>
        <v>0</v>
      </c>
      <c r="E80" s="23">
        <f t="shared" si="47"/>
        <v>0</v>
      </c>
      <c r="F80" s="23">
        <f t="shared" si="47"/>
        <v>0</v>
      </c>
      <c r="G80" s="23">
        <f t="shared" si="47"/>
        <v>0</v>
      </c>
      <c r="H80" s="23">
        <f t="shared" si="47"/>
        <v>0</v>
      </c>
      <c r="I80" s="23">
        <f t="shared" si="47"/>
        <v>0</v>
      </c>
      <c r="J80" s="23">
        <f t="shared" si="47"/>
        <v>0</v>
      </c>
      <c r="K80" s="23">
        <f t="shared" si="47"/>
        <v>0</v>
      </c>
    </row>
    <row r="81" spans="1:11">
      <c r="A81" s="38" t="s">
        <v>10</v>
      </c>
      <c r="B81" s="2" t="s">
        <v>74</v>
      </c>
      <c r="D81" s="23">
        <f t="shared" ref="D81:K81" si="48">(D36*D43)/(D37)</f>
        <v>0</v>
      </c>
      <c r="E81" s="23">
        <f t="shared" si="48"/>
        <v>0</v>
      </c>
      <c r="F81" s="23">
        <f t="shared" si="48"/>
        <v>0</v>
      </c>
      <c r="G81" s="23">
        <f t="shared" si="48"/>
        <v>0</v>
      </c>
      <c r="H81" s="23">
        <f t="shared" si="48"/>
        <v>0</v>
      </c>
      <c r="I81" s="23">
        <f t="shared" si="48"/>
        <v>0</v>
      </c>
      <c r="J81" s="23">
        <f t="shared" si="48"/>
        <v>0</v>
      </c>
      <c r="K81" s="23">
        <f t="shared" si="48"/>
        <v>0</v>
      </c>
    </row>
    <row r="82" spans="1:11">
      <c r="A82" s="38" t="s">
        <v>11</v>
      </c>
      <c r="B82" s="2" t="s">
        <v>74</v>
      </c>
      <c r="D82" s="23">
        <f t="shared" ref="D82:K82" si="49">(D36*D44)/(D37)</f>
        <v>9.0912724329785881</v>
      </c>
      <c r="E82" s="23">
        <f t="shared" si="49"/>
        <v>9.9645689978770946</v>
      </c>
      <c r="F82" s="23">
        <f t="shared" si="49"/>
        <v>10.432350722929744</v>
      </c>
      <c r="G82" s="23">
        <f t="shared" si="49"/>
        <v>9.1127870413736698</v>
      </c>
      <c r="H82" s="23">
        <f t="shared" si="49"/>
        <v>9.2901398387671286</v>
      </c>
      <c r="I82" s="23">
        <f t="shared" si="49"/>
        <v>9.2419207991698453</v>
      </c>
      <c r="J82" s="23">
        <f t="shared" si="49"/>
        <v>7.6383940802673802</v>
      </c>
      <c r="K82" s="23">
        <f t="shared" si="49"/>
        <v>5.946091981694142</v>
      </c>
    </row>
    <row r="83" spans="1:11">
      <c r="A83" s="38" t="s">
        <v>12</v>
      </c>
      <c r="B83" s="2" t="s">
        <v>74</v>
      </c>
      <c r="D83" s="23">
        <f t="shared" ref="D83:K83" si="50">(D36*D45)/(D37)</f>
        <v>3.7308560949102079</v>
      </c>
      <c r="E83" s="23">
        <f t="shared" si="50"/>
        <v>3.763249594793542</v>
      </c>
      <c r="F83" s="23">
        <f t="shared" si="50"/>
        <v>3.7791779437339921</v>
      </c>
      <c r="G83" s="23">
        <f t="shared" si="50"/>
        <v>3.6468555388711383</v>
      </c>
      <c r="H83" s="23">
        <f t="shared" si="50"/>
        <v>3.6546128080863296</v>
      </c>
      <c r="I83" s="23">
        <f t="shared" si="50"/>
        <v>3.6451579799809513</v>
      </c>
      <c r="J83" s="23">
        <f t="shared" si="50"/>
        <v>3.4787633063965351</v>
      </c>
      <c r="K83" s="23">
        <f t="shared" si="50"/>
        <v>3.3168911944530803</v>
      </c>
    </row>
    <row r="84" spans="1:11">
      <c r="A84" s="38" t="s">
        <v>13</v>
      </c>
      <c r="B84" s="2" t="s">
        <v>74</v>
      </c>
      <c r="D84" s="23">
        <f t="shared" ref="D84:K84" si="51">(D36*D46)/(D37)</f>
        <v>17.868475698887256</v>
      </c>
      <c r="E84" s="23">
        <f t="shared" si="51"/>
        <v>19.204020899452182</v>
      </c>
      <c r="F84" s="23">
        <f t="shared" si="51"/>
        <v>19.888409108069936</v>
      </c>
      <c r="G84" s="23">
        <f t="shared" si="51"/>
        <v>18.118676781945911</v>
      </c>
      <c r="H84" s="23">
        <f t="shared" si="51"/>
        <v>18.394031865466978</v>
      </c>
      <c r="I84" s="23">
        <f t="shared" si="51"/>
        <v>18.34597710685928</v>
      </c>
      <c r="J84" s="23">
        <f t="shared" si="51"/>
        <v>16.127083902991547</v>
      </c>
      <c r="K84" s="23">
        <f t="shared" si="51"/>
        <v>13.544751362201767</v>
      </c>
    </row>
    <row r="85" spans="1:11">
      <c r="A85" s="38" t="s">
        <v>14</v>
      </c>
      <c r="B85" s="2" t="s">
        <v>74</v>
      </c>
      <c r="D85" s="23">
        <f t="shared" ref="D85:K85" si="52">(D36*D47)/(D37)</f>
        <v>12.07940891498583</v>
      </c>
      <c r="E85" s="23">
        <f t="shared" si="52"/>
        <v>12.02719855107763</v>
      </c>
      <c r="F85" s="23">
        <f t="shared" si="52"/>
        <v>12.038136582953417</v>
      </c>
      <c r="G85" s="23">
        <f t="shared" si="52"/>
        <v>12.224702123556334</v>
      </c>
      <c r="H85" s="23">
        <f t="shared" si="52"/>
        <v>12.207829881315767</v>
      </c>
      <c r="I85" s="23">
        <f t="shared" si="52"/>
        <v>12.188305409405382</v>
      </c>
      <c r="J85" s="23">
        <f t="shared" si="52"/>
        <v>12.332741971076697</v>
      </c>
      <c r="K85" s="23">
        <f t="shared" si="52"/>
        <v>12.516463210977303</v>
      </c>
    </row>
    <row r="86" spans="1:11">
      <c r="A86" s="38" t="s">
        <v>15</v>
      </c>
      <c r="B86" s="2" t="s">
        <v>74</v>
      </c>
      <c r="D86" s="23">
        <f t="shared" ref="D86:K86" si="53">(D36*D48)/(D37)</f>
        <v>11.693647277638149</v>
      </c>
      <c r="E86" s="23">
        <f t="shared" si="53"/>
        <v>11.839086542403695</v>
      </c>
      <c r="F86" s="23">
        <f t="shared" si="53"/>
        <v>11.871536233219741</v>
      </c>
      <c r="G86" s="23">
        <f t="shared" si="53"/>
        <v>11.468057619212217</v>
      </c>
      <c r="H86" s="23">
        <f t="shared" si="53"/>
        <v>11.519759099964554</v>
      </c>
      <c r="I86" s="23">
        <f t="shared" si="53"/>
        <v>11.496346565374147</v>
      </c>
      <c r="J86" s="23">
        <f t="shared" si="53"/>
        <v>11.069964627194695</v>
      </c>
      <c r="K86" s="23">
        <f t="shared" si="53"/>
        <v>10.610998074299593</v>
      </c>
    </row>
    <row r="87" spans="1:11">
      <c r="A87" s="38" t="s">
        <v>16</v>
      </c>
      <c r="B87" s="2" t="s">
        <v>74</v>
      </c>
      <c r="D87" s="23">
        <f t="shared" ref="D87:K87" si="54">(D36*D49)/(D37)</f>
        <v>0</v>
      </c>
      <c r="E87" s="23">
        <f t="shared" si="54"/>
        <v>0</v>
      </c>
      <c r="F87" s="23">
        <f t="shared" si="54"/>
        <v>0</v>
      </c>
      <c r="G87" s="23">
        <f t="shared" si="54"/>
        <v>0</v>
      </c>
      <c r="H87" s="23">
        <f t="shared" si="54"/>
        <v>0</v>
      </c>
      <c r="I87" s="23">
        <f t="shared" si="54"/>
        <v>0</v>
      </c>
      <c r="J87" s="23">
        <f t="shared" si="54"/>
        <v>0</v>
      </c>
      <c r="K87" s="23">
        <f t="shared" si="54"/>
        <v>0</v>
      </c>
    </row>
    <row r="88" spans="1:11">
      <c r="A88" s="38" t="s">
        <v>17</v>
      </c>
      <c r="B88" s="2" t="s">
        <v>74</v>
      </c>
      <c r="D88" s="23">
        <f t="shared" ref="D88:K88" si="55">(D36*D50)/(D37)</f>
        <v>11.013208220075921</v>
      </c>
      <c r="E88" s="23">
        <f t="shared" si="55"/>
        <v>10.936803916476263</v>
      </c>
      <c r="F88" s="23">
        <f t="shared" si="55"/>
        <v>11.15266595671388</v>
      </c>
      <c r="G88" s="23">
        <f t="shared" si="55"/>
        <v>12.283624376353975</v>
      </c>
      <c r="H88" s="23">
        <f t="shared" si="55"/>
        <v>12.158788571773137</v>
      </c>
      <c r="I88" s="23">
        <f t="shared" si="55"/>
        <v>12.183492845730482</v>
      </c>
      <c r="J88" s="23">
        <f t="shared" si="55"/>
        <v>13.308974957338894</v>
      </c>
      <c r="K88" s="23">
        <f t="shared" si="55"/>
        <v>14.539651145390115</v>
      </c>
    </row>
    <row r="89" spans="1:11">
      <c r="A89" s="38" t="s">
        <v>18</v>
      </c>
      <c r="B89" s="2" t="s">
        <v>74</v>
      </c>
      <c r="D89" s="23">
        <f t="shared" ref="D89:K89" si="56">(D36*D51)/(D37)</f>
        <v>9.6410503070350693</v>
      </c>
      <c r="E89" s="23">
        <f t="shared" si="56"/>
        <v>9.6317531192851273</v>
      </c>
      <c r="F89" s="23">
        <f t="shared" si="56"/>
        <v>9.4768984175176474</v>
      </c>
      <c r="G89" s="23">
        <f t="shared" si="56"/>
        <v>9.0067292007412423</v>
      </c>
      <c r="H89" s="23">
        <f t="shared" si="56"/>
        <v>9.0753713702548815</v>
      </c>
      <c r="I89" s="23">
        <f t="shared" si="56"/>
        <v>9.0633655229203001</v>
      </c>
      <c r="J89" s="23">
        <f t="shared" si="56"/>
        <v>8.6054678296055371</v>
      </c>
      <c r="K89" s="23">
        <f t="shared" si="56"/>
        <v>8.0937982027299977</v>
      </c>
    </row>
    <row r="90" spans="1:11">
      <c r="A90" s="38" t="s">
        <v>19</v>
      </c>
      <c r="B90" s="2" t="s">
        <v>74</v>
      </c>
      <c r="D90" s="23">
        <f t="shared" ref="D90:K90" si="57">(D36*D52)/(D37)</f>
        <v>5.9730054274818407</v>
      </c>
      <c r="E90" s="23">
        <f t="shared" si="57"/>
        <v>5.9507905023713166</v>
      </c>
      <c r="F90" s="23">
        <f t="shared" si="57"/>
        <v>5.8400457427705286</v>
      </c>
      <c r="G90" s="23">
        <f t="shared" si="57"/>
        <v>5.5115492175137533</v>
      </c>
      <c r="H90" s="23">
        <f t="shared" si="57"/>
        <v>5.5570033321659293</v>
      </c>
      <c r="I90" s="23">
        <f t="shared" si="57"/>
        <v>5.5476140469107635</v>
      </c>
      <c r="J90" s="23">
        <f t="shared" si="57"/>
        <v>5.2357872819309703</v>
      </c>
      <c r="K90" s="23">
        <f t="shared" si="57"/>
        <v>4.8966051219387658</v>
      </c>
    </row>
    <row r="91" spans="1:11">
      <c r="A91" s="38" t="s">
        <v>20</v>
      </c>
      <c r="B91" s="2" t="s">
        <v>74</v>
      </c>
      <c r="D91" s="23">
        <f t="shared" ref="D91:K91" si="58">(D36*D53)/(D37)</f>
        <v>2.7793031371335726</v>
      </c>
      <c r="E91" s="23">
        <f t="shared" si="58"/>
        <v>2.8924897257138231</v>
      </c>
      <c r="F91" s="23">
        <f t="shared" si="58"/>
        <v>2.9700935632365506</v>
      </c>
      <c r="G91" s="23">
        <f t="shared" si="58"/>
        <v>2.850322584841892</v>
      </c>
      <c r="H91" s="23">
        <f t="shared" si="58"/>
        <v>2.8754050298913296</v>
      </c>
      <c r="I91" s="23">
        <f t="shared" si="58"/>
        <v>2.8713039846005635</v>
      </c>
      <c r="J91" s="23">
        <f t="shared" si="58"/>
        <v>2.7171078073826096</v>
      </c>
      <c r="K91" s="23">
        <f t="shared" si="58"/>
        <v>2.5244859223772589</v>
      </c>
    </row>
    <row r="92" spans="1:11">
      <c r="A92" s="38" t="s">
        <v>75</v>
      </c>
      <c r="B92" s="2" t="s">
        <v>74</v>
      </c>
      <c r="D92" s="23">
        <f t="shared" ref="D92:K92" si="59">(D36*D54)/(D37)</f>
        <v>0.87479354024701794</v>
      </c>
      <c r="E92" s="23">
        <f t="shared" si="59"/>
        <v>0.84319823459707222</v>
      </c>
      <c r="F92" s="23">
        <f t="shared" si="59"/>
        <v>0.77070534785105138</v>
      </c>
      <c r="G92" s="23">
        <f t="shared" si="59"/>
        <v>0.62027953458859375</v>
      </c>
      <c r="H92" s="23">
        <f t="shared" si="59"/>
        <v>0.64113722697045239</v>
      </c>
      <c r="I92" s="23">
        <f t="shared" si="59"/>
        <v>0.63869134703447394</v>
      </c>
      <c r="J92" s="23">
        <f t="shared" si="59"/>
        <v>0.50396127874697694</v>
      </c>
      <c r="K92" s="23">
        <f t="shared" si="59"/>
        <v>0.35683353410551805</v>
      </c>
    </row>
    <row r="93" spans="1:11">
      <c r="A93" s="38" t="s">
        <v>22</v>
      </c>
      <c r="B93" s="2" t="s">
        <v>74</v>
      </c>
      <c r="D93" s="23">
        <f t="shared" ref="D93:K93" si="60">(D36*D55)/(D37)</f>
        <v>0.24961361052409614</v>
      </c>
      <c r="E93" s="23">
        <f t="shared" si="60"/>
        <v>0.24490455021270829</v>
      </c>
      <c r="F93" s="23">
        <f t="shared" si="60"/>
        <v>0.24599541167725533</v>
      </c>
      <c r="G93" s="23">
        <f t="shared" si="60"/>
        <v>0.26703791642267038</v>
      </c>
      <c r="H93" s="23">
        <f t="shared" si="60"/>
        <v>0.26400313161010058</v>
      </c>
      <c r="I93" s="23">
        <f t="shared" si="60"/>
        <v>0.26379273746205523</v>
      </c>
      <c r="J93" s="23">
        <f t="shared" si="60"/>
        <v>0.28904772809843793</v>
      </c>
      <c r="K93" s="23">
        <f t="shared" si="60"/>
        <v>0.3267323330314677</v>
      </c>
    </row>
    <row r="94" spans="1:11">
      <c r="A94" s="38" t="s">
        <v>23</v>
      </c>
      <c r="B94" s="2" t="s">
        <v>74</v>
      </c>
      <c r="D94" s="23">
        <f t="shared" ref="D94:K94" si="61">(D36*D56)/(D37)</f>
        <v>0.57922698759539182</v>
      </c>
      <c r="E94" s="23">
        <f t="shared" si="61"/>
        <v>0.55627677400744024</v>
      </c>
      <c r="F94" s="23">
        <f t="shared" si="61"/>
        <v>0.5423950443962493</v>
      </c>
      <c r="G94" s="23">
        <f t="shared" si="61"/>
        <v>0.54396012404390615</v>
      </c>
      <c r="H94" s="23">
        <f t="shared" si="61"/>
        <v>0.54199418448076953</v>
      </c>
      <c r="I94" s="23">
        <f t="shared" si="61"/>
        <v>0.54072914119002369</v>
      </c>
      <c r="J94" s="23">
        <f t="shared" si="61"/>
        <v>0.54387836621820196</v>
      </c>
      <c r="K94" s="23">
        <f t="shared" si="61"/>
        <v>0.55463051273677733</v>
      </c>
    </row>
    <row r="95" spans="1:11">
      <c r="A95" s="38" t="s">
        <v>24</v>
      </c>
      <c r="B95" s="2" t="s">
        <v>74</v>
      </c>
      <c r="D95" s="23">
        <f t="shared" ref="D95:K95" si="62">(D36*D57)/(D37)</f>
        <v>0</v>
      </c>
      <c r="E95" s="23">
        <f t="shared" si="62"/>
        <v>0</v>
      </c>
      <c r="F95" s="23">
        <f t="shared" si="62"/>
        <v>0</v>
      </c>
      <c r="G95" s="23">
        <f t="shared" si="62"/>
        <v>0</v>
      </c>
      <c r="H95" s="23">
        <f t="shared" si="62"/>
        <v>0</v>
      </c>
      <c r="I95" s="23">
        <f t="shared" si="62"/>
        <v>0</v>
      </c>
      <c r="J95" s="23">
        <f t="shared" si="62"/>
        <v>0</v>
      </c>
      <c r="K95" s="23">
        <f t="shared" si="62"/>
        <v>0</v>
      </c>
    </row>
    <row r="96" spans="1:11">
      <c r="A96" s="38" t="s">
        <v>25</v>
      </c>
      <c r="B96" s="2" t="s">
        <v>74</v>
      </c>
      <c r="D96" s="23">
        <f t="shared" ref="D96:K96" si="63">(D36*D58)/(D37)</f>
        <v>2.8585497088190097</v>
      </c>
      <c r="E96" s="23">
        <f t="shared" si="63"/>
        <v>2.624298974212091</v>
      </c>
      <c r="F96" s="23">
        <f t="shared" si="63"/>
        <v>2.7376781301083244</v>
      </c>
      <c r="G96" s="23">
        <f t="shared" si="63"/>
        <v>4.0392055328241359</v>
      </c>
      <c r="H96" s="23">
        <f t="shared" si="63"/>
        <v>3.8578978881079888</v>
      </c>
      <c r="I96" s="23">
        <f t="shared" si="63"/>
        <v>3.8956872154212205</v>
      </c>
      <c r="J96" s="23">
        <f t="shared" si="63"/>
        <v>5.4855628825568994</v>
      </c>
      <c r="K96" s="23">
        <f t="shared" si="63"/>
        <v>7.4896812510914934</v>
      </c>
    </row>
    <row r="97" spans="1:13">
      <c r="A97" s="38" t="s">
        <v>26</v>
      </c>
      <c r="B97" s="2" t="s">
        <v>74</v>
      </c>
      <c r="D97" s="23">
        <f t="shared" ref="D97:K97" si="64">(D36*D59)/(D37)</f>
        <v>7.0522420323922557</v>
      </c>
      <c r="E97" s="23">
        <f t="shared" si="64"/>
        <v>5.7254256086674502</v>
      </c>
      <c r="F97" s="23">
        <f t="shared" si="64"/>
        <v>4.8565336567948938</v>
      </c>
      <c r="G97" s="23">
        <f t="shared" si="64"/>
        <v>6.1029378345593299</v>
      </c>
      <c r="H97" s="23">
        <f t="shared" si="64"/>
        <v>5.921739637847458</v>
      </c>
      <c r="I97" s="23">
        <f t="shared" si="64"/>
        <v>5.9708890419986744</v>
      </c>
      <c r="J97" s="23">
        <f t="shared" si="64"/>
        <v>7.5418000009589239</v>
      </c>
      <c r="K97" s="23">
        <f t="shared" si="64"/>
        <v>8.9782712914892642</v>
      </c>
    </row>
    <row r="98" spans="1:13">
      <c r="A98" s="38" t="s">
        <v>27</v>
      </c>
      <c r="B98" s="2" t="s">
        <v>74</v>
      </c>
      <c r="D98" s="23">
        <f t="shared" ref="D98:K98" si="65">(D36*D60)/(D37)</f>
        <v>3.0693314922722394</v>
      </c>
      <c r="E98" s="23">
        <f t="shared" si="65"/>
        <v>2.5558225320654855</v>
      </c>
      <c r="F98" s="23">
        <f t="shared" si="65"/>
        <v>2.2329487084888568</v>
      </c>
      <c r="G98" s="23">
        <f t="shared" si="65"/>
        <v>2.6665331482725567</v>
      </c>
      <c r="H98" s="23">
        <f t="shared" si="65"/>
        <v>2.6187493333796534</v>
      </c>
      <c r="I98" s="23">
        <f t="shared" si="65"/>
        <v>2.6407510675572379</v>
      </c>
      <c r="J98" s="23">
        <f t="shared" si="65"/>
        <v>3.1520724527568214</v>
      </c>
      <c r="K98" s="23">
        <f t="shared" si="65"/>
        <v>3.5369976826834719</v>
      </c>
    </row>
    <row r="99" spans="1:13">
      <c r="A99" s="38" t="s">
        <v>28</v>
      </c>
      <c r="B99" s="2" t="s">
        <v>74</v>
      </c>
      <c r="D99" s="23">
        <f t="shared" ref="D99:K99" si="66">(D36*D61)/(D37)</f>
        <v>0.91059849064080156</v>
      </c>
      <c r="E99" s="23">
        <f t="shared" si="66"/>
        <v>0.87988797939249641</v>
      </c>
      <c r="F99" s="23">
        <f t="shared" si="66"/>
        <v>0.87110871822890368</v>
      </c>
      <c r="G99" s="23">
        <f t="shared" si="66"/>
        <v>0.90149567156350374</v>
      </c>
      <c r="H99" s="23">
        <f t="shared" si="66"/>
        <v>0.8962793276826595</v>
      </c>
      <c r="I99" s="23">
        <f t="shared" si="66"/>
        <v>0.8957924156077004</v>
      </c>
      <c r="J99" s="23">
        <f t="shared" si="66"/>
        <v>0.92933604307944084</v>
      </c>
      <c r="K99" s="23">
        <f t="shared" si="66"/>
        <v>0.96577367445472673</v>
      </c>
    </row>
    <row r="100" spans="1:13" ht="16.5">
      <c r="A100" s="137" t="s">
        <v>29</v>
      </c>
      <c r="B100" s="2" t="s">
        <v>74</v>
      </c>
      <c r="D100" s="23">
        <f t="shared" ref="D100:K100" si="67">(D36*D62)/(D37)</f>
        <v>0</v>
      </c>
      <c r="E100" s="23">
        <f t="shared" si="67"/>
        <v>0</v>
      </c>
      <c r="F100" s="23">
        <f t="shared" si="67"/>
        <v>0</v>
      </c>
      <c r="G100" s="23">
        <f t="shared" si="67"/>
        <v>0</v>
      </c>
      <c r="H100" s="23">
        <f t="shared" si="67"/>
        <v>0</v>
      </c>
      <c r="I100" s="23">
        <f t="shared" si="67"/>
        <v>0</v>
      </c>
      <c r="J100" s="23">
        <f t="shared" si="67"/>
        <v>0</v>
      </c>
      <c r="K100" s="23">
        <f t="shared" si="67"/>
        <v>0</v>
      </c>
    </row>
    <row r="101" spans="1:13">
      <c r="A101" s="38" t="s">
        <v>30</v>
      </c>
      <c r="B101" s="2" t="s">
        <v>74</v>
      </c>
      <c r="D101" s="23">
        <f t="shared" ref="D101:K101" si="68">(D36*SUM(D63,D64,D65,D66,D67,D68,D69,D70,D71,D77))/(D37)</f>
        <v>1.2010930613155597</v>
      </c>
      <c r="E101" s="23">
        <f t="shared" si="68"/>
        <v>1.0705064154429031</v>
      </c>
      <c r="F101" s="23">
        <f t="shared" si="68"/>
        <v>1.0299764304775874</v>
      </c>
      <c r="G101" s="23">
        <f t="shared" si="68"/>
        <v>1.3006428771727034</v>
      </c>
      <c r="H101" s="23">
        <f t="shared" si="68"/>
        <v>1.2117839914156345</v>
      </c>
      <c r="I101" s="23">
        <f t="shared" si="68"/>
        <v>1.2450381172382041</v>
      </c>
      <c r="J101" s="23">
        <f t="shared" si="68"/>
        <v>1.6273095400984754</v>
      </c>
      <c r="K101" s="23">
        <f t="shared" si="68"/>
        <v>2.2854264537484528</v>
      </c>
    </row>
    <row r="102" spans="1:13">
      <c r="A102" s="22" t="s">
        <v>76</v>
      </c>
      <c r="B102" s="2" t="s">
        <v>74</v>
      </c>
      <c r="D102" s="23">
        <f t="shared" ref="D102:K102" si="69">(D36*D72)/(D37)</f>
        <v>2.1520428590357826E-2</v>
      </c>
      <c r="E102" s="23">
        <f t="shared" si="69"/>
        <v>1.7975154211552893E-2</v>
      </c>
      <c r="F102" s="23">
        <f t="shared" si="69"/>
        <v>1.7781841764095051E-2</v>
      </c>
      <c r="G102" s="23">
        <f t="shared" si="69"/>
        <v>1.3313596709106489E-2</v>
      </c>
      <c r="H102" s="23">
        <f t="shared" si="69"/>
        <v>1.287815241757726E-2</v>
      </c>
      <c r="I102" s="23">
        <f t="shared" si="69"/>
        <v>1.2550529625503791E-2</v>
      </c>
      <c r="J102" s="23">
        <f t="shared" si="69"/>
        <v>9.0455388275436869E-3</v>
      </c>
      <c r="K102" s="23">
        <f t="shared" si="69"/>
        <v>7.7343922342954499E-3</v>
      </c>
    </row>
    <row r="103" spans="1:13">
      <c r="A103" s="22" t="s">
        <v>77</v>
      </c>
      <c r="B103" s="2" t="s">
        <v>74</v>
      </c>
      <c r="D103" s="23">
        <f t="shared" ref="D103:K103" si="70">(D36*D73)/(D37)</f>
        <v>0</v>
      </c>
      <c r="E103" s="23">
        <f t="shared" si="70"/>
        <v>4.5474329491088797E-3</v>
      </c>
      <c r="F103" s="23">
        <f t="shared" si="70"/>
        <v>4.426567171171846E-3</v>
      </c>
      <c r="G103" s="23">
        <f t="shared" si="70"/>
        <v>0</v>
      </c>
      <c r="H103" s="23">
        <f t="shared" si="70"/>
        <v>0</v>
      </c>
      <c r="I103" s="23">
        <f t="shared" si="70"/>
        <v>0</v>
      </c>
      <c r="J103" s="23">
        <f t="shared" si="70"/>
        <v>0</v>
      </c>
      <c r="K103" s="23">
        <f t="shared" si="70"/>
        <v>0</v>
      </c>
    </row>
    <row r="104" spans="1:13">
      <c r="A104" s="22" t="s">
        <v>78</v>
      </c>
      <c r="B104" s="2" t="s">
        <v>74</v>
      </c>
      <c r="D104" s="23">
        <f t="shared" ref="D104:K104" si="71">(D36*D74)/(D37)</f>
        <v>0</v>
      </c>
      <c r="E104" s="23">
        <f t="shared" si="71"/>
        <v>0</v>
      </c>
      <c r="F104" s="23">
        <f t="shared" si="71"/>
        <v>0</v>
      </c>
      <c r="G104" s="23">
        <f t="shared" si="71"/>
        <v>0</v>
      </c>
      <c r="H104" s="23">
        <f t="shared" si="71"/>
        <v>0</v>
      </c>
      <c r="I104" s="23">
        <f t="shared" si="71"/>
        <v>0</v>
      </c>
      <c r="J104" s="23">
        <f t="shared" si="71"/>
        <v>0</v>
      </c>
      <c r="K104" s="23">
        <f t="shared" si="71"/>
        <v>0</v>
      </c>
    </row>
    <row r="105" spans="1:13">
      <c r="A105" s="22" t="s">
        <v>79</v>
      </c>
      <c r="B105" s="2" t="s">
        <v>74</v>
      </c>
      <c r="D105" s="23">
        <f t="shared" ref="D105:K105" si="72">(D36*D75)/(D37)</f>
        <v>0</v>
      </c>
      <c r="E105" s="23">
        <f t="shared" si="72"/>
        <v>0</v>
      </c>
      <c r="F105" s="23">
        <f t="shared" si="72"/>
        <v>0</v>
      </c>
      <c r="G105" s="23">
        <f t="shared" si="72"/>
        <v>0</v>
      </c>
      <c r="H105" s="23">
        <f t="shared" si="72"/>
        <v>0</v>
      </c>
      <c r="I105" s="23">
        <f t="shared" si="72"/>
        <v>0</v>
      </c>
      <c r="J105" s="23">
        <f t="shared" si="72"/>
        <v>0</v>
      </c>
      <c r="K105" s="23">
        <f t="shared" si="72"/>
        <v>0</v>
      </c>
    </row>
    <row r="106" spans="1:13">
      <c r="A106" s="22" t="s">
        <v>80</v>
      </c>
      <c r="B106" s="2" t="s">
        <v>74</v>
      </c>
      <c r="D106" s="23">
        <f t="shared" ref="D106:K106" si="73">(D36*D76)/(D37)</f>
        <v>7.3073998820993259E-3</v>
      </c>
      <c r="E106" s="23">
        <f t="shared" si="73"/>
        <v>7.8386299904776684E-3</v>
      </c>
      <c r="F106" s="23">
        <f t="shared" si="73"/>
        <v>5.2387258645395906E-3</v>
      </c>
      <c r="G106" s="23">
        <f t="shared" si="73"/>
        <v>1.6433892301321668E-2</v>
      </c>
      <c r="H106" s="23">
        <f t="shared" si="73"/>
        <v>5.6002037530612407E-3</v>
      </c>
      <c r="I106" s="23">
        <f t="shared" si="73"/>
        <v>1.4924083210299782E-2</v>
      </c>
      <c r="J106" s="23">
        <f t="shared" si="73"/>
        <v>2.1474853748194092E-2</v>
      </c>
      <c r="K106" s="23">
        <f t="shared" si="73"/>
        <v>3.3163192072966842E-2</v>
      </c>
    </row>
    <row r="107" spans="1:13">
      <c r="A107" s="22" t="s">
        <v>81</v>
      </c>
      <c r="B107" s="2" t="s">
        <v>74</v>
      </c>
      <c r="D107" s="23">
        <f>SUM(D80:D106)</f>
        <v>100.69450426340526</v>
      </c>
      <c r="E107" s="23">
        <f>SUM(E80:E106)</f>
        <v>100.74064413519947</v>
      </c>
      <c r="F107" s="23">
        <f>SUM(F80:F106)</f>
        <v>100.76410285396835</v>
      </c>
      <c r="G107" s="23">
        <f>SUM(G80:G106)</f>
        <v>100.69514461286796</v>
      </c>
      <c r="H107" s="23">
        <f>SUM(H80:H106)</f>
        <v>100.70500487535138</v>
      </c>
      <c r="I107" s="23">
        <f t="shared" ref="I107:J107" si="74">SUM(I80:I106)</f>
        <v>100.70232995729712</v>
      </c>
      <c r="J107" s="23">
        <f t="shared" si="74"/>
        <v>100.6177744492748</v>
      </c>
      <c r="K107" s="23">
        <f t="shared" ref="K107" si="75">SUM(K80:K106)</f>
        <v>100.52498053371046</v>
      </c>
    </row>
    <row r="108" spans="1:13" s="133" customFormat="1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L108" s="131"/>
      <c r="M108" s="131"/>
    </row>
    <row r="109" spans="1:13" s="85" customFormat="1">
      <c r="A109" s="153" t="s">
        <v>967</v>
      </c>
      <c r="B109" s="84" t="s">
        <v>74</v>
      </c>
      <c r="C109" s="84"/>
      <c r="D109" s="88">
        <f>SUM(D102,D80,D81,D82,D83,D84)</f>
        <v>30.712124655366409</v>
      </c>
      <c r="E109" s="88">
        <f>SUM(E102,E80,E81,E82,E83,E84)</f>
        <v>32.949814646334374</v>
      </c>
      <c r="F109" s="88">
        <f>SUM(F102,F80,F81,F82,F83,F84)</f>
        <v>34.117719616497766</v>
      </c>
      <c r="G109" s="88">
        <f>SUM(G102,G80,G81,G82,G83,G84)</f>
        <v>30.891632958899827</v>
      </c>
      <c r="H109" s="88">
        <f>SUM(H102,H80,H81,H82,H83,H84)</f>
        <v>31.351662664738015</v>
      </c>
      <c r="I109" s="88">
        <f t="shared" ref="I109:J109" si="76">SUM(I102,I80,I81,I82,I83,I84)</f>
        <v>31.245606415635578</v>
      </c>
      <c r="J109" s="88">
        <f t="shared" si="76"/>
        <v>27.253286828483006</v>
      </c>
      <c r="K109" s="88">
        <f t="shared" ref="K109" si="77">SUM(K102,K80,K81,K82,K83,K84)</f>
        <v>22.815468930583286</v>
      </c>
      <c r="L109" s="84"/>
      <c r="M109" s="84"/>
    </row>
    <row r="110" spans="1:13" s="85" customFormat="1">
      <c r="A110" s="153" t="s">
        <v>968</v>
      </c>
      <c r="B110" s="84" t="s">
        <v>74</v>
      </c>
      <c r="C110" s="84"/>
      <c r="D110" s="88">
        <f>D107-D109</f>
        <v>69.982379608038855</v>
      </c>
      <c r="E110" s="88">
        <f>E107-E109</f>
        <v>67.7908294888651</v>
      </c>
      <c r="F110" s="88">
        <f>F107-F109</f>
        <v>66.646383237470587</v>
      </c>
      <c r="G110" s="88">
        <f>G107-G109</f>
        <v>69.803511653968144</v>
      </c>
      <c r="H110" s="88">
        <f>H107-H109</f>
        <v>69.353342210613363</v>
      </c>
      <c r="I110" s="88">
        <f t="shared" ref="I110:J110" si="78">I107-I109</f>
        <v>69.456723541661546</v>
      </c>
      <c r="J110" s="88">
        <f t="shared" si="78"/>
        <v>73.364487620791806</v>
      </c>
      <c r="K110" s="88">
        <f t="shared" ref="K110" si="79">K107-K109</f>
        <v>77.709511603127169</v>
      </c>
      <c r="L110" s="84"/>
      <c r="M110" s="84"/>
    </row>
    <row r="111" spans="1:13">
      <c r="A111" s="22" t="s">
        <v>41</v>
      </c>
      <c r="B111" s="2" t="s">
        <v>74</v>
      </c>
      <c r="D111" s="23">
        <f>D107-100</f>
        <v>0.69450426340526406</v>
      </c>
      <c r="E111" s="23">
        <f>E107-100</f>
        <v>0.74064413519947436</v>
      </c>
      <c r="F111" s="23">
        <f>F107-100</f>
        <v>0.7641028539683532</v>
      </c>
      <c r="G111" s="23">
        <f>G107-100</f>
        <v>0.69514461286796347</v>
      </c>
      <c r="H111" s="23">
        <f>H107-100</f>
        <v>0.70500487535137779</v>
      </c>
      <c r="I111" s="23">
        <f t="shared" ref="I111:J111" si="80">I107-100</f>
        <v>0.702329957297124</v>
      </c>
      <c r="J111" s="23">
        <f t="shared" si="80"/>
        <v>0.61777444927480474</v>
      </c>
      <c r="K111" s="23">
        <f t="shared" ref="K111" si="81">K107-100</f>
        <v>0.52498053371046183</v>
      </c>
    </row>
    <row r="112" spans="1:13" ht="15.75" customHeight="1">
      <c r="A112" s="22" t="s">
        <v>41</v>
      </c>
      <c r="B112" s="2" t="s">
        <v>74</v>
      </c>
      <c r="D112" s="23">
        <f>((D36*D34)-(D37*$D$3))/(D37)</f>
        <v>0.69450023562525554</v>
      </c>
      <c r="E112" s="23">
        <f t="shared" ref="E112:F112" si="82">((E36*E34)-(E37*$D$3))/(E37)</f>
        <v>0.74065017963847413</v>
      </c>
      <c r="F112" s="23">
        <f t="shared" si="82"/>
        <v>0.76410587689153786</v>
      </c>
      <c r="G112" s="23">
        <f t="shared" ref="G112:H112" si="83">((G36*G34)-(G37*$D$3))/(G37)</f>
        <v>0.65469652307016046</v>
      </c>
      <c r="H112" s="23">
        <f t="shared" si="83"/>
        <v>0.70497667795792451</v>
      </c>
      <c r="I112" s="23">
        <f t="shared" ref="I112:J112" si="84">((I36*I34)-(I37*$D$3))/(I37)</f>
        <v>0.70231585897288562</v>
      </c>
      <c r="J112" s="23">
        <f t="shared" si="84"/>
        <v>0.61778451105322152</v>
      </c>
      <c r="K112" s="23">
        <f t="shared" ref="K112" si="85">((K36*K34)-(K37*$D$3))/(K37)</f>
        <v>0.5249835494599604</v>
      </c>
    </row>
    <row r="113" spans="1:13">
      <c r="A113" s="22"/>
      <c r="D113" s="26"/>
      <c r="E113" s="26"/>
      <c r="F113" s="26"/>
      <c r="G113" s="26"/>
      <c r="H113" s="26"/>
      <c r="I113" s="26"/>
      <c r="J113" s="26"/>
      <c r="K113" s="26"/>
    </row>
    <row r="114" spans="1:13">
      <c r="A114" s="22"/>
      <c r="D114" s="26"/>
      <c r="E114" s="26"/>
      <c r="F114" s="26"/>
      <c r="G114" s="26"/>
      <c r="H114" s="26"/>
      <c r="I114" s="26"/>
      <c r="J114" s="26"/>
      <c r="K114" s="26"/>
    </row>
    <row r="115" spans="1:13" s="85" customFormat="1">
      <c r="A115" s="153" t="s">
        <v>969</v>
      </c>
      <c r="B115" s="84" t="s">
        <v>8</v>
      </c>
      <c r="C115" s="84"/>
      <c r="D115" s="90"/>
      <c r="E115" s="90"/>
      <c r="F115" s="90"/>
      <c r="G115" s="90">
        <f t="shared" ref="G115:K115" si="86">100*(G37*$D$8-G36*G50)/(G37*$D$8)</f>
        <v>31.024953969139457</v>
      </c>
      <c r="H115" s="90">
        <f t="shared" si="86"/>
        <v>31.725932369605548</v>
      </c>
      <c r="I115" s="90">
        <f t="shared" si="86"/>
        <v>31.587212853186031</v>
      </c>
      <c r="J115" s="90">
        <f t="shared" si="86"/>
        <v>25.267402178696599</v>
      </c>
      <c r="K115" s="90">
        <f t="shared" si="86"/>
        <v>18.3569053970364</v>
      </c>
      <c r="L115" s="90"/>
      <c r="M115" s="90"/>
    </row>
    <row r="116" spans="1:13" s="85" customFormat="1">
      <c r="A116" s="153" t="s">
        <v>970</v>
      </c>
      <c r="B116" s="84" t="s">
        <v>8</v>
      </c>
      <c r="C116" s="84"/>
      <c r="D116" s="84"/>
      <c r="E116" s="84"/>
      <c r="F116" s="84"/>
      <c r="G116" s="84"/>
      <c r="H116" s="84"/>
      <c r="I116" s="84"/>
      <c r="J116" s="84"/>
      <c r="L116" s="84"/>
      <c r="M116" s="84"/>
    </row>
    <row r="117" spans="1:13" s="85" customFormat="1">
      <c r="A117" s="153" t="s">
        <v>971</v>
      </c>
      <c r="B117" s="84" t="s">
        <v>8</v>
      </c>
      <c r="C117" s="84"/>
      <c r="D117" s="90"/>
      <c r="E117" s="90"/>
      <c r="F117" s="90"/>
      <c r="G117" s="90"/>
      <c r="H117" s="90"/>
      <c r="I117" s="90"/>
      <c r="J117" s="90"/>
      <c r="K117" s="90"/>
      <c r="L117" s="84"/>
      <c r="M117" s="84"/>
    </row>
    <row r="118" spans="1:13">
      <c r="A118" s="22"/>
      <c r="D118" s="26"/>
      <c r="E118" s="26"/>
      <c r="F118" s="26"/>
      <c r="G118" s="26"/>
      <c r="H118" s="26"/>
      <c r="I118" s="26"/>
      <c r="J118" s="26"/>
      <c r="K118" s="26"/>
    </row>
    <row r="119" spans="1:13">
      <c r="A119" s="38" t="s">
        <v>18</v>
      </c>
      <c r="B119" s="2" t="s">
        <v>8</v>
      </c>
      <c r="D119" s="26"/>
      <c r="E119" s="26">
        <f>100*(E36*E51-E37*$D$9)/(E37*$D$8-E36*E50)</f>
        <v>23.384335168868716</v>
      </c>
      <c r="F119" s="26">
        <f t="shared" ref="F119:K119" si="87">100*(F36*F51-F37*$D$9)/(F37*$D$8-F36*F50)</f>
        <v>21.816204472821511</v>
      </c>
      <c r="G119" s="26">
        <f t="shared" si="87"/>
        <v>17.772220299756313</v>
      </c>
      <c r="H119" s="26">
        <f t="shared" si="87"/>
        <v>18.594450822080084</v>
      </c>
      <c r="I119" s="26">
        <f t="shared" si="87"/>
        <v>18.462685036193889</v>
      </c>
      <c r="J119" s="26">
        <f t="shared" si="87"/>
        <v>12.904607436782076</v>
      </c>
      <c r="K119" s="26">
        <f t="shared" si="87"/>
        <v>2.1110866048428845</v>
      </c>
    </row>
    <row r="120" spans="1:13">
      <c r="A120" s="38" t="s">
        <v>19</v>
      </c>
      <c r="B120" s="2" t="s">
        <v>8</v>
      </c>
      <c r="D120" s="26"/>
      <c r="E120" s="26">
        <f>100*(E36*E52-E37*$D$10)/(E37*$D$8-E36*E50)</f>
        <v>32.922621074149639</v>
      </c>
      <c r="F120" s="26">
        <f t="shared" ref="F120:K120" si="88">100*(F36*F52-F37*$D$10)/(F37*$D$8-F36*F50)</f>
        <v>32.326519056255222</v>
      </c>
      <c r="G120" s="26">
        <f t="shared" si="88"/>
        <v>32.998045204362384</v>
      </c>
      <c r="H120" s="26">
        <f t="shared" si="88"/>
        <v>33.073456439163884</v>
      </c>
      <c r="I120" s="26">
        <f t="shared" si="88"/>
        <v>33.051791326961691</v>
      </c>
      <c r="J120" s="26">
        <f t="shared" si="88"/>
        <v>34.388850070279069</v>
      </c>
      <c r="K120" s="26">
        <f t="shared" si="88"/>
        <v>36.959346791464981</v>
      </c>
    </row>
    <row r="121" spans="1:13" s="80" customFormat="1">
      <c r="A121" s="38" t="s">
        <v>20</v>
      </c>
      <c r="B121" s="2" t="s">
        <v>8</v>
      </c>
      <c r="C121" s="81"/>
      <c r="D121" s="82"/>
      <c r="E121" s="26">
        <f>100*(E36*E53-E37*$D$11)/(E37*$D$8-E36*E50)</f>
        <v>31.60201356962887</v>
      </c>
      <c r="F121" s="26">
        <f t="shared" ref="F121:K121" si="89">100*(F36*F53-F37*$D$11)/(F37*$D$8-F36*F50)</f>
        <v>33.792785312468077</v>
      </c>
      <c r="G121" s="26">
        <f t="shared" si="89"/>
        <v>38.542165957438797</v>
      </c>
      <c r="H121" s="26">
        <f t="shared" si="89"/>
        <v>38.134520776179173</v>
      </c>
      <c r="I121" s="26">
        <f t="shared" si="89"/>
        <v>38.229090121694007</v>
      </c>
      <c r="J121" s="26">
        <f t="shared" si="89"/>
        <v>44.364122328597375</v>
      </c>
      <c r="K121" s="26">
        <f t="shared" si="89"/>
        <v>55.172971595186226</v>
      </c>
      <c r="L121" s="81"/>
      <c r="M121" s="81"/>
    </row>
    <row r="122" spans="1:13">
      <c r="A122" s="38" t="s">
        <v>75</v>
      </c>
      <c r="B122" s="2" t="s">
        <v>8</v>
      </c>
      <c r="E122" s="26">
        <f>100*(E36*E54-E37*$D$12)/(E37*$D$8-E36*E50)</f>
        <v>12.026760215762408</v>
      </c>
      <c r="F122" s="26">
        <f t="shared" ref="F122:K122" si="90">100*(F36*F54-F37*$D$12)/(F37*$D$8-F36*F50)</f>
        <v>11.327680041461612</v>
      </c>
      <c r="G122" s="26">
        <f t="shared" si="90"/>
        <v>10.923810828847056</v>
      </c>
      <c r="H122" s="26">
        <f t="shared" si="90"/>
        <v>11.051613613746751</v>
      </c>
      <c r="I122" s="26">
        <f t="shared" si="90"/>
        <v>11.056668292992548</v>
      </c>
      <c r="J122" s="26">
        <f t="shared" si="90"/>
        <v>10.828009258095916</v>
      </c>
      <c r="K122" s="26">
        <f t="shared" si="90"/>
        <v>10.403738723068566</v>
      </c>
    </row>
    <row r="123" spans="1:13" s="85" customFormat="1">
      <c r="A123" s="151" t="s">
        <v>972</v>
      </c>
      <c r="B123" s="84" t="s">
        <v>8</v>
      </c>
      <c r="C123" s="84"/>
      <c r="D123" s="90"/>
      <c r="E123" s="90">
        <f>SUM(E119:E122)</f>
        <v>99.935730028409637</v>
      </c>
      <c r="F123" s="90">
        <f t="shared" ref="F123:K123" si="91">SUM(F119:F122)</f>
        <v>99.263188883006421</v>
      </c>
      <c r="G123" s="90">
        <f t="shared" si="91"/>
        <v>100.23624229040455</v>
      </c>
      <c r="H123" s="90">
        <f t="shared" si="91"/>
        <v>100.85404165116989</v>
      </c>
      <c r="I123" s="90">
        <f t="shared" si="91"/>
        <v>100.80023477784215</v>
      </c>
      <c r="J123" s="90">
        <f t="shared" si="91"/>
        <v>102.48558909375444</v>
      </c>
      <c r="K123" s="90">
        <f t="shared" si="91"/>
        <v>104.64714371456266</v>
      </c>
      <c r="L123" s="84"/>
      <c r="M123" s="84"/>
    </row>
    <row r="124" spans="1:13">
      <c r="D124" s="26"/>
      <c r="E124" s="26"/>
      <c r="F124" s="26"/>
      <c r="G124" s="26"/>
      <c r="H124" s="26"/>
      <c r="I124" s="26"/>
      <c r="J124" s="26"/>
      <c r="K124" s="26"/>
    </row>
    <row r="125" spans="1:13" s="80" customFormat="1">
      <c r="A125" s="77" t="s">
        <v>973</v>
      </c>
      <c r="B125" s="2" t="s">
        <v>8</v>
      </c>
      <c r="C125" s="81"/>
      <c r="D125" s="82"/>
      <c r="E125" s="26">
        <f>100*(E36*E59-E37*$D$14)/(E37*$D$13-E36*E58)</f>
        <v>-59.822440231666484</v>
      </c>
      <c r="F125" s="26">
        <f t="shared" ref="F125:K125" si="92">100*(F36*F59-F37*$D$14)/(F37*$D$13-F36*F58)</f>
        <v>-66.84768596521819</v>
      </c>
      <c r="G125" s="26">
        <f t="shared" si="92"/>
        <v>-63.719685867126614</v>
      </c>
      <c r="H125" s="26">
        <f t="shared" si="92"/>
        <v>-64.257371065330148</v>
      </c>
      <c r="I125" s="26">
        <f t="shared" si="92"/>
        <v>-64.053134761052874</v>
      </c>
      <c r="J125" s="26">
        <f t="shared" si="92"/>
        <v>-58.833404503810755</v>
      </c>
      <c r="K125" s="26">
        <f t="shared" si="92"/>
        <v>-55.834193018896933</v>
      </c>
      <c r="L125" s="81"/>
      <c r="M125" s="81"/>
    </row>
    <row r="126" spans="1:13">
      <c r="A126" s="77" t="s">
        <v>974</v>
      </c>
      <c r="B126" s="2" t="s">
        <v>8</v>
      </c>
      <c r="C126" s="81"/>
      <c r="D126" s="26"/>
      <c r="E126" s="26">
        <f>100*(E36*E60-E37*$D$15)/(E37*$D$13-E36*E58)</f>
        <v>11.626047736558892</v>
      </c>
      <c r="F126" s="26">
        <f t="shared" ref="F126:K126" si="93">100*(F36*F60-F37*$D$15)/(F37*$D$13-F36*F58)</f>
        <v>9.3034017855726425</v>
      </c>
      <c r="G126" s="26">
        <f t="shared" si="93"/>
        <v>13.913337290932251</v>
      </c>
      <c r="H126" s="26">
        <f t="shared" si="93"/>
        <v>13.315552233811891</v>
      </c>
      <c r="I126" s="26">
        <f t="shared" si="93"/>
        <v>13.537583288449836</v>
      </c>
      <c r="J126" s="26">
        <f t="shared" si="93"/>
        <v>20.401098369843304</v>
      </c>
      <c r="K126" s="26">
        <f t="shared" si="93"/>
        <v>29.650978638658124</v>
      </c>
    </row>
    <row r="127" spans="1:13">
      <c r="A127" s="22" t="s">
        <v>975</v>
      </c>
      <c r="B127" s="2" t="s">
        <v>8</v>
      </c>
      <c r="E127" s="1"/>
      <c r="F127" s="1"/>
      <c r="G127" s="1"/>
      <c r="H127" s="1"/>
      <c r="I127" s="1"/>
      <c r="J127" s="1"/>
    </row>
    <row r="128" spans="1:13" s="152" customFormat="1">
      <c r="A128" s="151" t="s">
        <v>976</v>
      </c>
      <c r="B128" s="84" t="s">
        <v>8</v>
      </c>
      <c r="C128" s="99"/>
      <c r="D128" s="232"/>
      <c r="E128" s="90">
        <f>E126+E125</f>
        <v>-48.196392495107588</v>
      </c>
      <c r="F128" s="90">
        <f t="shared" ref="F128:K128" si="94">F126+F125</f>
        <v>-57.544284179645544</v>
      </c>
      <c r="G128" s="90">
        <f t="shared" si="94"/>
        <v>-49.806348576194367</v>
      </c>
      <c r="H128" s="90">
        <f t="shared" si="94"/>
        <v>-50.941818831518255</v>
      </c>
      <c r="I128" s="90">
        <f t="shared" si="94"/>
        <v>-50.515551472603036</v>
      </c>
      <c r="J128" s="90">
        <f t="shared" si="94"/>
        <v>-38.432306133967451</v>
      </c>
      <c r="K128" s="90">
        <f t="shared" si="94"/>
        <v>-26.183214380238809</v>
      </c>
      <c r="L128" s="99"/>
      <c r="M128" s="99"/>
    </row>
    <row r="129" spans="1:13">
      <c r="A129" s="80"/>
      <c r="B129" s="81"/>
      <c r="D129" s="26"/>
      <c r="E129" s="26"/>
      <c r="F129" s="26"/>
      <c r="G129" s="26"/>
      <c r="H129" s="26"/>
      <c r="I129" s="26"/>
      <c r="J129" s="26"/>
      <c r="K129" s="26"/>
    </row>
    <row r="130" spans="1:13">
      <c r="A130" s="22" t="s">
        <v>977</v>
      </c>
      <c r="B130" s="2" t="s">
        <v>8</v>
      </c>
    </row>
    <row r="131" spans="1:13" s="85" customFormat="1">
      <c r="A131" s="151" t="s">
        <v>978</v>
      </c>
      <c r="B131" s="84" t="s">
        <v>8</v>
      </c>
      <c r="C131" s="84"/>
      <c r="D131" s="84"/>
      <c r="E131" s="84"/>
      <c r="F131" s="84"/>
      <c r="G131" s="84"/>
      <c r="H131" s="84"/>
      <c r="I131" s="84"/>
      <c r="J131" s="84"/>
      <c r="L131" s="84"/>
      <c r="M131" s="84"/>
    </row>
    <row r="132" spans="1:13">
      <c r="K132" s="2"/>
    </row>
    <row r="133" spans="1:13" s="85" customFormat="1">
      <c r="A133" s="151" t="s">
        <v>979</v>
      </c>
      <c r="B133" s="84" t="s">
        <v>980</v>
      </c>
      <c r="C133" s="84"/>
      <c r="D133" s="84"/>
      <c r="E133" s="92">
        <f>E114*E110</f>
        <v>0</v>
      </c>
      <c r="F133" s="92">
        <f t="shared" ref="F133:K133" si="95">F114*F110</f>
        <v>0</v>
      </c>
      <c r="G133" s="92">
        <f t="shared" si="95"/>
        <v>0</v>
      </c>
      <c r="H133" s="92">
        <f t="shared" si="95"/>
        <v>0</v>
      </c>
      <c r="I133" s="92">
        <f t="shared" si="95"/>
        <v>0</v>
      </c>
      <c r="J133" s="92">
        <f t="shared" si="95"/>
        <v>0</v>
      </c>
      <c r="K133" s="92">
        <f t="shared" si="95"/>
        <v>0</v>
      </c>
      <c r="L133" s="84"/>
      <c r="M133" s="84"/>
    </row>
    <row r="134" spans="1:13">
      <c r="A134" s="83"/>
      <c r="E134" s="39"/>
      <c r="F134" s="39"/>
      <c r="G134" s="39"/>
      <c r="H134" s="39"/>
      <c r="I134" s="39"/>
      <c r="J134" s="39"/>
      <c r="K134" s="39"/>
    </row>
    <row r="135" spans="1:13" s="85" customFormat="1">
      <c r="A135" s="151" t="s">
        <v>981</v>
      </c>
      <c r="B135" s="99" t="s">
        <v>8</v>
      </c>
      <c r="C135" s="84"/>
      <c r="D135" s="84"/>
      <c r="E135" s="92">
        <f>(E86)/(E86+E85)*100</f>
        <v>49.605904295668303</v>
      </c>
      <c r="F135" s="92">
        <f t="shared" ref="F135:K135" si="96">(F86)/(F86+F85)*100</f>
        <v>49.651604706148504</v>
      </c>
      <c r="G135" s="92">
        <f t="shared" si="96"/>
        <v>48.403215765999867</v>
      </c>
      <c r="H135" s="92">
        <f t="shared" si="96"/>
        <v>48.550061740588021</v>
      </c>
      <c r="I135" s="92">
        <f t="shared" si="96"/>
        <v>48.53922522322037</v>
      </c>
      <c r="J135" s="92">
        <f t="shared" si="96"/>
        <v>47.302069872603376</v>
      </c>
      <c r="K135" s="92">
        <f t="shared" si="96"/>
        <v>45.880513833373612</v>
      </c>
      <c r="L135" s="84"/>
      <c r="M135" s="84"/>
    </row>
    <row r="136" spans="1:13" s="85" customFormat="1">
      <c r="A136" s="151" t="s">
        <v>982</v>
      </c>
      <c r="B136" s="99" t="s">
        <v>8</v>
      </c>
      <c r="C136" s="84"/>
      <c r="D136" s="84"/>
      <c r="E136" s="92" cm="1">
        <f t="array" ref="E136">SUM(E89:E92)/SUM(E89:E92+E88)*100</f>
        <v>30.632037708444333</v>
      </c>
      <c r="F136" s="92" cm="1">
        <f t="array" ref="F136">SUM(F89:F92)/SUM(F89:F92+F88)*100</f>
        <v>29.932809692942385</v>
      </c>
      <c r="G136" s="92" cm="1">
        <f t="array" ref="G136">SUM(G89:G92)/SUM(G89:G92+G88)*100</f>
        <v>26.799724719060521</v>
      </c>
      <c r="H136" s="92" cm="1">
        <f t="array" ref="H136">SUM(H89:H92)/SUM(H89:H92+H88)*100</f>
        <v>27.175517485792199</v>
      </c>
      <c r="I136" s="92" cm="1">
        <f t="array" ref="I136">SUM(I89:I92)/SUM(I89:I92+I88)*100</f>
        <v>27.104912812857517</v>
      </c>
      <c r="J136" s="92" cm="1">
        <f t="array" ref="J136">SUM(J89:J92)/SUM(J89:J92+J88)*100</f>
        <v>24.271344594861418</v>
      </c>
      <c r="K136" s="92" cm="1">
        <f t="array" ref="K136">SUM(K89:K92)/SUM(K89:K92+K88)*100</f>
        <v>21.439487500018672</v>
      </c>
      <c r="L136" s="84"/>
      <c r="M136" s="84"/>
    </row>
    <row r="137" spans="1:13" s="85" customFormat="1">
      <c r="A137" s="151" t="s">
        <v>983</v>
      </c>
      <c r="B137" s="99" t="s">
        <v>8</v>
      </c>
      <c r="C137" s="84"/>
      <c r="D137" s="84"/>
      <c r="E137" s="92">
        <f>SUM(E98,E97)/(SUM(E98,E97)+E96)*100</f>
        <v>75.936108967740495</v>
      </c>
      <c r="F137" s="92">
        <f t="shared" ref="F137:K137" si="97">SUM(F98,F97)/(SUM(F98,F97)+F96)*100</f>
        <v>72.141717524690733</v>
      </c>
      <c r="G137" s="92">
        <f t="shared" si="97"/>
        <v>68.465082806275717</v>
      </c>
      <c r="H137" s="92">
        <f t="shared" si="97"/>
        <v>68.883872298247681</v>
      </c>
      <c r="I137" s="92">
        <f t="shared" si="97"/>
        <v>68.852760352393332</v>
      </c>
      <c r="J137" s="92">
        <f t="shared" si="97"/>
        <v>66.095461500693872</v>
      </c>
      <c r="K137" s="92">
        <f t="shared" si="97"/>
        <v>62.560860353290039</v>
      </c>
      <c r="L137" s="84"/>
      <c r="M137" s="84"/>
    </row>
    <row r="138" spans="1:13">
      <c r="A138" s="83"/>
      <c r="K138" s="2"/>
    </row>
    <row r="139" spans="1:13" s="85" customFormat="1">
      <c r="A139" s="245" t="s">
        <v>984</v>
      </c>
      <c r="B139" s="99" t="s">
        <v>74</v>
      </c>
      <c r="C139" s="84"/>
      <c r="D139" s="84"/>
      <c r="E139" s="92">
        <f t="shared" ref="E139:K139" si="98">E137*SUM(E96:E101,E105,E106)</f>
        <v>976.82541043069943</v>
      </c>
      <c r="F139" s="92">
        <f t="shared" si="98"/>
        <v>846.47371499825226</v>
      </c>
      <c r="G139" s="92">
        <f t="shared" si="98"/>
        <v>1028.8418441705444</v>
      </c>
      <c r="H139" s="92">
        <f t="shared" si="98"/>
        <v>999.64622531226837</v>
      </c>
      <c r="I139" s="92">
        <f t="shared" si="98"/>
        <v>1009.5936669134749</v>
      </c>
      <c r="J139" s="92">
        <f t="shared" si="98"/>
        <v>1239.7893054545768</v>
      </c>
      <c r="K139" s="92">
        <f t="shared" si="98"/>
        <v>1456.9994924465377</v>
      </c>
      <c r="L139" s="84"/>
      <c r="M139" s="84"/>
    </row>
    <row r="140" spans="1:13" s="85" customFormat="1">
      <c r="A140" s="245" t="s">
        <v>985</v>
      </c>
      <c r="B140" s="99" t="s">
        <v>74</v>
      </c>
      <c r="C140" s="84"/>
      <c r="D140" s="84"/>
      <c r="E140" s="88">
        <f t="shared" ref="E140:K140" si="99">SUM(E96,E97,E98,E99,E100,E101,E105,E106)</f>
        <v>12.863780139770904</v>
      </c>
      <c r="F140" s="88">
        <f t="shared" si="99"/>
        <v>11.733484369963106</v>
      </c>
      <c r="G140" s="88">
        <f t="shared" si="99"/>
        <v>15.027248956693551</v>
      </c>
      <c r="H140" s="88">
        <f t="shared" si="99"/>
        <v>14.512050382186457</v>
      </c>
      <c r="I140" s="88">
        <f t="shared" si="99"/>
        <v>14.663081941033338</v>
      </c>
      <c r="J140" s="88">
        <f t="shared" si="99"/>
        <v>18.75755577319876</v>
      </c>
      <c r="K140" s="88">
        <f t="shared" si="99"/>
        <v>23.289313545540377</v>
      </c>
      <c r="L140" s="84"/>
      <c r="M140" s="84"/>
    </row>
    <row r="141" spans="1:13">
      <c r="A141" s="77"/>
    </row>
    <row r="142" spans="1:13" s="2" customFormat="1">
      <c r="A142" s="77"/>
      <c r="K142" s="1"/>
    </row>
    <row r="143" spans="1:13" s="2" customFormat="1">
      <c r="A143" s="77"/>
      <c r="K143" s="1"/>
    </row>
    <row r="144" spans="1:13" s="2" customFormat="1">
      <c r="A144" s="77"/>
      <c r="K144" s="1"/>
    </row>
    <row r="145" spans="1:11" s="2" customFormat="1">
      <c r="A145" s="77"/>
      <c r="K145" s="1"/>
    </row>
    <row r="146" spans="1:11" s="2" customFormat="1">
      <c r="A146" s="77"/>
      <c r="K146" s="1"/>
    </row>
    <row r="147" spans="1:11" s="2" customFormat="1">
      <c r="A147" s="77"/>
      <c r="K147" s="1"/>
    </row>
    <row r="148" spans="1:11" s="2" customFormat="1">
      <c r="A148" s="77"/>
      <c r="K148" s="1"/>
    </row>
    <row r="149" spans="1:11" s="2" customFormat="1">
      <c r="A149" s="77"/>
      <c r="K149" s="1"/>
    </row>
    <row r="150" spans="1:11" s="2" customFormat="1">
      <c r="A150" s="77"/>
      <c r="K150" s="1"/>
    </row>
    <row r="151" spans="1:11" s="2" customFormat="1">
      <c r="A151" s="77"/>
      <c r="K151" s="1"/>
    </row>
    <row r="152" spans="1:11" s="2" customFormat="1">
      <c r="A152" s="77"/>
      <c r="K152" s="1"/>
    </row>
    <row r="153" spans="1:11" s="2" customFormat="1">
      <c r="A153" s="22"/>
      <c r="K153" s="1"/>
    </row>
    <row r="154" spans="1:11" s="2" customFormat="1">
      <c r="A154" s="22"/>
      <c r="K154" s="1"/>
    </row>
    <row r="155" spans="1:11" s="2" customFormat="1">
      <c r="A155" s="22"/>
      <c r="K155" s="1"/>
    </row>
    <row r="156" spans="1:11" s="2" customFormat="1">
      <c r="A156" s="22"/>
      <c r="K156" s="1"/>
    </row>
  </sheetData>
  <mergeCells count="1">
    <mergeCell ref="A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A823-CEE0-46D1-AF67-7110722701B5}">
  <dimension ref="A1:N156"/>
  <sheetViews>
    <sheetView topLeftCell="A10" zoomScale="90" zoomScaleNormal="90" workbookViewId="0">
      <selection activeCell="D36" sqref="D36:G36"/>
    </sheetView>
  </sheetViews>
  <sheetFormatPr defaultColWidth="9.140625" defaultRowHeight="15"/>
  <cols>
    <col min="1" max="1" width="29.7109375" style="2" bestFit="1" customWidth="1"/>
    <col min="2" max="2" width="11.7109375" style="2" bestFit="1" customWidth="1"/>
    <col min="3" max="3" width="11.7109375" style="2" customWidth="1"/>
    <col min="4" max="4" width="25.42578125" style="2" customWidth="1"/>
    <col min="5" max="5" width="27" style="2" bestFit="1" customWidth="1"/>
    <col min="6" max="9" width="16.42578125" style="2" bestFit="1" customWidth="1"/>
    <col min="10" max="10" width="15.85546875" style="2" bestFit="1" customWidth="1"/>
    <col min="11" max="14" width="15.85546875" style="1" bestFit="1" customWidth="1"/>
    <col min="15" max="16384" width="9.140625" style="1"/>
  </cols>
  <sheetData>
    <row r="1" spans="1:14" s="2" customFormat="1">
      <c r="A1" s="246" t="s">
        <v>939</v>
      </c>
      <c r="B1" s="246"/>
      <c r="C1" s="246"/>
      <c r="D1" s="246"/>
      <c r="K1" s="1"/>
      <c r="L1" s="1"/>
      <c r="M1" s="1"/>
      <c r="N1" s="1"/>
    </row>
    <row r="2" spans="1:14" s="2" customFormat="1">
      <c r="A2" s="31" t="s">
        <v>940</v>
      </c>
      <c r="B2" s="16" t="s">
        <v>8</v>
      </c>
      <c r="C2" s="16"/>
      <c r="D2" s="105">
        <f>Reactor1!D2</f>
        <v>83.84</v>
      </c>
      <c r="G2" s="1"/>
      <c r="K2" s="1"/>
      <c r="L2" s="1"/>
      <c r="M2" s="1"/>
      <c r="N2" s="1"/>
    </row>
    <row r="3" spans="1:14" s="2" customFormat="1">
      <c r="A3" s="31" t="s">
        <v>941</v>
      </c>
      <c r="B3" s="16" t="s">
        <v>8</v>
      </c>
      <c r="C3" s="16"/>
      <c r="D3" s="105">
        <f>Reactor1!D3</f>
        <v>16.159999999999997</v>
      </c>
      <c r="K3" s="1"/>
      <c r="L3" s="1"/>
      <c r="M3" s="1"/>
      <c r="N3" s="1"/>
    </row>
    <row r="4" spans="1:14" s="2" customFormat="1">
      <c r="A4" s="31" t="s">
        <v>942</v>
      </c>
      <c r="B4" s="16" t="s">
        <v>8</v>
      </c>
      <c r="C4" s="16"/>
      <c r="D4" s="105">
        <f>Reactor1!D4</f>
        <v>100</v>
      </c>
      <c r="K4" s="1"/>
      <c r="L4" s="1"/>
      <c r="M4" s="1"/>
      <c r="N4" s="1"/>
    </row>
    <row r="5" spans="1:14" s="2" customFormat="1">
      <c r="A5" s="31" t="s">
        <v>943</v>
      </c>
      <c r="B5" s="114" t="s">
        <v>89</v>
      </c>
      <c r="C5" s="114"/>
      <c r="D5" s="105">
        <f>Reactor1!D5</f>
        <v>0</v>
      </c>
      <c r="K5" s="1"/>
      <c r="L5" s="1"/>
      <c r="M5" s="1"/>
      <c r="N5" s="1"/>
    </row>
    <row r="6" spans="1:14" s="2" customFormat="1">
      <c r="A6" s="31" t="s">
        <v>944</v>
      </c>
      <c r="B6" s="114" t="s">
        <v>89</v>
      </c>
      <c r="C6" s="114"/>
      <c r="D6" s="105">
        <f>Reactor1!D6</f>
        <v>89</v>
      </c>
      <c r="F6" s="2" t="s">
        <v>945</v>
      </c>
      <c r="G6" s="102">
        <v>46247</v>
      </c>
      <c r="K6" s="1"/>
      <c r="L6" s="1"/>
      <c r="M6" s="1"/>
      <c r="N6" s="1"/>
    </row>
    <row r="7" spans="1:14" s="2" customFormat="1">
      <c r="A7" s="31" t="s">
        <v>946</v>
      </c>
      <c r="B7" s="16" t="s">
        <v>102</v>
      </c>
      <c r="C7" s="16"/>
      <c r="D7" s="210">
        <f>Reactor1!D7</f>
        <v>0.66500000000000004</v>
      </c>
      <c r="G7" s="138">
        <v>0.66666666666666663</v>
      </c>
      <c r="K7" s="1"/>
      <c r="L7" s="1"/>
      <c r="M7" s="1"/>
      <c r="N7" s="1"/>
    </row>
    <row r="8" spans="1:14">
      <c r="A8" s="29" t="s">
        <v>17</v>
      </c>
      <c r="B8" s="28" t="s">
        <v>8</v>
      </c>
      <c r="C8" s="28"/>
      <c r="D8" s="227">
        <f>Reactor1!D8</f>
        <v>17.808794750000001</v>
      </c>
      <c r="E8" s="1"/>
      <c r="F8" s="1"/>
      <c r="G8" s="1"/>
    </row>
    <row r="9" spans="1:14">
      <c r="A9" s="229" t="s">
        <v>18</v>
      </c>
      <c r="B9" s="28" t="s">
        <v>8</v>
      </c>
      <c r="C9" s="28"/>
      <c r="D9" s="227">
        <f>Reactor1!D9</f>
        <v>8.024783750000001</v>
      </c>
      <c r="E9" s="1"/>
      <c r="F9" s="1"/>
      <c r="G9" s="1"/>
    </row>
    <row r="10" spans="1:14">
      <c r="A10" s="229" t="s">
        <v>19</v>
      </c>
      <c r="B10" s="230" t="s">
        <v>8</v>
      </c>
      <c r="C10" s="28"/>
      <c r="D10" s="227">
        <f>Reactor1!D10</f>
        <v>3.6883509999999999</v>
      </c>
      <c r="E10" s="1"/>
      <c r="F10" s="1"/>
      <c r="G10" s="1"/>
    </row>
    <row r="11" spans="1:14">
      <c r="A11" s="229" t="s">
        <v>20</v>
      </c>
      <c r="B11" s="230" t="s">
        <v>8</v>
      </c>
      <c r="C11" s="28"/>
      <c r="D11" s="227">
        <f>Reactor1!D11</f>
        <v>0.72080225000000009</v>
      </c>
      <c r="E11" s="1"/>
      <c r="F11" s="1"/>
      <c r="G11" s="1"/>
    </row>
    <row r="12" spans="1:14">
      <c r="A12" s="229" t="s">
        <v>75</v>
      </c>
      <c r="B12" s="230" t="s">
        <v>8</v>
      </c>
      <c r="C12" s="28"/>
      <c r="D12" s="227">
        <f>Reactor1!D12</f>
        <v>1.6720374999999999E-2</v>
      </c>
      <c r="E12" s="1"/>
      <c r="F12" s="1"/>
      <c r="G12" s="1"/>
    </row>
    <row r="13" spans="1:14">
      <c r="A13" s="229" t="s">
        <v>25</v>
      </c>
      <c r="B13" s="230" t="s">
        <v>8</v>
      </c>
      <c r="C13" s="229"/>
      <c r="D13" s="227">
        <f>Reactor1!D13</f>
        <v>16.071277625</v>
      </c>
      <c r="E13" s="1"/>
      <c r="F13" s="1"/>
      <c r="G13" s="1"/>
    </row>
    <row r="14" spans="1:14">
      <c r="A14" s="229" t="s">
        <v>26</v>
      </c>
      <c r="B14" s="230" t="s">
        <v>8</v>
      </c>
      <c r="C14" s="229"/>
      <c r="D14" s="227">
        <f>Reactor1!D14</f>
        <v>13.769736375000001</v>
      </c>
      <c r="E14" s="1"/>
      <c r="F14" s="1"/>
      <c r="G14" s="1"/>
    </row>
    <row r="15" spans="1:14">
      <c r="A15" s="229" t="s">
        <v>27</v>
      </c>
      <c r="B15" s="230" t="s">
        <v>8</v>
      </c>
      <c r="C15" s="229"/>
      <c r="D15" s="227">
        <f>Reactor1!D15</f>
        <v>0.99247037500000013</v>
      </c>
      <c r="E15" s="1"/>
      <c r="F15" s="1"/>
      <c r="G15" s="1"/>
    </row>
    <row r="16" spans="1:14">
      <c r="A16" s="22"/>
      <c r="D16" s="95"/>
      <c r="E16" s="1"/>
      <c r="F16" s="1"/>
      <c r="G16" s="1"/>
    </row>
    <row r="17" spans="1:14">
      <c r="A17" s="129" t="s">
        <v>989</v>
      </c>
      <c r="D17" s="95"/>
      <c r="E17" s="1"/>
      <c r="F17" s="1"/>
      <c r="G17" s="1"/>
    </row>
    <row r="18" spans="1:14" s="133" customFormat="1">
      <c r="A18" s="134"/>
      <c r="B18" s="131"/>
      <c r="C18" s="131"/>
      <c r="D18" s="132"/>
      <c r="H18" s="131"/>
      <c r="I18" s="131"/>
      <c r="J18" s="131"/>
    </row>
    <row r="19" spans="1:14" s="101" customFormat="1">
      <c r="A19" s="103" t="s">
        <v>227</v>
      </c>
      <c r="B19" s="104" t="s">
        <v>89</v>
      </c>
      <c r="C19" s="104"/>
      <c r="D19" s="102" cm="1">
        <f t="array" ref="D19:N19">TRANSPOSE(_xlfn._xlws.FILTER('Raw Data'!AU2:AU505,('Raw Data'!B2:B505=4)*('Raw Data'!AU2:AU505&lt;&gt;"")))</f>
        <v>46249</v>
      </c>
      <c r="E19" s="102">
        <v>46251</v>
      </c>
      <c r="F19" s="102">
        <v>46252</v>
      </c>
      <c r="G19" s="102">
        <v>46253</v>
      </c>
      <c r="H19" s="102">
        <v>46254</v>
      </c>
      <c r="I19" s="102">
        <v>46254</v>
      </c>
      <c r="J19" s="102">
        <v>46255</v>
      </c>
      <c r="K19" s="102">
        <v>46256</v>
      </c>
      <c r="L19" s="102">
        <v>46256</v>
      </c>
      <c r="M19" s="101">
        <v>46257</v>
      </c>
      <c r="N19" s="101">
        <v>46258</v>
      </c>
    </row>
    <row r="20" spans="1:14" s="101" customFormat="1">
      <c r="A20" s="103" t="s">
        <v>950</v>
      </c>
      <c r="B20" s="104" t="s">
        <v>89</v>
      </c>
      <c r="C20" s="104"/>
      <c r="D20" s="108" cm="1">
        <f t="array" ref="D20:N20">TRANSPOSE(_xlfn._xlws.FILTER('Raw Data'!AV2:AV505,('Raw Data'!B2:B505=4)*('Raw Data'!AV2:AV505&lt;&gt;"")))</f>
        <v>0.14554398148148148</v>
      </c>
      <c r="E20" s="108">
        <v>0.84702546296296299</v>
      </c>
      <c r="F20" s="108">
        <v>0.7341550925925926</v>
      </c>
      <c r="G20" s="108">
        <v>0.4231712962962963</v>
      </c>
      <c r="H20" s="108">
        <v>0.1121875</v>
      </c>
      <c r="I20" s="108">
        <v>0.80121527777777779</v>
      </c>
      <c r="J20" s="108">
        <v>0.49023148148148149</v>
      </c>
      <c r="K20" s="108">
        <v>0.17924768518518519</v>
      </c>
      <c r="L20" s="108">
        <v>0.86828703703703702</v>
      </c>
      <c r="M20" s="108">
        <v>0.55730324074074078</v>
      </c>
      <c r="N20" s="108">
        <v>0.24630787037037036</v>
      </c>
    </row>
    <row r="21" spans="1:14" s="101" customFormat="1">
      <c r="A21" s="103" t="s">
        <v>121</v>
      </c>
      <c r="B21" s="102" t="s">
        <v>122</v>
      </c>
      <c r="C21" s="102"/>
      <c r="D21" s="39">
        <f>((D19+D20)-(G6+G7))*24</f>
        <v>35.493055555620231</v>
      </c>
      <c r="E21" s="23">
        <f t="shared" ref="E21:I21" si="0">((E19+E20)-(D19+D20))*24</f>
        <v>64.835555555589963</v>
      </c>
      <c r="F21" s="23">
        <f t="shared" si="0"/>
        <v>21.291111111058854</v>
      </c>
      <c r="G21" s="23">
        <f t="shared" si="0"/>
        <v>16.536388888838701</v>
      </c>
      <c r="H21" s="23">
        <f t="shared" si="0"/>
        <v>16.536388889013324</v>
      </c>
      <c r="I21" s="23">
        <f t="shared" si="0"/>
        <v>16.536666666681413</v>
      </c>
      <c r="J21" s="23">
        <f t="shared" ref="J21" si="1">((J19+J20)-(I19+I20))*24</f>
        <v>16.536388888838701</v>
      </c>
      <c r="K21" s="23">
        <f t="shared" ref="K21" si="2">((K19+K20)-(J19+J20))*24</f>
        <v>16.536388888838701</v>
      </c>
      <c r="L21" s="23">
        <f t="shared" ref="L21" si="3">((L19+L20)-(K19+K20))*24</f>
        <v>16.536944444524124</v>
      </c>
      <c r="M21" s="23">
        <f t="shared" ref="M21" si="4">((M19+M20)-(L19+L20))*24</f>
        <v>16.536388888838701</v>
      </c>
      <c r="N21" s="23">
        <f t="shared" ref="N21" si="5">((N19+N20)-(M19+M20))*24</f>
        <v>16.536111111170612</v>
      </c>
    </row>
    <row r="22" spans="1:14" s="39" customFormat="1">
      <c r="A22" s="94" t="s">
        <v>951</v>
      </c>
      <c r="B22" s="39" t="s">
        <v>952</v>
      </c>
      <c r="D22" s="39">
        <f>D21</f>
        <v>35.493055555620231</v>
      </c>
      <c r="E22" s="39">
        <f>E21+D22-40</f>
        <v>60.328611111210193</v>
      </c>
      <c r="F22" s="39">
        <f t="shared" ref="F22:I22" si="6">F21+E22</f>
        <v>81.619722222269047</v>
      </c>
      <c r="G22" s="39">
        <f t="shared" si="6"/>
        <v>98.156111111107748</v>
      </c>
      <c r="H22" s="39">
        <f t="shared" si="6"/>
        <v>114.69250000012107</v>
      </c>
      <c r="I22" s="39">
        <f t="shared" si="6"/>
        <v>131.22916666680248</v>
      </c>
      <c r="J22" s="39">
        <f t="shared" ref="J22" si="7">J21+I22</f>
        <v>147.76555555564119</v>
      </c>
      <c r="K22" s="39">
        <f t="shared" ref="K22" si="8">K21+J22</f>
        <v>164.30194444447989</v>
      </c>
      <c r="L22" s="39">
        <f t="shared" ref="L22" si="9">L21+K22</f>
        <v>180.83888888900401</v>
      </c>
      <c r="M22" s="39">
        <f t="shared" ref="M22" si="10">M21+L22</f>
        <v>197.37527777784271</v>
      </c>
      <c r="N22" s="39">
        <f t="shared" ref="N22" si="11">N21+M22</f>
        <v>213.91138888901332</v>
      </c>
    </row>
    <row r="23" spans="1:14" s="85" customFormat="1">
      <c r="A23" s="153" t="s">
        <v>114</v>
      </c>
      <c r="B23" s="84" t="s">
        <v>115</v>
      </c>
      <c r="C23" s="84"/>
      <c r="D23" s="88" cm="1">
        <f t="array" ref="D23:N23">TRANSPOSE(_xlfn._xlws.FILTER('Raw Data'!E2:E505,('Raw Data'!B2:B505=4)*('Raw Data'!E2:E505&lt;&gt;"")))</f>
        <v>25.202500000000001</v>
      </c>
      <c r="E23" s="92">
        <v>25.102699999999999</v>
      </c>
      <c r="F23" s="92">
        <v>25.070900000000002</v>
      </c>
      <c r="G23" s="92">
        <v>25.221399999999999</v>
      </c>
      <c r="H23" s="92">
        <v>25.240200000000002</v>
      </c>
      <c r="I23" s="92">
        <v>25.296600000000002</v>
      </c>
      <c r="J23" s="92">
        <v>25.0014</v>
      </c>
      <c r="K23" s="92">
        <v>25.316800000000001</v>
      </c>
      <c r="L23" s="92">
        <v>25.271999999999998</v>
      </c>
      <c r="M23" s="92">
        <v>25.065100000000001</v>
      </c>
      <c r="N23" s="92">
        <v>25.277799999999999</v>
      </c>
    </row>
    <row r="24" spans="1:14" s="85" customFormat="1">
      <c r="A24" s="153" t="s">
        <v>953</v>
      </c>
      <c r="B24" s="84" t="s">
        <v>954</v>
      </c>
      <c r="C24" s="84"/>
      <c r="D24" s="92" cm="1">
        <f t="array" ref="D24:N24">TRANSPOSE(_xlfn._xlws.FILTER('Raw Data'!C2:C505,('Raw Data'!B2:B505=4)*('Raw Data'!C2:C505&lt;&gt;"")))</f>
        <v>210</v>
      </c>
      <c r="E24" s="92">
        <v>220</v>
      </c>
      <c r="F24" s="92">
        <v>220</v>
      </c>
      <c r="G24" s="92">
        <v>220</v>
      </c>
      <c r="H24" s="92">
        <v>215</v>
      </c>
      <c r="I24" s="92">
        <v>215</v>
      </c>
      <c r="J24" s="92">
        <v>210</v>
      </c>
      <c r="K24" s="92">
        <v>210.1</v>
      </c>
      <c r="L24" s="92">
        <v>205</v>
      </c>
      <c r="M24" s="92">
        <v>200</v>
      </c>
      <c r="N24" s="92">
        <v>200</v>
      </c>
    </row>
    <row r="25" spans="1:14" s="85" customFormat="1">
      <c r="A25" s="153" t="s">
        <v>56</v>
      </c>
      <c r="B25" s="84" t="s">
        <v>118</v>
      </c>
      <c r="C25" s="84"/>
      <c r="D25" s="90">
        <f t="shared" ref="D25:I25" si="12">D37/$D$7*(1/2)</f>
        <v>0.84103529907495245</v>
      </c>
      <c r="E25" s="90">
        <f t="shared" si="12"/>
        <v>1.4193614180895617</v>
      </c>
      <c r="F25" s="90">
        <f t="shared" si="12"/>
        <v>1.4344082927896313</v>
      </c>
      <c r="G25" s="90">
        <f t="shared" si="12"/>
        <v>1.3549689426950693</v>
      </c>
      <c r="H25" s="90">
        <f t="shared" si="12"/>
        <v>1.4141074002257887</v>
      </c>
      <c r="I25" s="90">
        <f t="shared" si="12"/>
        <v>1.4072819088843456</v>
      </c>
      <c r="J25" s="90">
        <f t="shared" ref="J25:K25" si="13">J37/$D$7*(1/2)</f>
        <v>1.5124747027866658</v>
      </c>
      <c r="K25" s="90">
        <f t="shared" si="13"/>
        <v>1.4056458434414256</v>
      </c>
      <c r="L25" s="90">
        <f t="shared" ref="L25" si="14">L37/$D$7*(1/2)</f>
        <v>1.3648323961761319</v>
      </c>
      <c r="M25" s="88"/>
      <c r="N25" s="88"/>
    </row>
    <row r="26" spans="1:14" s="85" customFormat="1">
      <c r="A26" s="153" t="s">
        <v>119</v>
      </c>
      <c r="B26" s="84" t="s">
        <v>955</v>
      </c>
      <c r="C26" s="84"/>
      <c r="D26" s="88">
        <f>(D35/2)/(D37/$D$6)</f>
        <v>7.5633001370578032</v>
      </c>
      <c r="E26" s="88">
        <f t="shared" ref="E26:F26" si="15">(E35/2)/(E37/$D$6)</f>
        <v>3.6154566927239573</v>
      </c>
      <c r="F26" s="88">
        <f t="shared" si="15"/>
        <v>3.6919392419907942</v>
      </c>
      <c r="G26" s="88">
        <f t="shared" ref="G26" si="16">(G35/2)/(G37/$D$6)</f>
        <v>3.9127865957673844</v>
      </c>
      <c r="H26" s="88">
        <f t="shared" ref="H26:I26" si="17">(H35/2)/(H37/$D$6)</f>
        <v>3.6827740464423595</v>
      </c>
      <c r="I26" s="88">
        <f t="shared" si="17"/>
        <v>3.7004579988759558</v>
      </c>
      <c r="J26" s="88">
        <f t="shared" ref="J26:K26" si="18">(J35/2)/(J37/$D$6)</f>
        <v>3.4905886111421998</v>
      </c>
      <c r="K26" s="88">
        <f t="shared" si="18"/>
        <v>3.6867675453916493</v>
      </c>
      <c r="L26" s="88">
        <f t="shared" ref="L26" si="19">(L35/2)/(L37/$D$6)</f>
        <v>4.5591113897138564</v>
      </c>
      <c r="M26" s="88"/>
      <c r="N26" s="88"/>
    </row>
    <row r="27" spans="1:14">
      <c r="A27" s="22" t="s">
        <v>956</v>
      </c>
      <c r="B27" s="2" t="s">
        <v>130</v>
      </c>
      <c r="D27" s="2">
        <v>3.2</v>
      </c>
      <c r="E27" s="2">
        <v>3.2</v>
      </c>
      <c r="F27" s="2">
        <v>3.2</v>
      </c>
      <c r="G27" s="2">
        <v>3.2</v>
      </c>
      <c r="H27" s="2">
        <v>3.2</v>
      </c>
      <c r="I27" s="2">
        <v>3.2</v>
      </c>
      <c r="J27" s="2">
        <v>3.2</v>
      </c>
      <c r="K27" s="2">
        <v>3.2</v>
      </c>
      <c r="L27" s="2">
        <v>3.2</v>
      </c>
      <c r="M27" s="2">
        <v>3.2</v>
      </c>
      <c r="N27" s="2">
        <v>3.2</v>
      </c>
    </row>
    <row r="28" spans="1:14" s="79" customFormat="1">
      <c r="A28" s="111" t="s">
        <v>957</v>
      </c>
      <c r="B28" s="23" t="s">
        <v>958</v>
      </c>
      <c r="C28" s="23"/>
      <c r="D28" s="23" cm="1">
        <f t="array" ref="D28:N28">TRANSPOSE(_xlfn._xlws.FILTER('Raw Data'!AJ2:AJ505,('Raw Data'!B2:B505=4)*('Raw Data'!AJ2:AJ505&lt;&gt;"")))</f>
        <v>39.229747000000003</v>
      </c>
      <c r="E28" s="23">
        <v>33.192940999999998</v>
      </c>
      <c r="F28" s="23">
        <v>33.860931000000001</v>
      </c>
      <c r="G28" s="23">
        <v>34.058002000000002</v>
      </c>
      <c r="H28" s="23">
        <v>33.533211999999999</v>
      </c>
      <c r="I28" s="23">
        <v>33.545952999999997</v>
      </c>
      <c r="J28" s="23">
        <v>33.626435000000001</v>
      </c>
      <c r="K28" s="23">
        <v>33.443474000000002</v>
      </c>
      <c r="L28" s="23">
        <v>37.723503000000001</v>
      </c>
      <c r="M28" s="23">
        <v>37.165976999999998</v>
      </c>
      <c r="N28" s="23">
        <v>37.254578000000002</v>
      </c>
    </row>
    <row r="29" spans="1:14" s="97" customFormat="1">
      <c r="A29" s="112" t="s">
        <v>956</v>
      </c>
      <c r="B29" s="26" t="s">
        <v>958</v>
      </c>
      <c r="C29" s="26"/>
      <c r="D29" s="23" cm="1">
        <f t="array" ref="D29:N29">TRANSPOSE(_xlfn._xlws.FILTER('Raw Data'!AN2:AN505,('Raw Data'!B2:B505=4)*('Raw Data'!AN2:AN505&lt;&gt;"")))</f>
        <v>54.931986000000002</v>
      </c>
      <c r="E29" s="26">
        <v>57.619734000000001</v>
      </c>
      <c r="F29" s="26">
        <v>56.957804000000003</v>
      </c>
      <c r="G29" s="26">
        <v>57.224938999999999</v>
      </c>
      <c r="H29" s="26">
        <v>57.358708</v>
      </c>
      <c r="I29" s="26">
        <v>57.383260999999997</v>
      </c>
      <c r="J29" s="26">
        <v>56.738221000000003</v>
      </c>
      <c r="K29" s="26">
        <v>57.487231000000001</v>
      </c>
      <c r="L29" s="26">
        <v>54.005023999999999</v>
      </c>
      <c r="M29" s="26">
        <v>63.888255000000001</v>
      </c>
      <c r="N29" s="26">
        <v>64.118984999999995</v>
      </c>
    </row>
    <row r="30" spans="1:14">
      <c r="A30" s="22" t="s">
        <v>959</v>
      </c>
      <c r="B30" s="2" t="s">
        <v>958</v>
      </c>
      <c r="D30" s="26">
        <f t="shared" ref="D30:G30" si="20">100-D29-D28</f>
        <v>5.8382669999999948</v>
      </c>
      <c r="E30" s="26">
        <f t="shared" si="20"/>
        <v>9.1873250000000013</v>
      </c>
      <c r="F30" s="26">
        <f t="shared" si="20"/>
        <v>9.1812649999999962</v>
      </c>
      <c r="G30" s="26">
        <f t="shared" si="20"/>
        <v>8.717058999999999</v>
      </c>
      <c r="H30" s="26">
        <f t="shared" ref="H30:I30" si="21">100-H29-H28</f>
        <v>9.1080800000000011</v>
      </c>
      <c r="I30" s="26">
        <f t="shared" si="21"/>
        <v>9.0707860000000053</v>
      </c>
      <c r="J30" s="26">
        <f t="shared" ref="J30:K30" si="22">100-J29-J28</f>
        <v>9.6353439999999964</v>
      </c>
      <c r="K30" s="26">
        <f t="shared" si="22"/>
        <v>9.0692949999999968</v>
      </c>
      <c r="L30" s="26">
        <f t="shared" ref="L30" si="23">100-L29-L28</f>
        <v>8.2714730000000003</v>
      </c>
      <c r="M30" s="26"/>
      <c r="N30" s="26"/>
    </row>
    <row r="31" spans="1:14">
      <c r="A31" s="22" t="s">
        <v>81</v>
      </c>
      <c r="B31" s="2" t="s">
        <v>958</v>
      </c>
      <c r="D31" s="2">
        <f t="shared" ref="D31:G31" si="24">SUM(D28:D30)</f>
        <v>100</v>
      </c>
      <c r="E31" s="2">
        <f t="shared" si="24"/>
        <v>100</v>
      </c>
      <c r="F31" s="2">
        <f t="shared" si="24"/>
        <v>100</v>
      </c>
      <c r="G31" s="2">
        <f t="shared" si="24"/>
        <v>100</v>
      </c>
      <c r="H31" s="2">
        <f t="shared" ref="H31:I31" si="25">SUM(H28:H30)</f>
        <v>100</v>
      </c>
      <c r="I31" s="2">
        <f t="shared" si="25"/>
        <v>100</v>
      </c>
      <c r="J31" s="2">
        <f t="shared" ref="J31:K31" si="26">SUM(J28:J30)</f>
        <v>100</v>
      </c>
      <c r="K31" s="2">
        <f t="shared" si="26"/>
        <v>100</v>
      </c>
      <c r="L31" s="2">
        <f t="shared" ref="L31:N31" si="27">SUM(L28:L30)</f>
        <v>100</v>
      </c>
      <c r="M31" s="39">
        <f t="shared" si="27"/>
        <v>101.054232</v>
      </c>
      <c r="N31" s="39">
        <f t="shared" si="27"/>
        <v>101.37356299999999</v>
      </c>
    </row>
    <row r="32" spans="1:14" s="26" customFormat="1">
      <c r="A32" s="112" t="s">
        <v>650</v>
      </c>
      <c r="B32" s="96" t="s">
        <v>89</v>
      </c>
      <c r="C32" s="96"/>
      <c r="D32" s="23" cm="1">
        <f t="array" ref="D32:N32">TRANSPOSE(_xlfn._xlws.FILTER('Raw Data'!CP2:CP505,('Raw Data'!B2:B505=4)*('Raw Data'!CP2:CP505&lt;&gt;"")))</f>
        <v>79.391730999999993</v>
      </c>
      <c r="E32" s="26">
        <v>89.001328000000001</v>
      </c>
      <c r="F32" s="26">
        <v>88.990723000000003</v>
      </c>
      <c r="G32" s="26">
        <v>88.957145999999995</v>
      </c>
      <c r="H32" s="26">
        <v>89.045760999999999</v>
      </c>
      <c r="I32" s="26">
        <v>89.029494999999997</v>
      </c>
      <c r="J32" s="26">
        <v>89.064728000000002</v>
      </c>
      <c r="K32" s="26">
        <v>89.100127999999998</v>
      </c>
      <c r="L32" s="26">
        <v>89.105446000000001</v>
      </c>
      <c r="M32" s="26">
        <v>94.169433999999995</v>
      </c>
      <c r="N32" s="26">
        <v>84.259636</v>
      </c>
    </row>
    <row r="33" spans="1:14" s="23" customFormat="1">
      <c r="A33" s="111" t="s">
        <v>960</v>
      </c>
      <c r="B33" s="23" t="s">
        <v>8</v>
      </c>
      <c r="D33" s="23">
        <f t="shared" ref="D33:I33" si="28">SUMPRODUCT($C$42:$C$77,D42:D77)</f>
        <v>83.499951821799982</v>
      </c>
      <c r="E33" s="23">
        <f t="shared" si="28"/>
        <v>83.779599497099994</v>
      </c>
      <c r="F33" s="23">
        <f t="shared" si="28"/>
        <v>83.760327732800008</v>
      </c>
      <c r="G33" s="23">
        <f t="shared" si="28"/>
        <v>83.757451475700023</v>
      </c>
      <c r="H33" s="23">
        <f t="shared" si="28"/>
        <v>83.772460351500001</v>
      </c>
      <c r="I33" s="23">
        <f t="shared" si="28"/>
        <v>83.762011894999986</v>
      </c>
      <c r="J33" s="23">
        <f t="shared" ref="J33:K33" si="29">SUMPRODUCT($C$42:$C$77,J42:J77)</f>
        <v>83.76266094399999</v>
      </c>
      <c r="K33" s="23">
        <f t="shared" si="29"/>
        <v>83.763544844399945</v>
      </c>
      <c r="L33" s="23">
        <f t="shared" ref="L33" si="30">SUMPRODUCT($C$42:$C$77,L42:L77)</f>
        <v>83.769511492899994</v>
      </c>
    </row>
    <row r="34" spans="1:14" s="23" customFormat="1">
      <c r="A34" s="111" t="s">
        <v>961</v>
      </c>
      <c r="B34" s="23" t="s">
        <v>8</v>
      </c>
      <c r="D34" s="23">
        <f>100-D33</f>
        <v>16.500048178200018</v>
      </c>
      <c r="E34" s="23">
        <f t="shared" ref="E34:G34" si="31">100-E33</f>
        <v>16.220400502900006</v>
      </c>
      <c r="F34" s="23">
        <f t="shared" ref="F34" si="32">100-F33</f>
        <v>16.239672267199992</v>
      </c>
      <c r="G34" s="23">
        <f t="shared" si="31"/>
        <v>16.242548524299977</v>
      </c>
      <c r="H34" s="23">
        <f t="shared" ref="H34:I34" si="33">100-H33</f>
        <v>16.227539648499999</v>
      </c>
      <c r="I34" s="23">
        <f t="shared" si="33"/>
        <v>16.237988105000014</v>
      </c>
      <c r="J34" s="23">
        <f t="shared" ref="J34:K34" si="34">100-J33</f>
        <v>16.23733905600001</v>
      </c>
      <c r="K34" s="23">
        <f t="shared" si="34"/>
        <v>16.236455155600055</v>
      </c>
      <c r="L34" s="23">
        <f t="shared" ref="L34" si="35">100-L33</f>
        <v>16.230488507100006</v>
      </c>
    </row>
    <row r="35" spans="1:14">
      <c r="A35" s="22" t="s">
        <v>957</v>
      </c>
      <c r="B35" s="2" t="s">
        <v>110</v>
      </c>
      <c r="D35" s="95">
        <f>(D27/(D29/100))*(D28/100)*(273/293)*(2/22.4)</f>
        <v>0.19011535241294766</v>
      </c>
      <c r="E35" s="95">
        <f t="shared" ref="E35:G35" si="36">(E27/(E29/100))*(E28/100)*(0.0416)*2</f>
        <v>0.15337260341812756</v>
      </c>
      <c r="F35" s="95">
        <f t="shared" si="36"/>
        <v>0.15827742006064699</v>
      </c>
      <c r="G35" s="95">
        <f t="shared" si="36"/>
        <v>0.1584554323855199</v>
      </c>
      <c r="H35" s="95">
        <f t="shared" ref="H35:I35" si="37">(H27/(H29/100))*(H28/100)*(0.0416)*2</f>
        <v>0.15564999063228552</v>
      </c>
      <c r="I35" s="95">
        <f t="shared" si="37"/>
        <v>0.15564250569029181</v>
      </c>
      <c r="J35" s="95">
        <f t="shared" ref="J35:K35" si="38">(J27/(J29/100))*(J28/100)*(0.0416)*2</f>
        <v>0.15778961512381573</v>
      </c>
      <c r="K35" s="95">
        <f t="shared" si="38"/>
        <v>0.15488640456104069</v>
      </c>
      <c r="L35" s="95">
        <f t="shared" ref="L35:N35" si="39">(L27/(L29/100))*(L28/100)*(0.0416)*2</f>
        <v>0.18597353903073907</v>
      </c>
      <c r="M35" s="95">
        <f t="shared" si="39"/>
        <v>0.15488088877180947</v>
      </c>
      <c r="N35" s="95">
        <f t="shared" si="39"/>
        <v>0.15469145131851358</v>
      </c>
    </row>
    <row r="36" spans="1:14">
      <c r="A36" s="22" t="s">
        <v>959</v>
      </c>
      <c r="B36" s="2" t="s">
        <v>110</v>
      </c>
      <c r="D36" s="23">
        <f>(D27/(D29/100))*(D30/100)*(273/293)*(D32/22.4)</f>
        <v>1.1231322803772719</v>
      </c>
      <c r="E36" s="23">
        <f t="shared" ref="E36:G36" si="40">(E27/(E29/100))*(E30/100)*(0.0416)*(E32)</f>
        <v>1.8891116509177728</v>
      </c>
      <c r="F36" s="23">
        <f t="shared" si="40"/>
        <v>1.9095776809277909</v>
      </c>
      <c r="G36" s="23">
        <f t="shared" si="40"/>
        <v>1.8038847914411771</v>
      </c>
      <c r="H36" s="23">
        <f t="shared" ref="H36:I36" si="41">(H27/(H29/100))*(H30/100)*(0.0416)*(H32)</f>
        <v>1.8822791647378621</v>
      </c>
      <c r="I36" s="23">
        <f t="shared" si="41"/>
        <v>1.8734276042349416</v>
      </c>
      <c r="J36" s="23">
        <f t="shared" ref="J36:K36" si="42">(J27/(J29/100))*(J30/100)*(0.0416)*(J32)</f>
        <v>2.0134486808069108</v>
      </c>
      <c r="K36" s="23">
        <f t="shared" si="42"/>
        <v>1.8712153656456751</v>
      </c>
      <c r="L36" s="23">
        <f t="shared" ref="L36" si="43">(L27/(L29/100))*(L30/100)*(0.0416)*(L32)</f>
        <v>1.8167545238674356</v>
      </c>
      <c r="M36" s="23"/>
      <c r="N36" s="23"/>
    </row>
    <row r="37" spans="1:14">
      <c r="A37" s="22" t="s">
        <v>962</v>
      </c>
      <c r="B37" s="2" t="s">
        <v>110</v>
      </c>
      <c r="D37" s="23">
        <f t="shared" ref="D37:I37" si="44">(D36*D33)/($D$2)</f>
        <v>1.1185769477696867</v>
      </c>
      <c r="E37" s="23">
        <f t="shared" si="44"/>
        <v>1.8877506860591171</v>
      </c>
      <c r="F37" s="23">
        <f t="shared" si="44"/>
        <v>1.9077630294102097</v>
      </c>
      <c r="G37" s="23">
        <f t="shared" si="44"/>
        <v>1.8021086937844422</v>
      </c>
      <c r="H37" s="23">
        <f t="shared" si="44"/>
        <v>1.8807628423002991</v>
      </c>
      <c r="I37" s="23">
        <f t="shared" si="44"/>
        <v>1.8716849388161796</v>
      </c>
      <c r="J37" s="23">
        <f t="shared" ref="J37:K37" si="45">(J36*J33)/($D$2)</f>
        <v>2.0115913547062658</v>
      </c>
      <c r="K37" s="23">
        <f t="shared" si="45"/>
        <v>1.8695089717770961</v>
      </c>
      <c r="L37" s="23">
        <f t="shared" ref="L37" si="46">(L36*L33)/($D$2)</f>
        <v>1.8152270869142557</v>
      </c>
      <c r="M37" s="23"/>
      <c r="N37" s="23"/>
    </row>
    <row r="38" spans="1:14">
      <c r="A38" s="22" t="s">
        <v>963</v>
      </c>
      <c r="B38" s="2" t="s">
        <v>964</v>
      </c>
      <c r="D38" s="23">
        <f>D36/D35</f>
        <v>5.9076358964305387</v>
      </c>
      <c r="E38" s="23">
        <f t="shared" ref="E38:G38" si="47">(E30*E32)/(E28*2)</f>
        <v>12.317138842376156</v>
      </c>
      <c r="F38" s="23">
        <f t="shared" si="47"/>
        <v>12.064751119876099</v>
      </c>
      <c r="G38" s="23">
        <f t="shared" si="47"/>
        <v>11.384177647203348</v>
      </c>
      <c r="H38" s="23">
        <f t="shared" ref="H38:I38" si="48">(H30*H32)/(H28*2)</f>
        <v>12.093024593780044</v>
      </c>
      <c r="I38" s="23">
        <f t="shared" si="48"/>
        <v>12.036735054643858</v>
      </c>
      <c r="J38" s="23">
        <f t="shared" ref="J38:K38" si="49">(J30*J32)/(J28*2)</f>
        <v>12.760337106006505</v>
      </c>
      <c r="K38" s="23">
        <f t="shared" si="49"/>
        <v>12.081211200872248</v>
      </c>
      <c r="L38" s="23">
        <f t="shared" ref="L38" si="50">(L30*L32)/(L28*2)</f>
        <v>9.7688871940386601</v>
      </c>
      <c r="M38" s="23"/>
      <c r="N38" s="23"/>
    </row>
    <row r="39" spans="1:14" s="91" customFormat="1">
      <c r="A39" s="94" t="s">
        <v>965</v>
      </c>
      <c r="B39" s="93" t="s">
        <v>89</v>
      </c>
      <c r="C39" s="93"/>
      <c r="D39" s="39" cm="1">
        <f t="array" ref="D39:N39">TRANSPOSE(_xlfn._xlws.FILTER('Raw Data'!CO2:CO505,('Raw Data'!B2:B505=4)*('Raw Data'!CO2:CO505&lt;&gt;"")))</f>
        <v>59.608891</v>
      </c>
      <c r="E39" s="39">
        <v>40.401958</v>
      </c>
      <c r="F39" s="39">
        <v>40.407471000000001</v>
      </c>
      <c r="G39" s="39">
        <v>40.463141999999998</v>
      </c>
      <c r="H39" s="39">
        <v>40.347115000000002</v>
      </c>
      <c r="I39" s="39">
        <v>40.374904999999998</v>
      </c>
      <c r="J39" s="39">
        <v>40.318382</v>
      </c>
      <c r="K39" s="39">
        <v>40.280845999999997</v>
      </c>
      <c r="L39" s="39">
        <v>40.265171000000002</v>
      </c>
      <c r="M39" s="39">
        <v>32.841171000000003</v>
      </c>
      <c r="N39" s="39">
        <v>44.400078000000001</v>
      </c>
    </row>
    <row r="40" spans="1:14" s="91" customFormat="1">
      <c r="A40" s="94" t="s">
        <v>966</v>
      </c>
      <c r="B40" s="93" t="s">
        <v>89</v>
      </c>
      <c r="C40" s="93"/>
      <c r="D40" s="73" cm="1">
        <f t="array" ref="D40:N40">TRANSPOSE(_xlfn._xlws.FILTER('Raw Data'!CQ2:CQ506,('Raw Data'!B2:B506=4)*('Raw Data'!CQ2:CQ506&lt;&gt;"")))</f>
        <v>0.631436</v>
      </c>
      <c r="E40" s="73">
        <v>0.66483099999999995</v>
      </c>
      <c r="F40" s="73">
        <v>0.66512199999999999</v>
      </c>
      <c r="G40" s="73">
        <v>0.66534400000000005</v>
      </c>
      <c r="H40" s="73">
        <v>0.66606399999999999</v>
      </c>
      <c r="I40" s="73">
        <v>0.66594200000000003</v>
      </c>
      <c r="J40" s="73">
        <v>0.66656000000000004</v>
      </c>
      <c r="K40" s="73">
        <v>0.66498299999999999</v>
      </c>
      <c r="L40" s="73">
        <v>0.66599200000000003</v>
      </c>
      <c r="M40" s="73">
        <v>0.662246</v>
      </c>
      <c r="N40" s="73">
        <v>0.65240299999999996</v>
      </c>
    </row>
    <row r="41" spans="1:14" s="133" customFormat="1">
      <c r="A41" s="134"/>
      <c r="B41" s="131"/>
      <c r="C41" s="131" t="s">
        <v>651</v>
      </c>
      <c r="D41" s="135"/>
      <c r="E41" s="135"/>
      <c r="F41" s="135"/>
      <c r="G41" s="135"/>
      <c r="H41" s="135"/>
      <c r="I41" s="135"/>
      <c r="J41" s="135"/>
      <c r="K41" s="135"/>
      <c r="L41" s="135"/>
    </row>
    <row r="42" spans="1:14" s="2" customFormat="1" ht="18.75" customHeight="1">
      <c r="A42" s="38" t="s">
        <v>9</v>
      </c>
      <c r="B42" s="2" t="s">
        <v>8</v>
      </c>
      <c r="C42" s="95">
        <f>Reactor1!C42</f>
        <v>0.749</v>
      </c>
      <c r="D42" s="23" cm="1">
        <f t="array" ref="D42:N42">TRANSPOSE(_xlfn._xlws.FILTER('Raw Data'!BB2:BB505,('Raw Data'!B2:B505=4)*('Raw Data'!BB2:BB505&lt;&gt;"")))</f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</row>
    <row r="43" spans="1:14" s="2" customFormat="1">
      <c r="A43" s="38" t="s">
        <v>10</v>
      </c>
      <c r="B43" s="2" t="s">
        <v>8</v>
      </c>
      <c r="C43" s="95">
        <f>Reactor1!C43</f>
        <v>0.79900000000000004</v>
      </c>
      <c r="D43" s="23" cm="1">
        <f t="array" ref="D43:N43">TRANSPOSE(_xlfn._xlws.FILTER('Raw Data'!BC2:BC505,('Raw Data'!B2:B505=4)*('Raw Data'!BC2:BC505&lt;&gt;"")))</f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</row>
    <row r="44" spans="1:14" s="2" customFormat="1">
      <c r="A44" s="38" t="s">
        <v>11</v>
      </c>
      <c r="B44" s="2" t="s">
        <v>8</v>
      </c>
      <c r="C44" s="95">
        <f>Reactor1!C44</f>
        <v>0.81699999999999995</v>
      </c>
      <c r="D44" s="23" cm="1">
        <f t="array" ref="D44:N44">TRANSPOSE(_xlfn._xlws.FILTER('Raw Data'!BD2:BD505,('Raw Data'!B2:B505=4)*('Raw Data'!BD2:BD505&lt;&gt;"")))</f>
        <v>3.6563150000000002</v>
      </c>
      <c r="E44" s="23">
        <v>4.4020999999999998E-2</v>
      </c>
      <c r="F44" s="23">
        <v>4.4956999999999997E-2</v>
      </c>
      <c r="G44" s="23">
        <v>4.4325000000000003E-2</v>
      </c>
      <c r="H44" s="23">
        <v>4.5414000000000003E-2</v>
      </c>
      <c r="I44" s="23">
        <v>4.4956000000000003E-2</v>
      </c>
      <c r="J44" s="23">
        <v>4.4523E-2</v>
      </c>
      <c r="K44" s="23">
        <v>4.1374000000000001E-2</v>
      </c>
      <c r="L44" s="23">
        <v>4.0947999999999998E-2</v>
      </c>
      <c r="M44" s="23">
        <v>0.30675599999999997</v>
      </c>
      <c r="N44" s="23">
        <v>0</v>
      </c>
    </row>
    <row r="45" spans="1:14" s="2" customFormat="1">
      <c r="A45" s="38" t="s">
        <v>12</v>
      </c>
      <c r="B45" s="2" t="s">
        <v>8</v>
      </c>
      <c r="C45" s="95">
        <f>Reactor1!C45</f>
        <v>0.82599999999999996</v>
      </c>
      <c r="D45" s="23" cm="1">
        <f t="array" ref="D45:N45">TRANSPOSE(_xlfn._xlws.FILTER('Raw Data'!BE2:BE505,('Raw Data'!B2:B505=4)*('Raw Data'!BE2:BE505&lt;&gt;"")))</f>
        <v>3.0091649999999999</v>
      </c>
      <c r="E45" s="23">
        <v>1.640058</v>
      </c>
      <c r="F45" s="23">
        <v>1.638328</v>
      </c>
      <c r="G45" s="23">
        <v>1.6435979999999999</v>
      </c>
      <c r="H45" s="23">
        <v>1.6066339999999999</v>
      </c>
      <c r="I45" s="23">
        <v>1.6066180000000001</v>
      </c>
      <c r="J45" s="23">
        <v>1.5986750000000001</v>
      </c>
      <c r="K45" s="23">
        <v>1.5685389999999999</v>
      </c>
      <c r="L45" s="23">
        <v>1.5669329999999999</v>
      </c>
      <c r="M45" s="23">
        <v>0.42542999999999997</v>
      </c>
      <c r="N45" s="23">
        <v>2.4351379999999998</v>
      </c>
    </row>
    <row r="46" spans="1:14" s="2" customFormat="1">
      <c r="A46" s="38" t="s">
        <v>13</v>
      </c>
      <c r="B46" s="2" t="s">
        <v>8</v>
      </c>
      <c r="C46" s="95">
        <f>Reactor1!C46</f>
        <v>0.82599999999999996</v>
      </c>
      <c r="D46" s="23" cm="1">
        <f t="array" ref="D46:N46">TRANSPOSE(_xlfn._xlws.FILTER('Raw Data'!BF2:BF505,('Raw Data'!B2:B505=4)*('Raw Data'!BF2:BF505&lt;&gt;"")))</f>
        <v>9.2094529999999999</v>
      </c>
      <c r="E46" s="23">
        <v>0.295238</v>
      </c>
      <c r="F46" s="23">
        <v>0.295072</v>
      </c>
      <c r="G46" s="23">
        <v>0.29545300000000002</v>
      </c>
      <c r="H46" s="23">
        <v>0.29472100000000001</v>
      </c>
      <c r="I46" s="23">
        <v>0.29488399999999998</v>
      </c>
      <c r="J46" s="23">
        <v>0.29281400000000002</v>
      </c>
      <c r="K46" s="23">
        <v>0.28455599999999998</v>
      </c>
      <c r="L46" s="23">
        <v>0.28353400000000001</v>
      </c>
      <c r="M46" s="23">
        <v>0.65411600000000003</v>
      </c>
      <c r="N46" s="23">
        <v>2.7121460000000002</v>
      </c>
    </row>
    <row r="47" spans="1:14" s="2" customFormat="1">
      <c r="A47" s="38" t="s">
        <v>14</v>
      </c>
      <c r="B47" s="2" t="s">
        <v>8</v>
      </c>
      <c r="C47" s="95">
        <f>Reactor1!C47</f>
        <v>0.83299999999999996</v>
      </c>
      <c r="D47" s="23" cm="1">
        <f t="array" ref="D47:N47">TRANSPOSE(_xlfn._xlws.FILTER('Raw Data'!BG2:BG505,('Raw Data'!B2:B505=4)*('Raw Data'!BG2:BG505&lt;&gt;"")))</f>
        <v>12.324524</v>
      </c>
      <c r="E47" s="23">
        <v>12.865582</v>
      </c>
      <c r="F47" s="23">
        <v>12.8826</v>
      </c>
      <c r="G47" s="23">
        <v>12.916053</v>
      </c>
      <c r="H47" s="23">
        <v>12.82362</v>
      </c>
      <c r="I47" s="23">
        <v>12.839869999999999</v>
      </c>
      <c r="J47" s="23">
        <v>12.795241000000001</v>
      </c>
      <c r="K47" s="23">
        <v>12.779975</v>
      </c>
      <c r="L47" s="23">
        <v>12.778584</v>
      </c>
      <c r="M47" s="23">
        <v>3.924579</v>
      </c>
      <c r="N47" s="23">
        <v>15.491783</v>
      </c>
    </row>
    <row r="48" spans="1:14" s="2" customFormat="1">
      <c r="A48" s="38" t="s">
        <v>15</v>
      </c>
      <c r="B48" s="2" t="s">
        <v>8</v>
      </c>
      <c r="C48" s="95">
        <f>Reactor1!C48</f>
        <v>0.83299999999999996</v>
      </c>
      <c r="D48" s="23" cm="1">
        <f t="array" ref="D48:N48">TRANSPOSE(_xlfn._xlws.FILTER('Raw Data'!BH2:BH505,('Raw Data'!B2:B505=4)*('Raw Data'!BH2:BH505&lt;&gt;"")))</f>
        <v>9.9392019999999999</v>
      </c>
      <c r="E48" s="23">
        <v>7.5806899999999997</v>
      </c>
      <c r="F48" s="23">
        <v>7.5898380000000003</v>
      </c>
      <c r="G48" s="23">
        <v>7.6094600000000003</v>
      </c>
      <c r="H48" s="23">
        <v>7.5384169999999999</v>
      </c>
      <c r="I48" s="23">
        <v>7.5467190000000004</v>
      </c>
      <c r="J48" s="23">
        <v>7.522405</v>
      </c>
      <c r="K48" s="23">
        <v>7.4934640000000003</v>
      </c>
      <c r="L48" s="23">
        <v>7.4901749999999998</v>
      </c>
      <c r="M48" s="23">
        <v>1.977589</v>
      </c>
      <c r="N48" s="23">
        <v>9.0045090000000005</v>
      </c>
    </row>
    <row r="49" spans="1:14" s="2" customFormat="1">
      <c r="A49" s="38" t="s">
        <v>16</v>
      </c>
      <c r="B49" s="2" t="s">
        <v>8</v>
      </c>
      <c r="C49" s="95">
        <f>Reactor1!C49</f>
        <v>0.85699999999999998</v>
      </c>
      <c r="D49" s="23" cm="1">
        <f t="array" ref="D49:N49">TRANSPOSE(_xlfn._xlws.FILTER('Raw Data'!BI2:BI505,('Raw Data'!B2:B505=4)*('Raw Data'!BI2:BI505&lt;&gt;"")))</f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</row>
    <row r="50" spans="1:14" s="2" customFormat="1">
      <c r="A50" s="38" t="s">
        <v>17</v>
      </c>
      <c r="B50" s="2" t="s">
        <v>8</v>
      </c>
      <c r="C50" s="95">
        <f>Reactor1!C50</f>
        <v>0.83699999999999997</v>
      </c>
      <c r="D50" s="23" cm="1">
        <f t="array" ref="D50:N50">TRANSPOSE(_xlfn._xlws.FILTER('Raw Data'!BJ2:BJ505,('Raw Data'!B2:B505=4)*('Raw Data'!BJ2:BJ505&lt;&gt;"")))</f>
        <v>14.654422</v>
      </c>
      <c r="E50" s="23">
        <v>17.768829</v>
      </c>
      <c r="F50" s="23">
        <v>17.764187</v>
      </c>
      <c r="G50" s="23">
        <v>17.813807000000001</v>
      </c>
      <c r="H50" s="23">
        <v>17.796773999999999</v>
      </c>
      <c r="I50" s="23">
        <v>17.808292000000002</v>
      </c>
      <c r="J50" s="23">
        <v>17.794916000000001</v>
      </c>
      <c r="K50" s="23">
        <v>17.822127999999999</v>
      </c>
      <c r="L50" s="23">
        <v>17.829058</v>
      </c>
      <c r="M50" s="23">
        <v>18.775389000000001</v>
      </c>
      <c r="N50" s="23">
        <v>22.289415000000002</v>
      </c>
    </row>
    <row r="51" spans="1:14" s="2" customFormat="1">
      <c r="A51" s="38" t="s">
        <v>18</v>
      </c>
      <c r="B51" s="2" t="s">
        <v>8</v>
      </c>
      <c r="C51" s="95">
        <f>Reactor1!C51</f>
        <v>0.83699999999999997</v>
      </c>
      <c r="D51" s="23" cm="1">
        <f t="array" ref="D51:N51">TRANSPOSE(_xlfn._xlws.FILTER('Raw Data'!BK2:BK505,('Raw Data'!B2:B505=4)*('Raw Data'!BK2:BK505&lt;&gt;"")))</f>
        <v>8.0395509999999994</v>
      </c>
      <c r="E51" s="23">
        <v>8.0084529999999994</v>
      </c>
      <c r="F51" s="23">
        <v>8.0108700000000006</v>
      </c>
      <c r="G51" s="23">
        <v>8.0339290000000005</v>
      </c>
      <c r="H51" s="23">
        <v>8.017595</v>
      </c>
      <c r="I51" s="23">
        <v>8.0265199999999997</v>
      </c>
      <c r="J51" s="23">
        <v>8.0081220000000002</v>
      </c>
      <c r="K51" s="23">
        <v>8.0240379999999991</v>
      </c>
      <c r="L51" s="23">
        <v>8.0205350000000006</v>
      </c>
      <c r="M51" s="23">
        <v>6.4575490000000002</v>
      </c>
      <c r="N51" s="23">
        <v>10.277917</v>
      </c>
    </row>
    <row r="52" spans="1:14" s="2" customFormat="1">
      <c r="A52" s="38" t="s">
        <v>19</v>
      </c>
      <c r="B52" s="2" t="s">
        <v>8</v>
      </c>
      <c r="C52" s="95">
        <f>Reactor1!C52</f>
        <v>0.83699999999999997</v>
      </c>
      <c r="D52" s="23" cm="1">
        <f t="array" ref="D52:N52">TRANSPOSE(_xlfn._xlws.FILTER('Raw Data'!BL2:BL505,('Raw Data'!B2:B505=4)*('Raw Data'!BL2:BL505&lt;&gt;"")))</f>
        <v>4.882085</v>
      </c>
      <c r="E52" s="23">
        <v>3.679805</v>
      </c>
      <c r="F52" s="23">
        <v>3.6804960000000002</v>
      </c>
      <c r="G52" s="23">
        <v>3.688618</v>
      </c>
      <c r="H52" s="23">
        <v>3.6866509999999999</v>
      </c>
      <c r="I52" s="23">
        <v>3.6890770000000002</v>
      </c>
      <c r="J52" s="23">
        <v>3.682153</v>
      </c>
      <c r="K52" s="23">
        <v>3.6887799999999999</v>
      </c>
      <c r="L52" s="23">
        <v>3.68912</v>
      </c>
      <c r="M52" s="23">
        <v>3.3007049999999998</v>
      </c>
      <c r="N52" s="23">
        <v>5.0162829999999996</v>
      </c>
    </row>
    <row r="53" spans="1:14" s="2" customFormat="1">
      <c r="A53" s="38" t="s">
        <v>20</v>
      </c>
      <c r="B53" s="2" t="s">
        <v>8</v>
      </c>
      <c r="C53" s="95">
        <f>Reactor1!C53</f>
        <v>0.83699999999999997</v>
      </c>
      <c r="D53" s="23" cm="1">
        <f t="array" ref="D53:N53">TRANSPOSE(_xlfn._xlws.FILTER('Raw Data'!BM2:BM505,('Raw Data'!B2:B505=4)*('Raw Data'!BM2:BM505&lt;&gt;"")))</f>
        <v>2.072654</v>
      </c>
      <c r="E53" s="23">
        <v>0.71900399999999998</v>
      </c>
      <c r="F53" s="23">
        <v>0.71890900000000002</v>
      </c>
      <c r="G53" s="23">
        <v>0.72115700000000005</v>
      </c>
      <c r="H53" s="23">
        <v>0.720611</v>
      </c>
      <c r="I53" s="23">
        <v>0.72147399999999995</v>
      </c>
      <c r="J53" s="23">
        <v>0.71931400000000001</v>
      </c>
      <c r="K53" s="23">
        <v>0.72012799999999999</v>
      </c>
      <c r="L53" s="23">
        <v>0.71996199999999999</v>
      </c>
      <c r="M53" s="23">
        <v>0.56230400000000003</v>
      </c>
      <c r="N53" s="23">
        <v>0</v>
      </c>
    </row>
    <row r="54" spans="1:14" s="2" customFormat="1">
      <c r="A54" s="38" t="s">
        <v>75</v>
      </c>
      <c r="B54" s="2" t="s">
        <v>8</v>
      </c>
      <c r="C54" s="95">
        <f>Reactor1!C54</f>
        <v>0.83699999999999997</v>
      </c>
      <c r="D54" s="23" cm="1">
        <f t="array" ref="D54:N54">TRANSPOSE(_xlfn._xlws.FILTER('Raw Data'!BN2:BN505,('Raw Data'!B2:B505=4)*('Raw Data'!BN2:BN505&lt;&gt;"")))</f>
        <v>0.31417800000000001</v>
      </c>
      <c r="E54" s="23">
        <v>1.6417000000000001E-2</v>
      </c>
      <c r="F54" s="23">
        <v>1.6399E-2</v>
      </c>
      <c r="G54" s="23">
        <v>1.6687E-2</v>
      </c>
      <c r="H54" s="23">
        <v>1.6566999999999998E-2</v>
      </c>
      <c r="I54" s="23">
        <v>1.6805E-2</v>
      </c>
      <c r="J54" s="23">
        <v>1.6726000000000001E-2</v>
      </c>
      <c r="K54" s="23">
        <v>1.6761000000000002E-2</v>
      </c>
      <c r="L54" s="23">
        <v>1.6485E-2</v>
      </c>
      <c r="M54" s="23">
        <v>0</v>
      </c>
      <c r="N54" s="23">
        <v>0</v>
      </c>
    </row>
    <row r="55" spans="1:14" s="2" customFormat="1">
      <c r="A55" s="38" t="s">
        <v>22</v>
      </c>
      <c r="B55" s="2" t="s">
        <v>8</v>
      </c>
      <c r="C55" s="95">
        <f>Reactor1!C55</f>
        <v>0.85699999999999998</v>
      </c>
      <c r="D55" s="23" cm="1">
        <f t="array" ref="D55:N55">TRANSPOSE(_xlfn._xlws.FILTER('Raw Data'!BO2:BO505,('Raw Data'!B2:B505=4)*('Raw Data'!BO2:BO505&lt;&gt;"")))</f>
        <v>0.333287</v>
      </c>
      <c r="E55" s="23">
        <v>0.30510599999999999</v>
      </c>
      <c r="F55" s="23">
        <v>0.304732</v>
      </c>
      <c r="G55" s="23">
        <v>0.30525600000000003</v>
      </c>
      <c r="H55" s="23">
        <v>0.30486799999999997</v>
      </c>
      <c r="I55" s="23">
        <v>0.30641800000000002</v>
      </c>
      <c r="J55" s="23">
        <v>0.30624499999999999</v>
      </c>
      <c r="K55" s="23">
        <v>0.30702099999999999</v>
      </c>
      <c r="L55" s="23">
        <v>0.305954</v>
      </c>
      <c r="M55" s="23">
        <v>0.41731000000000001</v>
      </c>
      <c r="N55" s="23">
        <v>0</v>
      </c>
    </row>
    <row r="56" spans="1:14" s="2" customFormat="1">
      <c r="A56" s="38" t="s">
        <v>23</v>
      </c>
      <c r="B56" s="2" t="s">
        <v>8</v>
      </c>
      <c r="C56" s="95">
        <f>Reactor1!C56</f>
        <v>0.85699999999999998</v>
      </c>
      <c r="D56" s="23" cm="1">
        <f t="array" ref="D56:N56">TRANSPOSE(_xlfn._xlws.FILTER('Raw Data'!BP2:BP506,('Raw Data'!B2:B506=4)*('Raw Data'!BP2:BP506&lt;&gt;"")))</f>
        <v>0.62290900000000005</v>
      </c>
      <c r="E56" s="23">
        <v>0.66779900000000003</v>
      </c>
      <c r="F56" s="23">
        <v>0.66631200000000002</v>
      </c>
      <c r="G56" s="23">
        <v>0.66659599999999997</v>
      </c>
      <c r="H56" s="23">
        <v>0.66697899999999999</v>
      </c>
      <c r="I56" s="23">
        <v>0.66704300000000005</v>
      </c>
      <c r="J56" s="23">
        <v>0.66791199999999995</v>
      </c>
      <c r="K56" s="23">
        <v>0.66898100000000005</v>
      </c>
      <c r="L56" s="23">
        <v>0.66813900000000004</v>
      </c>
      <c r="M56" s="23">
        <v>0.77948799999999996</v>
      </c>
      <c r="N56" s="23">
        <v>0</v>
      </c>
    </row>
    <row r="57" spans="1:14" s="2" customFormat="1">
      <c r="A57" s="38" t="s">
        <v>24</v>
      </c>
      <c r="B57" s="2" t="s">
        <v>8</v>
      </c>
      <c r="C57" s="95">
        <f>Reactor1!C57</f>
        <v>0.92300000000000004</v>
      </c>
      <c r="D57" s="23" cm="1">
        <f t="array" ref="D57:N57">TRANSPOSE(_xlfn._xlws.FILTER('Raw Data'!BQ2:BQ505,('Raw Data'!B2:B505=4)*('Raw Data'!BQ2:BQ505&lt;&gt;"")))</f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</row>
    <row r="58" spans="1:14">
      <c r="A58" s="38" t="s">
        <v>25</v>
      </c>
      <c r="B58" s="2" t="s">
        <v>8</v>
      </c>
      <c r="C58" s="95">
        <f>Reactor1!C58</f>
        <v>0.83899999999999997</v>
      </c>
      <c r="D58" s="23" cm="1">
        <f t="array" ref="D58:N58">TRANSPOSE(_xlfn._xlws.FILTER('Raw Data'!BR2:BR505,('Raw Data'!B2:B505=4)*('Raw Data'!BR2:BR505&lt;&gt;"")))</f>
        <v>8.2447949999999999</v>
      </c>
      <c r="E58" s="23">
        <v>16.065035000000002</v>
      </c>
      <c r="F58" s="23">
        <v>16.052357000000001</v>
      </c>
      <c r="G58" s="23">
        <v>16.016819000000002</v>
      </c>
      <c r="H58" s="23">
        <v>16.073450000000001</v>
      </c>
      <c r="I58" s="23">
        <v>16.062998</v>
      </c>
      <c r="J58" s="23">
        <v>16.123142000000001</v>
      </c>
      <c r="K58" s="23">
        <v>16.124341999999999</v>
      </c>
      <c r="L58" s="23">
        <v>16.117283</v>
      </c>
      <c r="M58" s="23">
        <v>23.501234</v>
      </c>
      <c r="N58" s="23">
        <v>16.67454</v>
      </c>
    </row>
    <row r="59" spans="1:14">
      <c r="A59" s="38" t="s">
        <v>26</v>
      </c>
      <c r="B59" s="2" t="s">
        <v>8</v>
      </c>
      <c r="C59" s="95">
        <f>Reactor1!C59</f>
        <v>0.83899999999999997</v>
      </c>
      <c r="D59" s="23" cm="1">
        <f t="array" ref="D59:N59">TRANSPOSE(_xlfn._xlws.FILTER('Raw Data'!BS2:BS505,('Raw Data'!B2:B505=4)*('Raw Data'!BS2:BS505&lt;&gt;"")))</f>
        <v>12.515216000000001</v>
      </c>
      <c r="E59" s="23">
        <v>13.759206000000001</v>
      </c>
      <c r="F59" s="23">
        <v>13.736083000000001</v>
      </c>
      <c r="G59" s="23">
        <v>13.738859</v>
      </c>
      <c r="H59" s="23">
        <v>13.773118</v>
      </c>
      <c r="I59" s="23">
        <v>13.765981999999999</v>
      </c>
      <c r="J59" s="23">
        <v>13.805918999999999</v>
      </c>
      <c r="K59" s="23">
        <v>13.803901</v>
      </c>
      <c r="L59" s="23">
        <v>13.806010000000001</v>
      </c>
      <c r="M59" s="23">
        <v>20.150319</v>
      </c>
      <c r="N59" s="23">
        <v>12.477366</v>
      </c>
    </row>
    <row r="60" spans="1:14">
      <c r="A60" s="38" t="s">
        <v>27</v>
      </c>
      <c r="B60" s="2" t="s">
        <v>8</v>
      </c>
      <c r="C60" s="95">
        <f>Reactor1!C60</f>
        <v>0.83899999999999997</v>
      </c>
      <c r="D60" s="23" cm="1">
        <f t="array" ref="D60:N60">TRANSPOSE(_xlfn._xlws.FILTER('Raw Data'!BT2:BT505,('Raw Data'!B2:B505=4)*('Raw Data'!BT2:BT505&lt;&gt;"")))</f>
        <v>3.3846910000000001</v>
      </c>
      <c r="E60" s="23">
        <v>0.95037099999999997</v>
      </c>
      <c r="F60" s="23">
        <v>0.99130200000000002</v>
      </c>
      <c r="G60" s="23">
        <v>0.99233800000000005</v>
      </c>
      <c r="H60" s="23">
        <v>0.99667799999999995</v>
      </c>
      <c r="I60" s="23">
        <v>0.99798399999999998</v>
      </c>
      <c r="J60" s="23">
        <v>1.0000469999999999</v>
      </c>
      <c r="K60" s="23">
        <v>1.0000610000000001</v>
      </c>
      <c r="L60" s="23">
        <v>0.99884099999999998</v>
      </c>
      <c r="M60" s="23">
        <v>1.6974579999999999</v>
      </c>
      <c r="N60" s="23">
        <v>0</v>
      </c>
    </row>
    <row r="61" spans="1:14">
      <c r="A61" s="38" t="s">
        <v>28</v>
      </c>
      <c r="B61" s="2" t="s">
        <v>8</v>
      </c>
      <c r="C61" s="95">
        <f>Reactor1!C61</f>
        <v>0.85619999999999996</v>
      </c>
      <c r="D61" s="23" cm="1">
        <f t="array" ref="D61:N61">TRANSPOSE(_xlfn._xlws.FILTER('Raw Data'!BU2:BU505,('Raw Data'!B2:B505=4)*('Raw Data'!BU2:BU505&lt;&gt;"")))</f>
        <v>1.0394859999999999</v>
      </c>
      <c r="E61" s="23">
        <v>0.96579700000000002</v>
      </c>
      <c r="F61" s="23">
        <v>0.96160500000000004</v>
      </c>
      <c r="G61" s="23">
        <v>0.95836900000000003</v>
      </c>
      <c r="H61" s="23">
        <v>0.96431699999999998</v>
      </c>
      <c r="I61" s="23">
        <v>0.96756399999999998</v>
      </c>
      <c r="J61" s="23">
        <v>0.96342899999999998</v>
      </c>
      <c r="K61" s="23">
        <v>0.96723199999999998</v>
      </c>
      <c r="L61" s="23">
        <v>0.96423899999999996</v>
      </c>
      <c r="M61" s="23">
        <v>0.51993199999999995</v>
      </c>
      <c r="N61" s="23">
        <v>0</v>
      </c>
    </row>
    <row r="62" spans="1:14">
      <c r="A62" s="38" t="s">
        <v>29</v>
      </c>
      <c r="B62" s="2" t="s">
        <v>8</v>
      </c>
      <c r="C62" s="95">
        <f>Reactor1!C62</f>
        <v>0.91300000000000003</v>
      </c>
      <c r="D62" s="23" cm="1">
        <f t="array" ref="D62:N62">TRANSPOSE(_xlfn._xlws.FILTER('Raw Data'!BV2:BV505,('Raw Data'!B2:B505=4)*('Raw Data'!BV2:BV505&lt;&gt;"")))</f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</row>
    <row r="63" spans="1:14">
      <c r="A63" s="38" t="s">
        <v>30</v>
      </c>
      <c r="B63" s="2" t="s">
        <v>8</v>
      </c>
      <c r="C63" s="95">
        <f>Reactor1!C63</f>
        <v>0.84099999999999997</v>
      </c>
      <c r="D63" s="23" cm="1">
        <f t="array" ref="D63:N63">TRANSPOSE(_xlfn._xlws.FILTER('Raw Data'!BW2:BW505,('Raw Data'!B2:B505=4)*('Raw Data'!BW2:BW505&lt;&gt;"")))</f>
        <v>3.48935</v>
      </c>
      <c r="E63" s="23">
        <v>13.393986</v>
      </c>
      <c r="F63" s="23">
        <v>13.46955</v>
      </c>
      <c r="G63" s="23">
        <v>13.324203000000001</v>
      </c>
      <c r="H63" s="23">
        <v>13.45172</v>
      </c>
      <c r="I63" s="23">
        <v>13.429537</v>
      </c>
      <c r="J63" s="23">
        <v>13.445397</v>
      </c>
      <c r="K63" s="23">
        <v>13.473094</v>
      </c>
      <c r="L63" s="23">
        <v>13.485751</v>
      </c>
      <c r="M63" s="23">
        <v>16.549847</v>
      </c>
      <c r="N63" s="23">
        <v>3.6209009999999999</v>
      </c>
    </row>
    <row r="64" spans="1:14">
      <c r="A64" s="22" t="s">
        <v>636</v>
      </c>
      <c r="B64" s="2" t="s">
        <v>8</v>
      </c>
      <c r="C64" s="95">
        <f>Reactor1!C64</f>
        <v>0.85629999999999995</v>
      </c>
      <c r="D64" s="23" cm="1">
        <f t="array" ref="D64:N64">TRANSPOSE(_xlfn._xlws.FILTER('Raw Data'!BX2:BX505,('Raw Data'!B2:B505=4)*('Raw Data'!BX2:BX505&lt;&gt;"")))</f>
        <v>0.69187600000000005</v>
      </c>
      <c r="E64" s="23">
        <v>0.478043</v>
      </c>
      <c r="F64" s="23">
        <v>0.39155400000000001</v>
      </c>
      <c r="G64" s="23">
        <v>0.39054699999999998</v>
      </c>
      <c r="H64" s="23">
        <v>0.39657700000000001</v>
      </c>
      <c r="I64" s="23">
        <v>0.395536</v>
      </c>
      <c r="J64" s="23">
        <v>0.39761800000000003</v>
      </c>
      <c r="K64" s="23">
        <v>0.39686199999999999</v>
      </c>
      <c r="L64" s="23">
        <v>0.396729</v>
      </c>
      <c r="M64" s="23">
        <v>0</v>
      </c>
      <c r="N64" s="23">
        <v>0</v>
      </c>
    </row>
    <row r="65" spans="1:14">
      <c r="A65" s="22" t="s">
        <v>637</v>
      </c>
      <c r="B65" s="2" t="s">
        <v>8</v>
      </c>
      <c r="C65" s="95">
        <f>Reactor1!C65</f>
        <v>0.90600000000000003</v>
      </c>
      <c r="D65" s="23" cm="1">
        <f t="array" ref="D65:N65">TRANSPOSE(_xlfn._xlws.FILTER('Raw Data'!BY2:BY505,('Raw Data'!B2:B505=4)*('Raw Data'!BY2:BY505&lt;&gt;"")))</f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</row>
    <row r="66" spans="1:14">
      <c r="A66" s="22" t="s">
        <v>638</v>
      </c>
      <c r="B66" s="2" t="s">
        <v>8</v>
      </c>
      <c r="C66" s="95">
        <f>Reactor1!C66</f>
        <v>0.84299999999999997</v>
      </c>
      <c r="D66" s="23" cm="1">
        <f t="array" ref="D66:N66">TRANSPOSE(_xlfn._xlws.FILTER('Raw Data'!BZ2:BZ505,('Raw Data'!B2:B505=4)*('Raw Data'!BZ2:BZ505&lt;&gt;"")))</f>
        <v>0.116462</v>
      </c>
      <c r="E66" s="23">
        <v>0.17333200000000001</v>
      </c>
      <c r="F66" s="23">
        <v>0.172875</v>
      </c>
      <c r="G66" s="23">
        <v>0.172156</v>
      </c>
      <c r="H66" s="23">
        <v>0.17408799999999999</v>
      </c>
      <c r="I66" s="23">
        <v>0.17282600000000001</v>
      </c>
      <c r="J66" s="23">
        <v>0.17419200000000001</v>
      </c>
      <c r="K66" s="23">
        <v>0.17379600000000001</v>
      </c>
      <c r="L66" s="23">
        <v>0.174209</v>
      </c>
      <c r="M66" s="23">
        <v>0</v>
      </c>
      <c r="N66" s="23">
        <v>0</v>
      </c>
    </row>
    <row r="67" spans="1:14">
      <c r="A67" s="22" t="s">
        <v>639</v>
      </c>
      <c r="B67" s="2" t="s">
        <v>8</v>
      </c>
      <c r="C67" s="95">
        <f>Reactor1!C67</f>
        <v>0.85699999999999998</v>
      </c>
      <c r="D67" s="23" cm="1">
        <f t="array" ref="D67:N67">TRANSPOSE(_xlfn._xlws.FILTER('Raw Data'!CA2:CA505,('Raw Data'!B2:B505=4)*('Raw Data'!CA2:CA505&lt;&gt;"")))</f>
        <v>3.4810000000000002E-3</v>
      </c>
      <c r="E67" s="23">
        <v>1.6433E-2</v>
      </c>
      <c r="F67" s="23">
        <v>1.6649000000000001E-2</v>
      </c>
      <c r="G67" s="23">
        <v>1.6299999999999999E-2</v>
      </c>
      <c r="H67" s="23">
        <v>1.6695000000000002E-2</v>
      </c>
      <c r="I67" s="23">
        <v>1.6847999999999998E-2</v>
      </c>
      <c r="J67" s="23">
        <v>1.6695999999999999E-2</v>
      </c>
      <c r="K67" s="23">
        <v>1.7042000000000002E-2</v>
      </c>
      <c r="L67" s="23">
        <v>1.651E-2</v>
      </c>
      <c r="M67" s="23">
        <v>0</v>
      </c>
      <c r="N67" s="23">
        <v>0</v>
      </c>
    </row>
    <row r="68" spans="1:14">
      <c r="A68" s="22" t="s">
        <v>640</v>
      </c>
      <c r="B68" s="2" t="s">
        <v>8</v>
      </c>
      <c r="C68" s="95">
        <f>Reactor1!C68</f>
        <v>0.9</v>
      </c>
      <c r="D68" s="23" cm="1">
        <f t="array" ref="D68:N68">TRANSPOSE(_xlfn._xlws.FILTER('Raw Data'!CB2:CB505,('Raw Data'!B2:B505=4)*('Raw Data'!CB2:CB505&lt;&gt;"")))</f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</row>
    <row r="69" spans="1:14">
      <c r="A69" s="22" t="s">
        <v>641</v>
      </c>
      <c r="B69" s="2" t="s">
        <v>8</v>
      </c>
      <c r="C69" s="95">
        <f>Reactor1!C69</f>
        <v>0.84399999999999997</v>
      </c>
      <c r="D69" s="23" cm="1">
        <f t="array" ref="D69:N69">TRANSPOSE(_xlfn._xlws.FILTER('Raw Data'!CC2:CC505,('Raw Data'!B2:B505=4)*('Raw Data'!CC2:CC505&lt;&gt;"")))</f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</row>
    <row r="70" spans="1:14">
      <c r="A70" s="22" t="s">
        <v>642</v>
      </c>
      <c r="B70" s="2" t="s">
        <v>8</v>
      </c>
      <c r="C70" s="95">
        <f>Reactor1!C70</f>
        <v>0.85709999999999997</v>
      </c>
      <c r="D70" s="23" cm="1">
        <f t="array" ref="D70:N70">TRANSPOSE(_xlfn._xlws.FILTER('Raw Data'!CD2:CD505,('Raw Data'!B2:B505=4)*('Raw Data'!CD2:CD505&lt;&gt;"")))</f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</row>
    <row r="71" spans="1:14">
      <c r="A71" s="22" t="s">
        <v>643</v>
      </c>
      <c r="B71" s="2" t="s">
        <v>8</v>
      </c>
      <c r="C71" s="95">
        <f>Reactor1!C71</f>
        <v>0.89600000000000002</v>
      </c>
      <c r="D71" s="23" cm="1">
        <f t="array" ref="D71:N71">TRANSPOSE(_xlfn._xlws.FILTER('Raw Data'!CE2:CE505,('Raw Data'!B2:B505=4)*('Raw Data'!CE2:CE505&lt;&gt;"")))</f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</row>
    <row r="72" spans="1:14">
      <c r="A72" s="22" t="s">
        <v>76</v>
      </c>
      <c r="B72" s="2" t="s">
        <v>8</v>
      </c>
      <c r="C72" s="95">
        <f>Reactor1!C72</f>
        <v>0.79</v>
      </c>
      <c r="D72" s="23" cm="1">
        <f t="array" ref="D72:N72">TRANSPOSE(_xlfn._xlws.FILTER('Raw Data'!CF2:CF505,('Raw Data'!B2:B505=4)*('Raw Data'!CF2:CF505&lt;&gt;"")))</f>
        <v>2.3191E-2</v>
      </c>
      <c r="E72" s="23">
        <v>0</v>
      </c>
      <c r="F72" s="23">
        <v>0</v>
      </c>
      <c r="G72" s="23">
        <v>2.3667000000000001E-2</v>
      </c>
      <c r="H72" s="23">
        <v>1.2992999999999999E-2</v>
      </c>
      <c r="I72" s="23">
        <v>0</v>
      </c>
      <c r="J72" s="23">
        <v>0</v>
      </c>
      <c r="K72" s="23">
        <v>0</v>
      </c>
      <c r="L72" s="23">
        <v>7.6429999999999996E-3</v>
      </c>
      <c r="M72" s="23">
        <v>0</v>
      </c>
      <c r="N72" s="23">
        <v>0</v>
      </c>
    </row>
    <row r="73" spans="1:14">
      <c r="A73" s="22" t="s">
        <v>77</v>
      </c>
      <c r="B73" s="2" t="s">
        <v>8</v>
      </c>
      <c r="C73" s="95">
        <f>Reactor1!C73</f>
        <v>0.83</v>
      </c>
      <c r="D73" s="23" cm="1">
        <f t="array" ref="D73:N73">TRANSPOSE(_xlfn._xlws.FILTER('Raw Data'!CG2:CG505,('Raw Data'!B2:B505=4)*('Raw Data'!CG2:CG505&lt;&gt;"")))</f>
        <v>0</v>
      </c>
      <c r="E73" s="23">
        <v>2.3653E-2</v>
      </c>
      <c r="F73" s="23">
        <v>2.2131999999999999E-2</v>
      </c>
      <c r="G73" s="23">
        <v>4.9021000000000002E-2</v>
      </c>
      <c r="H73" s="23">
        <v>2.1333999999999999E-2</v>
      </c>
      <c r="I73" s="23">
        <v>2.1070999999999999E-2</v>
      </c>
      <c r="J73" s="23">
        <v>2.1663999999999999E-2</v>
      </c>
      <c r="K73" s="23">
        <v>1.9175999999999999E-2</v>
      </c>
      <c r="L73" s="23">
        <v>2.0336E-2</v>
      </c>
      <c r="M73" s="23">
        <v>0</v>
      </c>
      <c r="N73" s="23">
        <v>0</v>
      </c>
    </row>
    <row r="74" spans="1:14">
      <c r="A74" s="22" t="s">
        <v>78</v>
      </c>
      <c r="B74" s="2" t="s">
        <v>8</v>
      </c>
      <c r="C74" s="95">
        <f>Reactor1!C74</f>
        <v>0.83499999999999996</v>
      </c>
      <c r="D74" s="23" cm="1">
        <f t="array" ref="D74:N74">TRANSPOSE(_xlfn._xlws.FILTER('Raw Data'!CH2:CH505,('Raw Data'!B2:B505=4)*('Raw Data'!CH2:CH505&lt;&gt;"")))</f>
        <v>0</v>
      </c>
      <c r="E74" s="23">
        <v>4.3804999999999997E-2</v>
      </c>
      <c r="F74" s="23">
        <v>5.0708000000000003E-2</v>
      </c>
      <c r="G74" s="23">
        <v>0</v>
      </c>
      <c r="H74" s="23">
        <v>4.3454E-2</v>
      </c>
      <c r="I74" s="23">
        <v>4.3888999999999997E-2</v>
      </c>
      <c r="J74" s="23">
        <v>4.3117000000000003E-2</v>
      </c>
      <c r="K74" s="23">
        <v>4.3623000000000002E-2</v>
      </c>
      <c r="L74" s="23">
        <v>5.1253E-2</v>
      </c>
      <c r="M74" s="23">
        <v>0</v>
      </c>
      <c r="N74" s="23">
        <v>0</v>
      </c>
    </row>
    <row r="75" spans="1:14">
      <c r="A75" s="22" t="s">
        <v>79</v>
      </c>
      <c r="B75" s="2" t="s">
        <v>8</v>
      </c>
      <c r="C75" s="95">
        <f>Reactor1!C75</f>
        <v>0.83860000000000001</v>
      </c>
      <c r="D75" s="23" cm="1">
        <f t="array" ref="D75:N75">TRANSPOSE(_xlfn._xlws.FILTER('Raw Data'!CI2:CI505,('Raw Data'!B2:B505=4)*('Raw Data'!CI2:CI505&lt;&gt;"")))</f>
        <v>1.1784410000000001</v>
      </c>
      <c r="E75" s="23">
        <v>0.15565799999999999</v>
      </c>
      <c r="F75" s="23">
        <v>0.153835</v>
      </c>
      <c r="G75" s="23">
        <v>0.15434400000000001</v>
      </c>
      <c r="H75" s="23">
        <v>0.16128300000000001</v>
      </c>
      <c r="I75" s="23">
        <v>0.15606500000000001</v>
      </c>
      <c r="J75" s="23">
        <v>0.15699199999999999</v>
      </c>
      <c r="K75" s="23">
        <v>0.15632299999999999</v>
      </c>
      <c r="L75" s="23">
        <v>0.15668399999999999</v>
      </c>
      <c r="M75" s="23">
        <v>0</v>
      </c>
      <c r="N75" s="23">
        <v>0</v>
      </c>
    </row>
    <row r="76" spans="1:14">
      <c r="A76" s="22" t="s">
        <v>80</v>
      </c>
      <c r="B76" s="2" t="s">
        <v>8</v>
      </c>
      <c r="C76" s="95">
        <f>Reactor1!C76</f>
        <v>0.84060000000000001</v>
      </c>
      <c r="D76" s="23" cm="1">
        <f t="array" ref="D76:N76">TRANSPOSE(_xlfn._xlws.FILTER('Raw Data'!CJ2:CJ505,('Raw Data'!B2:B505=4)*('Raw Data'!CJ2:CJ505&lt;&gt;"")))</f>
        <v>9.5112000000000002E-2</v>
      </c>
      <c r="E76" s="23">
        <v>0.20954</v>
      </c>
      <c r="F76" s="23">
        <v>0.16694100000000001</v>
      </c>
      <c r="G76" s="23">
        <v>0.20546400000000001</v>
      </c>
      <c r="H76" s="23">
        <v>0.204927</v>
      </c>
      <c r="I76" s="23">
        <v>0.20180400000000001</v>
      </c>
      <c r="J76" s="23">
        <v>0.202931</v>
      </c>
      <c r="K76" s="23">
        <v>0.20691100000000001</v>
      </c>
      <c r="L76" s="23">
        <v>0.205345</v>
      </c>
      <c r="M76" s="23">
        <v>0</v>
      </c>
      <c r="N76" s="23">
        <v>0</v>
      </c>
    </row>
    <row r="77" spans="1:14">
      <c r="A77" s="22" t="s">
        <v>644</v>
      </c>
      <c r="B77" s="2" t="s">
        <v>8</v>
      </c>
      <c r="C77" s="95">
        <f>Reactor1!C77</f>
        <v>0.84799999999999998</v>
      </c>
      <c r="D77" s="23" cm="1">
        <f t="array" ref="D77:N77">TRANSPOSE(_xlfn._xlws.FILTER('Raw Data'!CK2:CK505,('Raw Data'!B2:B505=4)*('Raw Data'!CK2:CK505&lt;&gt;"")))</f>
        <v>0.134432</v>
      </c>
      <c r="E77" s="23">
        <v>0.194382</v>
      </c>
      <c r="F77" s="23">
        <v>0.20091400000000001</v>
      </c>
      <c r="G77" s="23">
        <v>0.20118</v>
      </c>
      <c r="H77" s="23">
        <v>0.20349800000000001</v>
      </c>
      <c r="I77" s="23">
        <v>0.199238</v>
      </c>
      <c r="J77" s="23">
        <v>0.199825</v>
      </c>
      <c r="K77" s="23">
        <v>0.20186000000000001</v>
      </c>
      <c r="L77" s="23">
        <v>0.19737299999999999</v>
      </c>
      <c r="M77" s="23">
        <v>0</v>
      </c>
      <c r="N77" s="23">
        <v>0</v>
      </c>
    </row>
    <row r="78" spans="1:14">
      <c r="A78" s="22" t="s">
        <v>81</v>
      </c>
      <c r="B78" s="2" t="s">
        <v>8</v>
      </c>
      <c r="D78" s="23">
        <f t="shared" ref="D78:N78" si="51">SUM(D42:D77)</f>
        <v>99.974277999999998</v>
      </c>
      <c r="E78" s="23">
        <f t="shared" si="51"/>
        <v>100.02024300000002</v>
      </c>
      <c r="F78" s="23">
        <f t="shared" si="51"/>
        <v>99.999205000000003</v>
      </c>
      <c r="G78" s="23">
        <f t="shared" si="51"/>
        <v>99.998205999999996</v>
      </c>
      <c r="H78" s="23">
        <f t="shared" si="51"/>
        <v>100.01298299999995</v>
      </c>
      <c r="I78" s="23">
        <f t="shared" si="51"/>
        <v>100.00001799999998</v>
      </c>
      <c r="J78" s="23">
        <f t="shared" si="51"/>
        <v>100.000015</v>
      </c>
      <c r="K78" s="23">
        <f t="shared" si="51"/>
        <v>99.999967999999996</v>
      </c>
      <c r="L78" s="23">
        <f t="shared" si="51"/>
        <v>100.007633</v>
      </c>
      <c r="M78" s="23">
        <f t="shared" si="51"/>
        <v>100.00000499999999</v>
      </c>
      <c r="N78" s="23">
        <f t="shared" si="51"/>
        <v>99.999998000000019</v>
      </c>
    </row>
    <row r="79" spans="1:14" s="86" customFormat="1">
      <c r="A79" s="87"/>
      <c r="B79" s="87"/>
      <c r="C79" s="87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</row>
    <row r="80" spans="1:14">
      <c r="A80" s="38" t="s">
        <v>9</v>
      </c>
      <c r="B80" s="2" t="s">
        <v>74</v>
      </c>
      <c r="D80" s="23">
        <f t="shared" ref="D80:I80" si="52">(D36*D42)/(D37)</f>
        <v>0</v>
      </c>
      <c r="E80" s="23">
        <f t="shared" si="52"/>
        <v>0</v>
      </c>
      <c r="F80" s="23">
        <f t="shared" si="52"/>
        <v>0</v>
      </c>
      <c r="G80" s="23">
        <f t="shared" si="52"/>
        <v>0</v>
      </c>
      <c r="H80" s="23">
        <f t="shared" si="52"/>
        <v>0</v>
      </c>
      <c r="I80" s="23">
        <f t="shared" si="52"/>
        <v>0</v>
      </c>
      <c r="J80" s="23">
        <f t="shared" ref="J80:K80" si="53">(J36*J42)/(J37)</f>
        <v>0</v>
      </c>
      <c r="K80" s="23">
        <f t="shared" si="53"/>
        <v>0</v>
      </c>
      <c r="L80" s="23">
        <f t="shared" ref="L80" si="54">(L36*L42)/(L37)</f>
        <v>0</v>
      </c>
      <c r="M80" s="23"/>
      <c r="N80" s="23"/>
    </row>
    <row r="81" spans="1:14">
      <c r="A81" s="38" t="s">
        <v>10</v>
      </c>
      <c r="B81" s="2" t="s">
        <v>74</v>
      </c>
      <c r="D81" s="23">
        <f t="shared" ref="D81:I81" si="55">(D36*D43)/(D37)</f>
        <v>0</v>
      </c>
      <c r="E81" s="23">
        <f t="shared" si="55"/>
        <v>0</v>
      </c>
      <c r="F81" s="23">
        <f t="shared" si="55"/>
        <v>0</v>
      </c>
      <c r="G81" s="23">
        <f t="shared" si="55"/>
        <v>0</v>
      </c>
      <c r="H81" s="23">
        <f t="shared" si="55"/>
        <v>0</v>
      </c>
      <c r="I81" s="23">
        <f t="shared" si="55"/>
        <v>0</v>
      </c>
      <c r="J81" s="23">
        <f t="shared" ref="J81:K81" si="56">(J36*J43)/(J37)</f>
        <v>0</v>
      </c>
      <c r="K81" s="23">
        <f t="shared" si="56"/>
        <v>0</v>
      </c>
      <c r="L81" s="23">
        <f t="shared" ref="L81" si="57">(L36*L43)/(L37)</f>
        <v>0</v>
      </c>
      <c r="M81" s="23"/>
      <c r="N81" s="23"/>
    </row>
    <row r="82" spans="1:14">
      <c r="A82" s="38" t="s">
        <v>11</v>
      </c>
      <c r="B82" s="2" t="s">
        <v>74</v>
      </c>
      <c r="D82" s="23">
        <f t="shared" ref="D82:I82" si="58">(D36*D44)/(D37)</f>
        <v>3.6712051074497491</v>
      </c>
      <c r="E82" s="23">
        <f t="shared" si="58"/>
        <v>4.4052736730112362E-2</v>
      </c>
      <c r="F82" s="23">
        <f t="shared" si="58"/>
        <v>4.4999762799686455E-2</v>
      </c>
      <c r="G82" s="23">
        <f t="shared" si="58"/>
        <v>4.4368685227703694E-2</v>
      </c>
      <c r="H82" s="23">
        <f t="shared" si="58"/>
        <v>4.5450614008757884E-2</v>
      </c>
      <c r="I82" s="23">
        <f t="shared" si="58"/>
        <v>4.4997857080185423E-2</v>
      </c>
      <c r="J82" s="23">
        <f t="shared" ref="J82:K82" si="59">(J36*J44)/(J37)</f>
        <v>4.4564108612733674E-2</v>
      </c>
      <c r="K82" s="23">
        <f t="shared" si="59"/>
        <v>4.141176410864264E-2</v>
      </c>
      <c r="L82" s="23">
        <f t="shared" ref="L82" si="60">(L36*L44)/(L37)</f>
        <v>4.0982456013140003E-2</v>
      </c>
      <c r="M82" s="23"/>
      <c r="N82" s="23"/>
    </row>
    <row r="83" spans="1:14">
      <c r="A83" s="38" t="s">
        <v>12</v>
      </c>
      <c r="B83" s="2" t="s">
        <v>74</v>
      </c>
      <c r="D83" s="23">
        <f t="shared" ref="D83:I83" si="61">(D36*D45)/(D37)</f>
        <v>3.0214196307372374</v>
      </c>
      <c r="E83" s="23">
        <f t="shared" si="61"/>
        <v>1.6412403919973335</v>
      </c>
      <c r="F83" s="23">
        <f t="shared" si="61"/>
        <v>1.6398863667078478</v>
      </c>
      <c r="G83" s="23">
        <f t="shared" si="61"/>
        <v>1.6452178748535438</v>
      </c>
      <c r="H83" s="23">
        <f t="shared" si="61"/>
        <v>1.6079293122681708</v>
      </c>
      <c r="I83" s="23">
        <f t="shared" si="61"/>
        <v>1.6081138701497761</v>
      </c>
      <c r="J83" s="23">
        <f t="shared" ref="J83:K83" si="62">(J36*J45)/(J37)</f>
        <v>1.6001510755443702</v>
      </c>
      <c r="K83" s="23">
        <f t="shared" si="62"/>
        <v>1.5699706835985454</v>
      </c>
      <c r="L83" s="23">
        <f t="shared" ref="L83" si="63">(L36*L45)/(L37)</f>
        <v>1.5682515079622326</v>
      </c>
      <c r="M83" s="23"/>
      <c r="N83" s="23"/>
    </row>
    <row r="84" spans="1:14">
      <c r="A84" s="38" t="s">
        <v>13</v>
      </c>
      <c r="B84" s="2" t="s">
        <v>74</v>
      </c>
      <c r="D84" s="23">
        <f t="shared" ref="D84:I84" si="64">(D36*D46)/(D37)</f>
        <v>9.246957904452545</v>
      </c>
      <c r="E84" s="23">
        <f t="shared" si="64"/>
        <v>0.29545085042877067</v>
      </c>
      <c r="F84" s="23">
        <f t="shared" si="64"/>
        <v>0.29535267052581543</v>
      </c>
      <c r="G84" s="23">
        <f t="shared" si="64"/>
        <v>0.29574418852974033</v>
      </c>
      <c r="H84" s="23">
        <f t="shared" si="64"/>
        <v>0.29495861213007296</v>
      </c>
      <c r="I84" s="23">
        <f t="shared" si="64"/>
        <v>0.29515855697200366</v>
      </c>
      <c r="J84" s="23">
        <f t="shared" ref="J84:K84" si="65">(J36*J46)/(J37)</f>
        <v>0.29308435863102211</v>
      </c>
      <c r="K84" s="23">
        <f t="shared" si="65"/>
        <v>0.28481572842120456</v>
      </c>
      <c r="L84" s="23">
        <f t="shared" ref="L84" si="66">(L36*L46)/(L37)</f>
        <v>0.28377258188994919</v>
      </c>
      <c r="M84" s="23"/>
      <c r="N84" s="23"/>
    </row>
    <row r="85" spans="1:14">
      <c r="A85" s="38" t="s">
        <v>14</v>
      </c>
      <c r="B85" s="2" t="s">
        <v>74</v>
      </c>
      <c r="D85" s="23">
        <f t="shared" ref="D85:I85" si="67">(D36*D47)/(D37)</f>
        <v>12.374714830556725</v>
      </c>
      <c r="E85" s="23">
        <f t="shared" si="67"/>
        <v>12.87485738001573</v>
      </c>
      <c r="F85" s="23">
        <f t="shared" si="67"/>
        <v>12.894853843522494</v>
      </c>
      <c r="G85" s="23">
        <f t="shared" si="67"/>
        <v>12.92878262699014</v>
      </c>
      <c r="H85" s="23">
        <f t="shared" si="67"/>
        <v>12.833958753137528</v>
      </c>
      <c r="I85" s="23">
        <f t="shared" si="67"/>
        <v>12.851824788418906</v>
      </c>
      <c r="J85" s="23">
        <f t="shared" ref="J85:K85" si="68">(J36*J47)/(J37)</f>
        <v>12.807054997419378</v>
      </c>
      <c r="K85" s="23">
        <f t="shared" si="68"/>
        <v>12.791639919136422</v>
      </c>
      <c r="L85" s="23">
        <f t="shared" ref="L85" si="69">(L36*L47)/(L37)</f>
        <v>12.789336638913127</v>
      </c>
      <c r="M85" s="23"/>
      <c r="N85" s="23"/>
    </row>
    <row r="86" spans="1:14">
      <c r="A86" s="38" t="s">
        <v>15</v>
      </c>
      <c r="B86" s="2" t="s">
        <v>74</v>
      </c>
      <c r="D86" s="23">
        <f t="shared" ref="D86:I86" si="70">(D36*D48)/(D37)</f>
        <v>9.9796787602749646</v>
      </c>
      <c r="E86" s="23">
        <f t="shared" si="70"/>
        <v>7.5861552623201529</v>
      </c>
      <c r="F86" s="23">
        <f t="shared" si="70"/>
        <v>7.5970574034754694</v>
      </c>
      <c r="G86" s="23">
        <f t="shared" si="70"/>
        <v>7.6169596275871889</v>
      </c>
      <c r="H86" s="23">
        <f t="shared" si="70"/>
        <v>7.5444946779420121</v>
      </c>
      <c r="I86" s="23">
        <f t="shared" si="70"/>
        <v>7.5537455064133781</v>
      </c>
      <c r="J86" s="23">
        <f t="shared" ref="J86:K86" si="71">(J36*J48)/(J37)</f>
        <v>7.5293505255479376</v>
      </c>
      <c r="K86" s="23">
        <f t="shared" si="71"/>
        <v>7.500303657480683</v>
      </c>
      <c r="L86" s="23">
        <f t="shared" ref="L86" si="72">(L36*L48)/(L37)</f>
        <v>7.4964776660208292</v>
      </c>
      <c r="M86" s="23"/>
      <c r="N86" s="23"/>
    </row>
    <row r="87" spans="1:14">
      <c r="A87" s="38" t="s">
        <v>16</v>
      </c>
      <c r="B87" s="2" t="s">
        <v>74</v>
      </c>
      <c r="D87" s="23">
        <f t="shared" ref="D87:I87" si="73">(D36*D49)/(D37)</f>
        <v>0</v>
      </c>
      <c r="E87" s="23">
        <f t="shared" si="73"/>
        <v>0</v>
      </c>
      <c r="F87" s="23">
        <f t="shared" si="73"/>
        <v>0</v>
      </c>
      <c r="G87" s="23">
        <f t="shared" si="73"/>
        <v>0</v>
      </c>
      <c r="H87" s="23">
        <f t="shared" si="73"/>
        <v>0</v>
      </c>
      <c r="I87" s="23">
        <f t="shared" si="73"/>
        <v>0</v>
      </c>
      <c r="J87" s="23">
        <f t="shared" ref="J87:K87" si="74">(J36*J49)/(J37)</f>
        <v>0</v>
      </c>
      <c r="K87" s="23">
        <f t="shared" si="74"/>
        <v>0</v>
      </c>
      <c r="L87" s="23">
        <f t="shared" ref="L87" si="75">(L36*L49)/(L37)</f>
        <v>0</v>
      </c>
      <c r="M87" s="23"/>
      <c r="N87" s="23"/>
    </row>
    <row r="88" spans="1:14">
      <c r="A88" s="38" t="s">
        <v>17</v>
      </c>
      <c r="B88" s="2" t="s">
        <v>74</v>
      </c>
      <c r="D88" s="23">
        <f t="shared" ref="D88:I88" si="76">(D36*D50)/(D37)</f>
        <v>14.714101190166593</v>
      </c>
      <c r="E88" s="23">
        <f t="shared" si="76"/>
        <v>17.781639352567765</v>
      </c>
      <c r="F88" s="23">
        <f t="shared" si="76"/>
        <v>17.781084176641539</v>
      </c>
      <c r="G88" s="23">
        <f t="shared" si="76"/>
        <v>17.831363688439136</v>
      </c>
      <c r="H88" s="23">
        <f t="shared" si="76"/>
        <v>17.811122245895493</v>
      </c>
      <c r="I88" s="23">
        <f t="shared" si="76"/>
        <v>17.824872725736483</v>
      </c>
      <c r="J88" s="23">
        <f t="shared" ref="J88:K88" si="77">(J36*J50)/(J37)</f>
        <v>17.81134625650725</v>
      </c>
      <c r="K88" s="23">
        <f t="shared" si="77"/>
        <v>17.838395143085876</v>
      </c>
      <c r="L88" s="23">
        <f t="shared" ref="L88" si="78">(L36*L50)/(L37)</f>
        <v>17.844060399548745</v>
      </c>
      <c r="M88" s="23"/>
      <c r="N88" s="23"/>
    </row>
    <row r="89" spans="1:14">
      <c r="A89" s="38" t="s">
        <v>18</v>
      </c>
      <c r="B89" s="2" t="s">
        <v>74</v>
      </c>
      <c r="D89" s="23">
        <f t="shared" ref="D89:I89" si="79">(D36*D51)/(D37)</f>
        <v>8.0722915538739777</v>
      </c>
      <c r="E89" s="23">
        <f t="shared" si="79"/>
        <v>8.0142266560159587</v>
      </c>
      <c r="F89" s="23">
        <f t="shared" si="79"/>
        <v>8.0184898863163525</v>
      </c>
      <c r="G89" s="23">
        <f t="shared" si="79"/>
        <v>8.0418469699429274</v>
      </c>
      <c r="H89" s="23">
        <f t="shared" si="79"/>
        <v>8.0240590043499171</v>
      </c>
      <c r="I89" s="23">
        <f t="shared" si="79"/>
        <v>8.0339932336339928</v>
      </c>
      <c r="J89" s="23">
        <f t="shared" ref="J89:K89" si="80">(J36*J51)/(J37)</f>
        <v>8.0155159938014506</v>
      </c>
      <c r="K89" s="23">
        <f t="shared" si="80"/>
        <v>8.0313619387727719</v>
      </c>
      <c r="L89" s="23">
        <f t="shared" ref="L89" si="81">(L36*L51)/(L37)</f>
        <v>8.0272839415685713</v>
      </c>
      <c r="M89" s="23"/>
      <c r="N89" s="23"/>
    </row>
    <row r="90" spans="1:14">
      <c r="A90" s="38" t="s">
        <v>19</v>
      </c>
      <c r="B90" s="2" t="s">
        <v>74</v>
      </c>
      <c r="D90" s="23">
        <f t="shared" ref="D90:I90" si="82">(D36*D52)/(D37)</f>
        <v>4.9019669768616234</v>
      </c>
      <c r="E90" s="23">
        <f t="shared" si="82"/>
        <v>3.6824579378739948</v>
      </c>
      <c r="F90" s="23">
        <f t="shared" si="82"/>
        <v>3.6839968633404103</v>
      </c>
      <c r="G90" s="23">
        <f t="shared" si="82"/>
        <v>3.692253377715554</v>
      </c>
      <c r="H90" s="23">
        <f t="shared" si="82"/>
        <v>3.689623278856768</v>
      </c>
      <c r="I90" s="23">
        <f t="shared" si="82"/>
        <v>3.6925117804920187</v>
      </c>
      <c r="J90" s="23">
        <f t="shared" ref="J90:K90" si="83">(J36*J52)/(J37)</f>
        <v>3.6855527754352386</v>
      </c>
      <c r="K90" s="23">
        <f t="shared" si="83"/>
        <v>3.6921469330661481</v>
      </c>
      <c r="L90" s="23">
        <f t="shared" ref="L90" si="84">(L36*L52)/(L37)</f>
        <v>3.6922242387221611</v>
      </c>
      <c r="M90" s="23"/>
      <c r="N90" s="23"/>
    </row>
    <row r="91" spans="1:14">
      <c r="A91" s="38" t="s">
        <v>20</v>
      </c>
      <c r="B91" s="2" t="s">
        <v>74</v>
      </c>
      <c r="D91" s="23">
        <f t="shared" ref="D91:I91" si="85">(D36*D53)/(D37)</f>
        <v>2.0810947499808279</v>
      </c>
      <c r="E91" s="23">
        <f t="shared" si="85"/>
        <v>0.71952236250647883</v>
      </c>
      <c r="F91" s="23">
        <f t="shared" si="85"/>
        <v>0.71959282146406112</v>
      </c>
      <c r="G91" s="23">
        <f t="shared" si="85"/>
        <v>0.72186774805990106</v>
      </c>
      <c r="H91" s="23">
        <f t="shared" si="85"/>
        <v>0.7211919762950858</v>
      </c>
      <c r="I91" s="23">
        <f t="shared" si="85"/>
        <v>0.72214574114844932</v>
      </c>
      <c r="J91" s="23">
        <f t="shared" ref="J91:K91" si="86">(J36*J53)/(J37)</f>
        <v>0.71997815112772967</v>
      </c>
      <c r="K91" s="23">
        <f t="shared" si="86"/>
        <v>0.72078529666042945</v>
      </c>
      <c r="L91" s="23">
        <f t="shared" ref="L91" si="87">(L36*L53)/(L37)</f>
        <v>0.72056781762558131</v>
      </c>
      <c r="M91" s="23"/>
      <c r="N91" s="23"/>
    </row>
    <row r="92" spans="1:14">
      <c r="A92" s="38" t="s">
        <v>75</v>
      </c>
      <c r="B92" s="2" t="s">
        <v>74</v>
      </c>
      <c r="D92" s="23">
        <f t="shared" ref="D92:I92" si="88">(D36*D54)/(D37)</f>
        <v>0.31545746967871946</v>
      </c>
      <c r="E92" s="23">
        <f t="shared" si="88"/>
        <v>1.6428835757894066E-2</v>
      </c>
      <c r="F92" s="23">
        <f t="shared" si="88"/>
        <v>1.6414598619838027E-2</v>
      </c>
      <c r="G92" s="23">
        <f t="shared" si="88"/>
        <v>1.670344614539631E-2</v>
      </c>
      <c r="H92" s="23">
        <f t="shared" si="88"/>
        <v>1.658035676846549E-2</v>
      </c>
      <c r="I92" s="23">
        <f t="shared" si="88"/>
        <v>1.682064659294679E-2</v>
      </c>
      <c r="J92" s="23">
        <f t="shared" ref="J92:K92" si="89">(J36*J54)/(J37)</f>
        <v>1.6741443313716135E-2</v>
      </c>
      <c r="K92" s="23">
        <f t="shared" si="89"/>
        <v>1.6776298598756692E-2</v>
      </c>
      <c r="L92" s="23">
        <f t="shared" ref="L92" si="90">(L36*L54)/(L37)</f>
        <v>1.6498871431489034E-2</v>
      </c>
      <c r="M92" s="23"/>
      <c r="N92" s="23"/>
    </row>
    <row r="93" spans="1:14">
      <c r="A93" s="38" t="s">
        <v>22</v>
      </c>
      <c r="B93" s="2" t="s">
        <v>74</v>
      </c>
      <c r="D93" s="23">
        <f t="shared" ref="D93:I93" si="91">(D36*D55)/(D37)</f>
        <v>0.33464428985101241</v>
      </c>
      <c r="E93" s="23">
        <f t="shared" si="91"/>
        <v>0.30532596471633222</v>
      </c>
      <c r="F93" s="23">
        <f t="shared" si="91"/>
        <v>0.30502185905363022</v>
      </c>
      <c r="G93" s="23">
        <f t="shared" si="91"/>
        <v>0.30555685003650129</v>
      </c>
      <c r="H93" s="23">
        <f t="shared" si="91"/>
        <v>0.30511379291896767</v>
      </c>
      <c r="I93" s="23">
        <f t="shared" si="91"/>
        <v>0.30670329590702589</v>
      </c>
      <c r="J93" s="23">
        <f t="shared" ref="J93:K93" si="92">(J36*J55)/(J37)</f>
        <v>0.30652775963224899</v>
      </c>
      <c r="K93" s="23">
        <f t="shared" si="92"/>
        <v>0.3073012333446023</v>
      </c>
      <c r="L93" s="23">
        <f t="shared" ref="L93" si="93">(L36*L55)/(L37)</f>
        <v>0.30621144737335737</v>
      </c>
      <c r="M93" s="23"/>
      <c r="N93" s="23"/>
    </row>
    <row r="94" spans="1:14">
      <c r="A94" s="38" t="s">
        <v>23</v>
      </c>
      <c r="B94" s="2" t="s">
        <v>74</v>
      </c>
      <c r="D94" s="23">
        <f t="shared" ref="D94:I94" si="94">(D36*D56)/(D37)</f>
        <v>0.6254457568006081</v>
      </c>
      <c r="E94" s="23">
        <f t="shared" si="94"/>
        <v>0.66828044650581098</v>
      </c>
      <c r="F94" s="23">
        <f t="shared" si="94"/>
        <v>0.66694579154713796</v>
      </c>
      <c r="G94" s="23">
        <f t="shared" si="94"/>
        <v>0.66725297457521415</v>
      </c>
      <c r="H94" s="23">
        <f t="shared" si="94"/>
        <v>0.66751673670998646</v>
      </c>
      <c r="I94" s="23">
        <f t="shared" si="94"/>
        <v>0.66766406220166663</v>
      </c>
      <c r="J94" s="23">
        <f t="shared" ref="J94:K94" si="95">(J36*J56)/(J37)</f>
        <v>0.66852869105289781</v>
      </c>
      <c r="K94" s="23">
        <f t="shared" si="95"/>
        <v>0.66959161224836539</v>
      </c>
      <c r="L94" s="23">
        <f t="shared" ref="L94" si="96">(L36*L56)/(L37)</f>
        <v>0.66870121075909328</v>
      </c>
      <c r="M94" s="23"/>
      <c r="N94" s="23"/>
    </row>
    <row r="95" spans="1:14">
      <c r="A95" s="38" t="s">
        <v>24</v>
      </c>
      <c r="B95" s="2" t="s">
        <v>74</v>
      </c>
      <c r="D95" s="23">
        <f t="shared" ref="D95:I95" si="97">(D36*D57)/(D37)</f>
        <v>0</v>
      </c>
      <c r="E95" s="23">
        <f t="shared" si="97"/>
        <v>0</v>
      </c>
      <c r="F95" s="23">
        <f t="shared" si="97"/>
        <v>0</v>
      </c>
      <c r="G95" s="23">
        <f t="shared" si="97"/>
        <v>0</v>
      </c>
      <c r="H95" s="23">
        <f t="shared" si="97"/>
        <v>0</v>
      </c>
      <c r="I95" s="23">
        <f t="shared" si="97"/>
        <v>0</v>
      </c>
      <c r="J95" s="23">
        <f t="shared" ref="J95:K95" si="98">(J36*J57)/(J37)</f>
        <v>0</v>
      </c>
      <c r="K95" s="23">
        <f t="shared" si="98"/>
        <v>0</v>
      </c>
      <c r="L95" s="23">
        <f t="shared" ref="L95" si="99">(L36*L57)/(L37)</f>
        <v>0</v>
      </c>
      <c r="M95" s="23"/>
      <c r="N95" s="23"/>
    </row>
    <row r="96" spans="1:14">
      <c r="A96" s="38" t="s">
        <v>25</v>
      </c>
      <c r="B96" s="2" t="s">
        <v>74</v>
      </c>
      <c r="D96" s="23">
        <f t="shared" ref="D96:I96" si="100">(D36*D58)/(D37)</f>
        <v>8.2783713968506962</v>
      </c>
      <c r="E96" s="23">
        <f t="shared" si="100"/>
        <v>16.076617010405048</v>
      </c>
      <c r="F96" s="23">
        <f t="shared" si="100"/>
        <v>16.067625895319672</v>
      </c>
      <c r="G96" s="23">
        <f t="shared" si="100"/>
        <v>16.032604637565797</v>
      </c>
      <c r="H96" s="23">
        <f t="shared" si="100"/>
        <v>16.086408854958151</v>
      </c>
      <c r="I96" s="23">
        <f t="shared" si="100"/>
        <v>16.077953738840293</v>
      </c>
      <c r="J96" s="23">
        <f t="shared" ref="J96:K96" si="101">(J36*J58)/(J37)</f>
        <v>16.138028687791209</v>
      </c>
      <c r="K96" s="23">
        <f t="shared" si="101"/>
        <v>16.139059489318875</v>
      </c>
      <c r="L96" s="23">
        <f t="shared" ref="L96" si="102">(L36*L58)/(L37)</f>
        <v>16.130845013158865</v>
      </c>
      <c r="M96" s="23"/>
      <c r="N96" s="23"/>
    </row>
    <row r="97" spans="1:14">
      <c r="A97" s="38" t="s">
        <v>26</v>
      </c>
      <c r="B97" s="2" t="s">
        <v>74</v>
      </c>
      <c r="D97" s="23">
        <f t="shared" ref="D97:I97" si="103">(D36*D59)/(D37)</f>
        <v>12.566183411450275</v>
      </c>
      <c r="E97" s="23">
        <f t="shared" si="103"/>
        <v>13.769125633978836</v>
      </c>
      <c r="F97" s="23">
        <f t="shared" si="103"/>
        <v>13.749148670881189</v>
      </c>
      <c r="G97" s="23">
        <f t="shared" si="103"/>
        <v>13.752399556882208</v>
      </c>
      <c r="H97" s="23">
        <f t="shared" si="103"/>
        <v>13.784222264391495</v>
      </c>
      <c r="I97" s="23">
        <f t="shared" si="103"/>
        <v>13.778799061402371</v>
      </c>
      <c r="J97" s="23">
        <f t="shared" ref="J97:K97" si="104">(J36*J59)/(J37)</f>
        <v>13.818666168375971</v>
      </c>
      <c r="K97" s="23">
        <f t="shared" si="104"/>
        <v>13.816500507348971</v>
      </c>
      <c r="L97" s="23">
        <f t="shared" ref="L97" si="105">(L36*L59)/(L37)</f>
        <v>13.817627174513312</v>
      </c>
      <c r="M97" s="23"/>
      <c r="N97" s="23"/>
    </row>
    <row r="98" spans="1:14">
      <c r="A98" s="38" t="s">
        <v>27</v>
      </c>
      <c r="B98" s="2" t="s">
        <v>74</v>
      </c>
      <c r="D98" s="23">
        <f t="shared" ref="D98:I98" si="106">(D36*D60)/(D37)</f>
        <v>3.3984749361964703</v>
      </c>
      <c r="E98" s="23">
        <f t="shared" si="106"/>
        <v>0.95105616544225735</v>
      </c>
      <c r="F98" s="23">
        <f t="shared" si="106"/>
        <v>0.99224491987576535</v>
      </c>
      <c r="G98" s="23">
        <f t="shared" si="106"/>
        <v>0.99331601492361032</v>
      </c>
      <c r="H98" s="23">
        <f t="shared" si="106"/>
        <v>0.99748154906021902</v>
      </c>
      <c r="I98" s="23">
        <f t="shared" si="106"/>
        <v>0.99891319068226181</v>
      </c>
      <c r="J98" s="23">
        <f t="shared" ref="J98:K98" si="107">(J36*J60)/(J37)</f>
        <v>1.000970355228499</v>
      </c>
      <c r="K98" s="23">
        <f t="shared" si="107"/>
        <v>1.0009738054394854</v>
      </c>
      <c r="L98" s="23">
        <f t="shared" ref="L98" si="108">(L36*L60)/(L37)</f>
        <v>0.99968148252956857</v>
      </c>
      <c r="M98" s="23"/>
      <c r="N98" s="23"/>
    </row>
    <row r="99" spans="1:14">
      <c r="A99" s="38" t="s">
        <v>28</v>
      </c>
      <c r="B99" s="2" t="s">
        <v>74</v>
      </c>
      <c r="D99" s="23">
        <f t="shared" ref="D99:I99" si="109">(D36*D61)/(D37)</f>
        <v>1.0437192398145425</v>
      </c>
      <c r="E99" s="23">
        <f t="shared" si="109"/>
        <v>0.96649328674342527</v>
      </c>
      <c r="F99" s="23">
        <f t="shared" si="109"/>
        <v>0.962519672286685</v>
      </c>
      <c r="G99" s="23">
        <f t="shared" si="109"/>
        <v>0.95931353622084958</v>
      </c>
      <c r="H99" s="23">
        <f t="shared" si="109"/>
        <v>0.96509445873702771</v>
      </c>
      <c r="I99" s="23">
        <f t="shared" si="109"/>
        <v>0.96846486760237838</v>
      </c>
      <c r="J99" s="23">
        <f t="shared" ref="J99:K99" si="110">(J36*J61)/(J37)</f>
        <v>0.96431854539580397</v>
      </c>
      <c r="K99" s="23">
        <f t="shared" si="110"/>
        <v>0.96811484077755694</v>
      </c>
      <c r="L99" s="23">
        <f t="shared" ref="L99" si="111">(L36*L61)/(L37)</f>
        <v>0.96505036640749486</v>
      </c>
      <c r="M99" s="23"/>
      <c r="N99" s="23"/>
    </row>
    <row r="100" spans="1:14" ht="16.5">
      <c r="A100" s="137" t="s">
        <v>29</v>
      </c>
      <c r="B100" s="2" t="s">
        <v>74</v>
      </c>
      <c r="D100" s="23">
        <f t="shared" ref="D100:I100" si="112">(D36*D62)/(D37)</f>
        <v>0</v>
      </c>
      <c r="E100" s="23">
        <f t="shared" si="112"/>
        <v>0</v>
      </c>
      <c r="F100" s="23">
        <f t="shared" si="112"/>
        <v>0</v>
      </c>
      <c r="G100" s="23">
        <f t="shared" si="112"/>
        <v>0</v>
      </c>
      <c r="H100" s="23">
        <f t="shared" si="112"/>
        <v>0</v>
      </c>
      <c r="I100" s="23">
        <f t="shared" si="112"/>
        <v>0</v>
      </c>
      <c r="J100" s="23">
        <f t="shared" ref="J100:K100" si="113">(J36*J62)/(J37)</f>
        <v>0</v>
      </c>
      <c r="K100" s="23">
        <f t="shared" si="113"/>
        <v>0</v>
      </c>
      <c r="L100" s="23">
        <f t="shared" ref="L100" si="114">(L36*L62)/(L37)</f>
        <v>0</v>
      </c>
      <c r="M100" s="23"/>
      <c r="N100" s="23"/>
    </row>
    <row r="101" spans="1:14">
      <c r="A101" s="38" t="s">
        <v>30</v>
      </c>
      <c r="B101" s="2" t="s">
        <v>74</v>
      </c>
      <c r="D101" s="23">
        <f t="shared" ref="D101:I101" si="115">(D36*SUM(D63,D64,D65,D66,D67,D68,D69,D70,D71,D77))/(D37)</f>
        <v>4.4536646995155538</v>
      </c>
      <c r="E101" s="23">
        <f t="shared" si="115"/>
        <v>14.266453922131397</v>
      </c>
      <c r="F101" s="23">
        <f t="shared" si="115"/>
        <v>14.265097972057054</v>
      </c>
      <c r="G101" s="23">
        <f t="shared" si="115"/>
        <v>14.118286807987156</v>
      </c>
      <c r="H101" s="23">
        <f t="shared" si="115"/>
        <v>14.254060755882037</v>
      </c>
      <c r="I101" s="23">
        <f t="shared" si="115"/>
        <v>14.227219182531792</v>
      </c>
      <c r="J101" s="23">
        <f t="shared" ref="J101:K101" si="116">(J36*SUM(J63,J64,J65,J66,J67,J68,J69,J70,J71,J77))/(J37)</f>
        <v>14.246870169487869</v>
      </c>
      <c r="K101" s="23">
        <f t="shared" si="116"/>
        <v>14.275672234040423</v>
      </c>
      <c r="L101" s="23">
        <f t="shared" ref="L101" si="117">(L36*SUM(L63,L64,L65,L66,L67,L68,L69,L70,L71,L77))/(L37)</f>
        <v>14.282580083822102</v>
      </c>
      <c r="M101" s="23"/>
      <c r="N101" s="23"/>
    </row>
    <row r="102" spans="1:14">
      <c r="A102" s="22" t="s">
        <v>76</v>
      </c>
      <c r="B102" s="2" t="s">
        <v>74</v>
      </c>
      <c r="D102" s="23">
        <f t="shared" ref="D102:I102" si="118">(D36*D72)/(D37)</f>
        <v>2.3285443854500262E-2</v>
      </c>
      <c r="E102" s="23">
        <f t="shared" si="118"/>
        <v>0</v>
      </c>
      <c r="F102" s="23">
        <f t="shared" si="118"/>
        <v>0</v>
      </c>
      <c r="G102" s="23">
        <f t="shared" si="118"/>
        <v>2.3690325398399624E-2</v>
      </c>
      <c r="H102" s="23">
        <f t="shared" si="118"/>
        <v>1.3003475311925642E-2</v>
      </c>
      <c r="I102" s="23">
        <f t="shared" si="118"/>
        <v>0</v>
      </c>
      <c r="J102" s="23">
        <f t="shared" ref="J102:K102" si="119">(J36*J72)/(J37)</f>
        <v>0</v>
      </c>
      <c r="K102" s="23">
        <f t="shared" si="119"/>
        <v>0</v>
      </c>
      <c r="L102" s="23">
        <f t="shared" ref="L102" si="120">(L36*L72)/(L37)</f>
        <v>7.649431261805925E-3</v>
      </c>
      <c r="M102" s="23"/>
      <c r="N102" s="23"/>
    </row>
    <row r="103" spans="1:14">
      <c r="A103" s="22" t="s">
        <v>77</v>
      </c>
      <c r="B103" s="2" t="s">
        <v>74</v>
      </c>
      <c r="D103" s="23">
        <f t="shared" ref="D103:I103" si="121">(D36*D73)/(D37)</f>
        <v>0</v>
      </c>
      <c r="E103" s="23">
        <f t="shared" si="121"/>
        <v>2.3670052517601774E-2</v>
      </c>
      <c r="F103" s="23">
        <f t="shared" si="121"/>
        <v>2.2153051811345522E-2</v>
      </c>
      <c r="G103" s="23">
        <f t="shared" si="121"/>
        <v>4.9069313447202771E-2</v>
      </c>
      <c r="H103" s="23">
        <f t="shared" si="121"/>
        <v>2.1351200054230871E-2</v>
      </c>
      <c r="I103" s="23">
        <f t="shared" si="121"/>
        <v>2.1090618527818017E-2</v>
      </c>
      <c r="J103" s="23">
        <f t="shared" ref="J103:K103" si="122">(J36*J73)/(J37)</f>
        <v>2.168400262754671E-2</v>
      </c>
      <c r="K103" s="23">
        <f t="shared" si="122"/>
        <v>1.9193502889431318E-2</v>
      </c>
      <c r="L103" s="23">
        <f t="shared" ref="L103" si="123">(L36*L73)/(L37)</f>
        <v>2.0353111885396482E-2</v>
      </c>
      <c r="M103" s="23"/>
      <c r="N103" s="23"/>
    </row>
    <row r="104" spans="1:14">
      <c r="A104" s="22" t="s">
        <v>78</v>
      </c>
      <c r="B104" s="2" t="s">
        <v>74</v>
      </c>
      <c r="D104" s="23">
        <f t="shared" ref="D104:I104" si="124">(D36*D74)/(D37)</f>
        <v>0</v>
      </c>
      <c r="E104" s="23">
        <f t="shared" si="124"/>
        <v>4.3836581005941982E-2</v>
      </c>
      <c r="F104" s="23">
        <f t="shared" si="124"/>
        <v>5.0756233112674361E-2</v>
      </c>
      <c r="G104" s="23">
        <f t="shared" si="124"/>
        <v>0</v>
      </c>
      <c r="H104" s="23">
        <f t="shared" si="124"/>
        <v>4.3489033803156843E-2</v>
      </c>
      <c r="I104" s="23">
        <f t="shared" si="124"/>
        <v>4.3929863630933749E-2</v>
      </c>
      <c r="J104" s="23">
        <f t="shared" ref="J104:K104" si="125">(J36*J74)/(J37)</f>
        <v>4.3156810436296697E-2</v>
      </c>
      <c r="K104" s="23">
        <f t="shared" si="125"/>
        <v>4.3662816882856829E-2</v>
      </c>
      <c r="L104" s="23">
        <f t="shared" ref="L104" si="126">(L36*L74)/(L37)</f>
        <v>5.129612723555399E-2</v>
      </c>
      <c r="M104" s="23"/>
      <c r="N104" s="23"/>
    </row>
    <row r="105" spans="1:14">
      <c r="A105" s="22" t="s">
        <v>79</v>
      </c>
      <c r="B105" s="2" t="s">
        <v>74</v>
      </c>
      <c r="D105" s="23">
        <f t="shared" ref="D105:I105" si="127">(D36*D75)/(D37)</f>
        <v>1.1832401251063405</v>
      </c>
      <c r="E105" s="23">
        <f t="shared" si="127"/>
        <v>0.15577022089311532</v>
      </c>
      <c r="F105" s="23">
        <f t="shared" si="127"/>
        <v>0.15398132682985444</v>
      </c>
      <c r="G105" s="23">
        <f t="shared" si="127"/>
        <v>0.15449611625007781</v>
      </c>
      <c r="H105" s="23">
        <f t="shared" si="127"/>
        <v>0.16141303076528157</v>
      </c>
      <c r="I105" s="23">
        <f t="shared" si="127"/>
        <v>0.15621030708290634</v>
      </c>
      <c r="J105" s="23">
        <f t="shared" ref="J105:K105" si="128">(J36*J75)/(J37)</f>
        <v>0.1571369525712617</v>
      </c>
      <c r="K105" s="23">
        <f t="shared" si="128"/>
        <v>0.15646568378100603</v>
      </c>
      <c r="L105" s="23">
        <f t="shared" ref="L105" si="129">(L36*L75)/(L37)</f>
        <v>0.15681584297066592</v>
      </c>
      <c r="M105" s="23"/>
      <c r="N105" s="23"/>
    </row>
    <row r="106" spans="1:14">
      <c r="A106" s="22" t="s">
        <v>80</v>
      </c>
      <c r="B106" s="2" t="s">
        <v>74</v>
      </c>
      <c r="D106" s="23">
        <f t="shared" ref="D106:I106" si="130">(D36*D76)/(D37)</f>
        <v>9.5499337496840531E-2</v>
      </c>
      <c r="E106" s="23">
        <f t="shared" si="130"/>
        <v>0.20969106686417266</v>
      </c>
      <c r="F106" s="23">
        <f t="shared" si="130"/>
        <v>0.16709979316997259</v>
      </c>
      <c r="G106" s="23">
        <f t="shared" si="130"/>
        <v>0.20566649840101323</v>
      </c>
      <c r="H106" s="23">
        <f t="shared" si="130"/>
        <v>0.20509221775163444</v>
      </c>
      <c r="I106" s="23">
        <f t="shared" si="130"/>
        <v>0.20199189318911243</v>
      </c>
      <c r="J106" s="23">
        <f t="shared" ref="J106:K106" si="131">(J36*J76)/(J37)</f>
        <v>0.20311836859355067</v>
      </c>
      <c r="K106" s="23">
        <f t="shared" si="131"/>
        <v>0.20709985796595345</v>
      </c>
      <c r="L106" s="23">
        <f t="shared" ref="L106" si="132">(L36*L76)/(L37)</f>
        <v>0.20551778914765642</v>
      </c>
      <c r="M106" s="23"/>
      <c r="N106" s="23"/>
    </row>
    <row r="107" spans="1:14">
      <c r="A107" s="22" t="s">
        <v>81</v>
      </c>
      <c r="B107" s="2" t="s">
        <v>74</v>
      </c>
      <c r="D107" s="23">
        <f t="shared" ref="D107:I107" si="133">SUM(D80:D106)</f>
        <v>100.38141681096982</v>
      </c>
      <c r="E107" s="23">
        <f t="shared" si="133"/>
        <v>100.09235211741813</v>
      </c>
      <c r="F107" s="23">
        <f t="shared" si="133"/>
        <v>100.09432357935847</v>
      </c>
      <c r="G107" s="23">
        <f t="shared" si="133"/>
        <v>100.09676086517926</v>
      </c>
      <c r="H107" s="23">
        <f t="shared" si="133"/>
        <v>100.0936162019964</v>
      </c>
      <c r="I107" s="23">
        <f t="shared" si="133"/>
        <v>100.09312478823671</v>
      </c>
      <c r="J107" s="23">
        <f t="shared" ref="J107:K107" si="134">SUM(J80:J106)</f>
        <v>100.09234619713398</v>
      </c>
      <c r="K107" s="23">
        <f t="shared" si="134"/>
        <v>100.09124294696703</v>
      </c>
      <c r="L107" s="23">
        <f t="shared" ref="L107" si="135">SUM(L80:L106)</f>
        <v>100.09178520076071</v>
      </c>
      <c r="M107" s="23"/>
      <c r="N107" s="23"/>
    </row>
    <row r="108" spans="1:14" s="86" customForma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</row>
    <row r="109" spans="1:14" s="85" customFormat="1">
      <c r="A109" s="153" t="s">
        <v>967</v>
      </c>
      <c r="B109" s="84" t="s">
        <v>74</v>
      </c>
      <c r="C109" s="84"/>
      <c r="D109" s="88">
        <f t="shared" ref="D109:I109" si="136">SUM(D102,D80,D81,D82,D83,D84)</f>
        <v>15.962868086494032</v>
      </c>
      <c r="E109" s="88">
        <f t="shared" si="136"/>
        <v>1.9807439791562167</v>
      </c>
      <c r="F109" s="88">
        <f t="shared" si="136"/>
        <v>1.9802388000333497</v>
      </c>
      <c r="G109" s="88">
        <f t="shared" si="136"/>
        <v>2.0090210740093872</v>
      </c>
      <c r="H109" s="88">
        <f t="shared" si="136"/>
        <v>1.9613420137189272</v>
      </c>
      <c r="I109" s="88">
        <f t="shared" si="136"/>
        <v>1.9482702842019652</v>
      </c>
      <c r="J109" s="88">
        <f t="shared" ref="J109:K109" si="137">SUM(J102,J80,J81,J82,J83,J84)</f>
        <v>1.9377995427881261</v>
      </c>
      <c r="K109" s="88">
        <f t="shared" si="137"/>
        <v>1.8961981761283926</v>
      </c>
      <c r="L109" s="88">
        <f t="shared" ref="L109" si="138">SUM(L102,L80,L81,L82,L83,L84)</f>
        <v>1.9006559771271276</v>
      </c>
      <c r="M109" s="88"/>
      <c r="N109" s="88"/>
    </row>
    <row r="110" spans="1:14" s="85" customFormat="1">
      <c r="A110" s="153" t="s">
        <v>968</v>
      </c>
      <c r="B110" s="84" t="s">
        <v>74</v>
      </c>
      <c r="C110" s="84"/>
      <c r="D110" s="88">
        <f t="shared" ref="D110:I110" si="139">D107-D109</f>
        <v>84.418548724475798</v>
      </c>
      <c r="E110" s="88">
        <f t="shared" si="139"/>
        <v>98.111608138261914</v>
      </c>
      <c r="F110" s="88">
        <f t="shared" si="139"/>
        <v>98.114084779325125</v>
      </c>
      <c r="G110" s="88">
        <f t="shared" si="139"/>
        <v>98.087739791169881</v>
      </c>
      <c r="H110" s="88">
        <f t="shared" si="139"/>
        <v>98.132274188277464</v>
      </c>
      <c r="I110" s="88">
        <f t="shared" si="139"/>
        <v>98.14485450403474</v>
      </c>
      <c r="J110" s="88">
        <f t="shared" ref="J110:K110" si="140">J107-J109</f>
        <v>98.15454665434585</v>
      </c>
      <c r="K110" s="88">
        <f t="shared" si="140"/>
        <v>98.195044770838635</v>
      </c>
      <c r="L110" s="88">
        <f t="shared" ref="L110" si="141">L107-L109</f>
        <v>98.191129223633581</v>
      </c>
      <c r="M110" s="88"/>
      <c r="N110" s="88"/>
    </row>
    <row r="111" spans="1:14">
      <c r="A111" s="22" t="s">
        <v>41</v>
      </c>
      <c r="B111" s="2" t="s">
        <v>74</v>
      </c>
      <c r="D111" s="23">
        <f>D107-100</f>
        <v>0.38141681096982438</v>
      </c>
      <c r="E111" s="23">
        <f t="shared" ref="E111:F111" si="142">E107-100</f>
        <v>9.2352117418130319E-2</v>
      </c>
      <c r="F111" s="23">
        <f t="shared" si="142"/>
        <v>9.4323579358473353E-2</v>
      </c>
      <c r="G111" s="23">
        <f t="shared" ref="G111:H111" si="143">G107-100</f>
        <v>9.6760865179263078E-2</v>
      </c>
      <c r="H111" s="23">
        <f t="shared" si="143"/>
        <v>9.3616201996397308E-2</v>
      </c>
      <c r="I111" s="23">
        <f t="shared" ref="I111:K111" si="144">I107-100</f>
        <v>9.3124788236707445E-2</v>
      </c>
      <c r="J111" s="23">
        <f t="shared" si="144"/>
        <v>9.2346197133977626E-2</v>
      </c>
      <c r="K111" s="23">
        <f t="shared" si="144"/>
        <v>9.1242946967028615E-2</v>
      </c>
      <c r="L111" s="23">
        <f t="shared" ref="L111" si="145">L107-100</f>
        <v>9.178520076071095E-2</v>
      </c>
      <c r="M111" s="23"/>
      <c r="N111" s="23"/>
    </row>
    <row r="112" spans="1:14" ht="15.75" customHeight="1">
      <c r="A112" s="22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</row>
    <row r="113" spans="1:14">
      <c r="A113" s="22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</row>
    <row r="114" spans="1:14">
      <c r="A114" s="22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</row>
    <row r="115" spans="1:14" s="85" customFormat="1">
      <c r="A115" s="153" t="s">
        <v>969</v>
      </c>
      <c r="B115" s="84" t="s">
        <v>8</v>
      </c>
      <c r="C115" s="84"/>
      <c r="D115" s="90"/>
      <c r="E115" s="90">
        <f t="shared" ref="E115:L115" si="146">100*(E37*$D$8-E36*E50)/(E37*$D$8)</f>
        <v>0.15248307262474972</v>
      </c>
      <c r="F115" s="90">
        <f t="shared" si="146"/>
        <v>0.15560049822271749</v>
      </c>
      <c r="G115" s="90">
        <f t="shared" si="146"/>
        <v>-0.12672917373665907</v>
      </c>
      <c r="H115" s="90">
        <f t="shared" si="146"/>
        <v>-1.306936223459013E-2</v>
      </c>
      <c r="I115" s="90">
        <f t="shared" si="146"/>
        <v>-9.0281099659961103E-2</v>
      </c>
      <c r="J115" s="90">
        <f t="shared" si="146"/>
        <v>-1.4327227322604342E-2</v>
      </c>
      <c r="K115" s="90">
        <f t="shared" si="146"/>
        <v>-0.16621221986892193</v>
      </c>
      <c r="L115" s="90">
        <f t="shared" si="146"/>
        <v>-0.19802378568455661</v>
      </c>
      <c r="M115" s="90"/>
      <c r="N115" s="90"/>
    </row>
    <row r="116" spans="1:14" s="85" customFormat="1">
      <c r="A116" s="153" t="s">
        <v>970</v>
      </c>
      <c r="B116" s="84" t="s">
        <v>8</v>
      </c>
      <c r="C116" s="84"/>
      <c r="D116" s="84"/>
      <c r="E116" s="84"/>
      <c r="F116" s="84"/>
      <c r="G116" s="84"/>
      <c r="H116" s="84"/>
      <c r="I116" s="84"/>
      <c r="J116" s="84"/>
    </row>
    <row r="117" spans="1:14" s="85" customFormat="1">
      <c r="A117" s="153" t="s">
        <v>971</v>
      </c>
      <c r="B117" s="84" t="s">
        <v>8</v>
      </c>
      <c r="C117" s="84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</row>
    <row r="118" spans="1:14">
      <c r="A118" s="22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</row>
    <row r="119" spans="1:14">
      <c r="A119" s="38" t="s">
        <v>18</v>
      </c>
      <c r="B119" s="2" t="s">
        <v>8</v>
      </c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</row>
    <row r="120" spans="1:14">
      <c r="A120" s="38" t="s">
        <v>19</v>
      </c>
      <c r="B120" s="2" t="s">
        <v>8</v>
      </c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</row>
    <row r="121" spans="1:14" s="80" customFormat="1">
      <c r="A121" s="38" t="s">
        <v>20</v>
      </c>
      <c r="B121" s="2" t="s">
        <v>8</v>
      </c>
      <c r="C121" s="81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</row>
    <row r="122" spans="1:14">
      <c r="A122" s="38" t="s">
        <v>75</v>
      </c>
      <c r="B122" s="2" t="s">
        <v>8</v>
      </c>
      <c r="K122" s="2"/>
      <c r="L122" s="2"/>
      <c r="M122" s="2"/>
      <c r="N122" s="2"/>
    </row>
    <row r="123" spans="1:14" s="85" customFormat="1">
      <c r="A123" s="151" t="s">
        <v>972</v>
      </c>
      <c r="B123" s="84" t="s">
        <v>8</v>
      </c>
      <c r="C123" s="84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</row>
    <row r="124" spans="1:14"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</row>
    <row r="125" spans="1:14" s="80" customFormat="1">
      <c r="A125" s="77" t="s">
        <v>973</v>
      </c>
      <c r="B125" s="2" t="s">
        <v>8</v>
      </c>
      <c r="C125" s="81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</row>
    <row r="126" spans="1:14">
      <c r="A126" s="77" t="s">
        <v>974</v>
      </c>
      <c r="B126" s="2" t="s">
        <v>8</v>
      </c>
      <c r="C126" s="81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</row>
    <row r="127" spans="1:14">
      <c r="A127" s="22" t="s">
        <v>975</v>
      </c>
      <c r="B127" s="2" t="s">
        <v>8</v>
      </c>
      <c r="K127" s="2"/>
      <c r="L127" s="2"/>
      <c r="M127" s="2"/>
      <c r="N127" s="2"/>
    </row>
    <row r="128" spans="1:14" s="152" customFormat="1">
      <c r="A128" s="151" t="s">
        <v>976</v>
      </c>
      <c r="B128" s="84" t="s">
        <v>8</v>
      </c>
      <c r="C128" s="99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</row>
    <row r="129" spans="1:14">
      <c r="A129" s="80"/>
      <c r="B129" s="81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</row>
    <row r="130" spans="1:14">
      <c r="A130" s="22" t="s">
        <v>977</v>
      </c>
      <c r="B130" s="2" t="s">
        <v>8</v>
      </c>
    </row>
    <row r="131" spans="1:14" s="85" customFormat="1">
      <c r="A131" s="151" t="s">
        <v>978</v>
      </c>
      <c r="B131" s="84" t="s">
        <v>8</v>
      </c>
      <c r="C131" s="84"/>
      <c r="D131" s="84"/>
      <c r="E131" s="84"/>
      <c r="F131" s="84"/>
      <c r="G131" s="84"/>
      <c r="H131" s="84"/>
      <c r="I131" s="84"/>
      <c r="J131" s="84"/>
    </row>
    <row r="132" spans="1:14">
      <c r="K132" s="2"/>
      <c r="L132" s="2"/>
      <c r="M132" s="2"/>
      <c r="N132" s="2"/>
    </row>
    <row r="138" spans="1:14">
      <c r="A138" s="22"/>
    </row>
    <row r="139" spans="1:14">
      <c r="A139" s="77"/>
    </row>
    <row r="140" spans="1:14">
      <c r="A140" s="77"/>
    </row>
    <row r="141" spans="1:14">
      <c r="A141" s="77"/>
    </row>
    <row r="142" spans="1:14" s="2" customFormat="1">
      <c r="A142" s="77"/>
      <c r="K142" s="1"/>
      <c r="L142" s="1"/>
      <c r="M142" s="1"/>
      <c r="N142" s="1"/>
    </row>
    <row r="143" spans="1:14" s="2" customFormat="1">
      <c r="A143" s="77"/>
      <c r="K143" s="1"/>
      <c r="L143" s="1"/>
      <c r="M143" s="1"/>
      <c r="N143" s="1"/>
    </row>
    <row r="144" spans="1:14" s="2" customFormat="1">
      <c r="A144" s="77"/>
      <c r="K144" s="1"/>
      <c r="L144" s="1"/>
      <c r="M144" s="1"/>
      <c r="N144" s="1"/>
    </row>
    <row r="145" spans="1:14" s="2" customFormat="1">
      <c r="A145" s="77"/>
      <c r="K145" s="1"/>
      <c r="L145" s="1"/>
      <c r="M145" s="1"/>
      <c r="N145" s="1"/>
    </row>
    <row r="146" spans="1:14" s="2" customFormat="1">
      <c r="A146" s="77"/>
      <c r="K146" s="1"/>
      <c r="L146" s="1"/>
      <c r="M146" s="1"/>
      <c r="N146" s="1"/>
    </row>
    <row r="147" spans="1:14" s="2" customFormat="1">
      <c r="A147" s="77"/>
      <c r="K147" s="1"/>
      <c r="L147" s="1"/>
      <c r="M147" s="1"/>
      <c r="N147" s="1"/>
    </row>
    <row r="148" spans="1:14" s="2" customFormat="1">
      <c r="A148" s="77"/>
      <c r="K148" s="1"/>
      <c r="L148" s="1"/>
      <c r="M148" s="1"/>
      <c r="N148" s="1"/>
    </row>
    <row r="149" spans="1:14" s="2" customFormat="1">
      <c r="A149" s="77"/>
      <c r="K149" s="1"/>
      <c r="L149" s="1"/>
      <c r="M149" s="1"/>
      <c r="N149" s="1"/>
    </row>
    <row r="150" spans="1:14" s="2" customFormat="1">
      <c r="A150" s="77"/>
      <c r="K150" s="1"/>
      <c r="L150" s="1"/>
      <c r="M150" s="1"/>
      <c r="N150" s="1"/>
    </row>
    <row r="151" spans="1:14" s="2" customFormat="1">
      <c r="A151" s="77"/>
      <c r="K151" s="1"/>
      <c r="L151" s="1"/>
      <c r="M151" s="1"/>
      <c r="N151" s="1"/>
    </row>
    <row r="152" spans="1:14" s="2" customFormat="1">
      <c r="A152" s="77"/>
      <c r="K152" s="1"/>
      <c r="L152" s="1"/>
      <c r="M152" s="1"/>
      <c r="N152" s="1"/>
    </row>
    <row r="153" spans="1:14" s="2" customFormat="1">
      <c r="A153" s="22"/>
      <c r="K153" s="1"/>
      <c r="L153" s="1"/>
      <c r="M153" s="1"/>
      <c r="N153" s="1"/>
    </row>
    <row r="154" spans="1:14" s="2" customFormat="1">
      <c r="A154" s="22"/>
      <c r="K154" s="1"/>
      <c r="L154" s="1"/>
      <c r="M154" s="1"/>
      <c r="N154" s="1"/>
    </row>
    <row r="155" spans="1:14" s="2" customFormat="1">
      <c r="A155" s="22"/>
      <c r="K155" s="1"/>
      <c r="L155" s="1"/>
      <c r="M155" s="1"/>
      <c r="N155" s="1"/>
    </row>
    <row r="156" spans="1:14" s="2" customFormat="1">
      <c r="A156" s="22"/>
      <c r="K156" s="1"/>
      <c r="L156" s="1"/>
      <c r="M156" s="1"/>
      <c r="N156" s="1"/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92A45-A238-4A8D-A0EF-D42790B4F140}">
  <dimension ref="A1:AA161"/>
  <sheetViews>
    <sheetView topLeftCell="A121" zoomScale="90" zoomScaleNormal="90" workbookViewId="0">
      <selection activeCell="C148" sqref="C148"/>
    </sheetView>
  </sheetViews>
  <sheetFormatPr defaultColWidth="9.140625" defaultRowHeight="15"/>
  <cols>
    <col min="1" max="1" width="29.7109375" style="2" bestFit="1" customWidth="1"/>
    <col min="2" max="2" width="11.7109375" style="2" bestFit="1" customWidth="1"/>
    <col min="3" max="3" width="11.7109375" style="2" customWidth="1"/>
    <col min="4" max="4" width="25.42578125" style="2" customWidth="1"/>
    <col min="5" max="5" width="27" style="2" bestFit="1" customWidth="1"/>
    <col min="6" max="6" width="23.140625" style="2" bestFit="1" customWidth="1"/>
    <col min="7" max="10" width="16.42578125" style="2" bestFit="1" customWidth="1"/>
    <col min="11" max="12" width="16.42578125" style="1" bestFit="1" customWidth="1"/>
    <col min="13" max="13" width="15.85546875" style="2" bestFit="1" customWidth="1"/>
    <col min="14" max="15" width="9.140625" style="1"/>
    <col min="16" max="16" width="20.85546875" style="22" bestFit="1" customWidth="1"/>
    <col min="17" max="17" width="9.5703125" style="1" bestFit="1" customWidth="1"/>
    <col min="18" max="16384" width="9.140625" style="1"/>
  </cols>
  <sheetData>
    <row r="1" spans="1:16" s="2" customFormat="1">
      <c r="A1" s="246" t="s">
        <v>939</v>
      </c>
      <c r="B1" s="246"/>
      <c r="C1" s="246"/>
      <c r="D1" s="246"/>
      <c r="K1" s="1"/>
      <c r="L1" s="1"/>
      <c r="P1" s="22"/>
    </row>
    <row r="2" spans="1:16" s="2" customFormat="1">
      <c r="A2" s="31" t="s">
        <v>940</v>
      </c>
      <c r="B2" s="16" t="s">
        <v>8</v>
      </c>
      <c r="C2" s="16"/>
      <c r="D2" s="105">
        <f>Reactor1!D2</f>
        <v>83.84</v>
      </c>
      <c r="G2" s="1"/>
      <c r="K2" s="1"/>
      <c r="L2" s="1"/>
      <c r="P2" s="22"/>
    </row>
    <row r="3" spans="1:16" s="2" customFormat="1">
      <c r="A3" s="31" t="s">
        <v>941</v>
      </c>
      <c r="B3" s="16" t="s">
        <v>8</v>
      </c>
      <c r="C3" s="16"/>
      <c r="D3" s="105">
        <f>Reactor1!D3</f>
        <v>16.159999999999997</v>
      </c>
      <c r="K3" s="1"/>
      <c r="L3" s="1"/>
      <c r="P3" s="22"/>
    </row>
    <row r="4" spans="1:16" s="2" customFormat="1">
      <c r="A4" s="31" t="s">
        <v>942</v>
      </c>
      <c r="B4" s="16" t="s">
        <v>8</v>
      </c>
      <c r="C4" s="16"/>
      <c r="D4" s="105">
        <f>Reactor1!D4</f>
        <v>100</v>
      </c>
      <c r="K4" s="1"/>
      <c r="L4" s="1"/>
      <c r="P4" s="22"/>
    </row>
    <row r="5" spans="1:16" s="2" customFormat="1">
      <c r="A5" s="31" t="s">
        <v>943</v>
      </c>
      <c r="B5" s="114" t="s">
        <v>89</v>
      </c>
      <c r="C5" s="114"/>
      <c r="D5" s="105">
        <f>Reactor1!D5</f>
        <v>0</v>
      </c>
      <c r="K5" s="1"/>
      <c r="L5" s="1"/>
      <c r="P5" s="22"/>
    </row>
    <row r="6" spans="1:16" s="2" customFormat="1">
      <c r="A6" s="31" t="s">
        <v>944</v>
      </c>
      <c r="B6" s="114" t="s">
        <v>89</v>
      </c>
      <c r="C6" s="114"/>
      <c r="D6" s="105">
        <f>Reactor1!D6</f>
        <v>89</v>
      </c>
      <c r="F6" s="2" t="s">
        <v>945</v>
      </c>
      <c r="G6" s="102">
        <v>46247</v>
      </c>
      <c r="K6" s="1"/>
      <c r="L6" s="1"/>
      <c r="P6" s="22"/>
    </row>
    <row r="7" spans="1:16" s="2" customFormat="1">
      <c r="A7" s="31" t="s">
        <v>946</v>
      </c>
      <c r="B7" s="16" t="s">
        <v>102</v>
      </c>
      <c r="C7" s="16"/>
      <c r="D7" s="105">
        <f>Reactor1!D7</f>
        <v>0.66500000000000004</v>
      </c>
      <c r="G7" s="138">
        <v>0.66666666666666663</v>
      </c>
      <c r="K7" s="1"/>
      <c r="L7" s="1"/>
      <c r="P7" s="22"/>
    </row>
    <row r="8" spans="1:16" s="2" customFormat="1">
      <c r="A8" s="29" t="str">
        <f>Reactor1!A8</f>
        <v>n-Hexane</v>
      </c>
      <c r="B8" s="28" t="str">
        <f>Reactor1!B8</f>
        <v>wt%</v>
      </c>
      <c r="C8" s="29"/>
      <c r="D8" s="227">
        <f>Reactor1!D8</f>
        <v>17.808794750000001</v>
      </c>
      <c r="K8" s="1"/>
      <c r="L8" s="1"/>
      <c r="P8" s="22"/>
    </row>
    <row r="9" spans="1:16" s="2" customFormat="1">
      <c r="A9" s="229" t="s">
        <v>18</v>
      </c>
      <c r="B9" s="28" t="s">
        <v>8</v>
      </c>
      <c r="C9" s="29"/>
      <c r="D9" s="227">
        <f>Reactor1!D9</f>
        <v>8.024783750000001</v>
      </c>
      <c r="K9" s="1"/>
      <c r="L9" s="1"/>
      <c r="P9" s="22"/>
    </row>
    <row r="10" spans="1:16" s="2" customFormat="1">
      <c r="A10" s="229" t="s">
        <v>19</v>
      </c>
      <c r="B10" s="230" t="s">
        <v>8</v>
      </c>
      <c r="C10" s="29"/>
      <c r="D10" s="227">
        <f>Reactor1!D10</f>
        <v>3.6883509999999999</v>
      </c>
      <c r="K10" s="1"/>
      <c r="L10" s="1"/>
      <c r="P10" s="22"/>
    </row>
    <row r="11" spans="1:16" s="2" customFormat="1">
      <c r="A11" s="229" t="s">
        <v>20</v>
      </c>
      <c r="B11" s="230" t="s">
        <v>8</v>
      </c>
      <c r="C11" s="29"/>
      <c r="D11" s="227">
        <f>Reactor1!D11</f>
        <v>0.72080225000000009</v>
      </c>
      <c r="K11" s="1"/>
      <c r="L11" s="1"/>
      <c r="P11" s="22"/>
    </row>
    <row r="12" spans="1:16" s="2" customFormat="1">
      <c r="A12" s="229" t="s">
        <v>75</v>
      </c>
      <c r="B12" s="230" t="s">
        <v>8</v>
      </c>
      <c r="C12" s="29"/>
      <c r="D12" s="227">
        <f>Reactor1!D12</f>
        <v>1.6720374999999999E-2</v>
      </c>
      <c r="K12" s="1"/>
      <c r="L12" s="1"/>
      <c r="P12" s="22"/>
    </row>
    <row r="13" spans="1:16" s="2" customFormat="1">
      <c r="A13" s="229" t="s">
        <v>25</v>
      </c>
      <c r="B13" s="230" t="s">
        <v>8</v>
      </c>
      <c r="C13" s="229"/>
      <c r="D13" s="227">
        <f>Reactor1!D13</f>
        <v>16.071277625</v>
      </c>
      <c r="K13" s="1"/>
      <c r="L13" s="1"/>
      <c r="P13" s="22"/>
    </row>
    <row r="14" spans="1:16" s="2" customFormat="1">
      <c r="A14" s="229" t="s">
        <v>26</v>
      </c>
      <c r="B14" s="230" t="s">
        <v>8</v>
      </c>
      <c r="C14" s="229"/>
      <c r="D14" s="227">
        <f>Reactor1!D14</f>
        <v>13.769736375000001</v>
      </c>
      <c r="K14" s="1"/>
      <c r="L14" s="1"/>
      <c r="P14" s="22"/>
    </row>
    <row r="15" spans="1:16" s="2" customFormat="1">
      <c r="A15" s="229" t="s">
        <v>27</v>
      </c>
      <c r="B15" s="230" t="s">
        <v>8</v>
      </c>
      <c r="C15" s="229"/>
      <c r="D15" s="227">
        <f>Reactor1!D15</f>
        <v>0.99247037500000013</v>
      </c>
      <c r="K15" s="1"/>
      <c r="L15" s="1"/>
      <c r="P15" s="22"/>
    </row>
    <row r="16" spans="1:16" s="2" customFormat="1">
      <c r="A16" s="22"/>
      <c r="D16" s="23"/>
      <c r="K16" s="1"/>
      <c r="L16" s="1"/>
      <c r="P16" s="22"/>
    </row>
    <row r="17" spans="1:16" s="2" customFormat="1">
      <c r="A17" s="129" t="s">
        <v>949</v>
      </c>
      <c r="D17" s="23"/>
      <c r="K17" s="1"/>
      <c r="L17" s="1"/>
      <c r="P17" s="22"/>
    </row>
    <row r="18" spans="1:16" s="133" customFormat="1">
      <c r="A18" s="134"/>
      <c r="B18" s="131"/>
      <c r="C18" s="131"/>
      <c r="D18" s="132"/>
      <c r="H18" s="131"/>
      <c r="I18" s="131"/>
      <c r="J18" s="131"/>
      <c r="M18" s="131"/>
      <c r="P18" s="134"/>
    </row>
    <row r="19" spans="1:16" s="101" customFormat="1">
      <c r="A19" s="103" t="s">
        <v>227</v>
      </c>
      <c r="B19" s="104" t="s">
        <v>89</v>
      </c>
      <c r="C19" s="104"/>
      <c r="D19" s="102" cm="1">
        <f t="array" ref="D19:M19">TRANSPOSE(_xlfn._xlws.FILTER('Raw Data'!AU2:AU505,('Raw Data'!B2:B505=5)*('Raw Data'!AU2:AU505&lt;&gt;"")))</f>
        <v>46249</v>
      </c>
      <c r="E19" s="102">
        <v>46251</v>
      </c>
      <c r="F19" s="102">
        <v>46252</v>
      </c>
      <c r="G19" s="102">
        <v>46253</v>
      </c>
      <c r="H19" s="102">
        <v>46254</v>
      </c>
      <c r="I19" s="102">
        <v>46254</v>
      </c>
      <c r="J19" s="102">
        <v>46255</v>
      </c>
      <c r="K19" s="102">
        <v>46256</v>
      </c>
      <c r="L19" s="102">
        <v>46256</v>
      </c>
      <c r="M19" s="102">
        <v>46257</v>
      </c>
      <c r="P19" s="103"/>
    </row>
    <row r="20" spans="1:16" s="101" customFormat="1">
      <c r="A20" s="103" t="s">
        <v>950</v>
      </c>
      <c r="B20" s="104" t="s">
        <v>89</v>
      </c>
      <c r="C20" s="104"/>
      <c r="D20" s="108" cm="1">
        <f t="array" ref="D20:M20">TRANSPOSE(_xlfn._xlws.FILTER('Raw Data'!AV2:AV505,('Raw Data'!B2:B505=5)*('Raw Data'!AV2:AV505&lt;&gt;"")))</f>
        <v>0.23167824074074075</v>
      </c>
      <c r="E20" s="108">
        <v>0.93314814814814817</v>
      </c>
      <c r="F20" s="108">
        <v>0.82027777777777777</v>
      </c>
      <c r="G20" s="108">
        <v>0.50929398148148153</v>
      </c>
      <c r="H20" s="108">
        <v>0.19831018518518517</v>
      </c>
      <c r="I20" s="108">
        <v>0.88733796296296297</v>
      </c>
      <c r="J20" s="108">
        <v>0.57636574074074076</v>
      </c>
      <c r="K20" s="108">
        <v>0.26538194444444446</v>
      </c>
      <c r="L20" s="108">
        <v>0.95439814814814816</v>
      </c>
      <c r="M20" s="108">
        <v>0.64341435185185181</v>
      </c>
      <c r="P20" s="103"/>
    </row>
    <row r="21" spans="1:16" s="101" customFormat="1">
      <c r="A21" s="103" t="s">
        <v>121</v>
      </c>
      <c r="B21" s="102" t="s">
        <v>122</v>
      </c>
      <c r="C21" s="102"/>
      <c r="D21" s="39">
        <f>((D19+D20)-(G6+G7))*24</f>
        <v>37.560277777898591</v>
      </c>
      <c r="E21" s="23">
        <f t="shared" ref="E21:I21" si="0">((E19+E20)-(D19+D20))*24</f>
        <v>64.835277777747251</v>
      </c>
      <c r="F21" s="23">
        <f t="shared" si="0"/>
        <v>21.291111111058854</v>
      </c>
      <c r="G21" s="23">
        <f t="shared" si="0"/>
        <v>16.536388888838701</v>
      </c>
      <c r="H21" s="23">
        <f t="shared" si="0"/>
        <v>16.536388889013324</v>
      </c>
      <c r="I21" s="23">
        <f t="shared" si="0"/>
        <v>16.536666666681413</v>
      </c>
      <c r="J21" s="23">
        <f t="shared" ref="J21" si="1">((J19+J20)-(I19+I20))*24</f>
        <v>16.536666666681413</v>
      </c>
      <c r="K21" s="23">
        <f t="shared" ref="K21:M21" si="2">((K19+K20)-(J19+J20))*24</f>
        <v>16.536388888838701</v>
      </c>
      <c r="L21" s="23">
        <f t="shared" si="2"/>
        <v>16.536388888838701</v>
      </c>
      <c r="M21" s="23">
        <f t="shared" si="2"/>
        <v>16.536388888838701</v>
      </c>
      <c r="P21" s="103"/>
    </row>
    <row r="22" spans="1:16" s="39" customFormat="1">
      <c r="A22" s="94" t="s">
        <v>951</v>
      </c>
      <c r="B22" s="39" t="s">
        <v>952</v>
      </c>
      <c r="D22" s="39">
        <f>D21</f>
        <v>37.560277777898591</v>
      </c>
      <c r="E22" s="39">
        <f>E21+D22-40</f>
        <v>62.395555555645842</v>
      </c>
      <c r="F22" s="39">
        <f t="shared" ref="F22:I22" si="3">F21+E22</f>
        <v>83.686666666704696</v>
      </c>
      <c r="G22" s="100">
        <f t="shared" si="3"/>
        <v>100.2230555555434</v>
      </c>
      <c r="H22" s="100">
        <f t="shared" si="3"/>
        <v>116.75944444455672</v>
      </c>
      <c r="I22" s="100">
        <f t="shared" si="3"/>
        <v>133.29611111123813</v>
      </c>
      <c r="J22" s="100">
        <f t="shared" ref="J22" si="4">J21+I22</f>
        <v>149.83277777791955</v>
      </c>
      <c r="K22" s="100">
        <f t="shared" ref="K22:M22" si="5">K21+J22</f>
        <v>166.36916666675825</v>
      </c>
      <c r="L22" s="100">
        <f t="shared" si="5"/>
        <v>182.90555555559695</v>
      </c>
      <c r="M22" s="100">
        <f t="shared" si="5"/>
        <v>199.44194444443565</v>
      </c>
      <c r="P22" s="94"/>
    </row>
    <row r="23" spans="1:16" s="85" customFormat="1">
      <c r="A23" s="153" t="s">
        <v>114</v>
      </c>
      <c r="B23" s="84" t="s">
        <v>115</v>
      </c>
      <c r="C23" s="84"/>
      <c r="D23" s="88" cm="1">
        <f t="array" ref="D23:M23">TRANSPOSE(_xlfn._xlws.FILTER('Raw Data'!F2:F505,('Raw Data'!B2:B505=5)*('Raw Data'!F2:F505&lt;&gt;"")))</f>
        <v>25.014500000000002</v>
      </c>
      <c r="E23" s="92">
        <v>25.008700000000001</v>
      </c>
      <c r="F23" s="92">
        <v>25.040500000000002</v>
      </c>
      <c r="G23" s="92">
        <v>25.020299999999999</v>
      </c>
      <c r="H23" s="92">
        <v>25.020299999999999</v>
      </c>
      <c r="I23" s="92">
        <v>24.995699999999999</v>
      </c>
      <c r="J23" s="92">
        <v>25.062200000000001</v>
      </c>
      <c r="K23" s="92">
        <v>25.044799999999999</v>
      </c>
      <c r="L23" s="92">
        <v>25.0535</v>
      </c>
      <c r="M23" s="84">
        <v>25.052099999999999</v>
      </c>
      <c r="P23" s="153"/>
    </row>
    <row r="24" spans="1:16" s="85" customFormat="1">
      <c r="A24" s="153" t="s">
        <v>953</v>
      </c>
      <c r="B24" s="84" t="s">
        <v>954</v>
      </c>
      <c r="C24" s="84"/>
      <c r="D24" s="92" cm="1">
        <f t="array" ref="D24:M24">TRANSPOSE(_xlfn._xlws.FILTER('Raw Data'!D2:D505,('Raw Data'!B2:B505=5)*('Raw Data'!D2:D505&lt;&gt;"")))</f>
        <v>210</v>
      </c>
      <c r="E24" s="92">
        <v>220</v>
      </c>
      <c r="F24" s="92">
        <v>220</v>
      </c>
      <c r="G24" s="92">
        <v>220</v>
      </c>
      <c r="H24" s="92">
        <v>215</v>
      </c>
      <c r="I24" s="92">
        <v>215</v>
      </c>
      <c r="J24" s="92">
        <v>210</v>
      </c>
      <c r="K24" s="92">
        <v>210</v>
      </c>
      <c r="L24" s="92">
        <v>205</v>
      </c>
      <c r="M24" s="84">
        <v>200</v>
      </c>
      <c r="P24" s="153"/>
    </row>
    <row r="25" spans="1:16" s="85" customFormat="1">
      <c r="A25" s="153" t="s">
        <v>56</v>
      </c>
      <c r="B25" s="84" t="s">
        <v>118</v>
      </c>
      <c r="C25" s="84"/>
      <c r="D25" s="90">
        <f t="shared" ref="D25:I25" si="6">D37/$D$7/2</f>
        <v>1.5572506755528706</v>
      </c>
      <c r="E25" s="90">
        <f t="shared" si="6"/>
        <v>1.5193670053349575</v>
      </c>
      <c r="F25" s="90">
        <f t="shared" si="6"/>
        <v>1.5370014685866644</v>
      </c>
      <c r="G25" s="90">
        <f t="shared" si="6"/>
        <v>1.5364680864036067</v>
      </c>
      <c r="H25" s="90">
        <f t="shared" si="6"/>
        <v>1.530449509609378</v>
      </c>
      <c r="I25" s="90">
        <f t="shared" si="6"/>
        <v>1.5083111141345675</v>
      </c>
      <c r="J25" s="90">
        <f t="shared" ref="J25:K25" si="7">J37/$D$7/2</f>
        <v>1.5389523636589726</v>
      </c>
      <c r="K25" s="90">
        <f t="shared" si="7"/>
        <v>1.5021512512873803</v>
      </c>
      <c r="L25" s="90">
        <f t="shared" ref="L25" si="8">L37/$D$7/2</f>
        <v>1.4671369354023278</v>
      </c>
      <c r="M25" s="84"/>
      <c r="P25" s="153"/>
    </row>
    <row r="26" spans="1:16" s="85" customFormat="1">
      <c r="A26" s="153" t="s">
        <v>119</v>
      </c>
      <c r="B26" s="84" t="s">
        <v>955</v>
      </c>
      <c r="C26" s="84"/>
      <c r="D26" s="88">
        <f>(D35/2)/(D37/$D$6)</f>
        <v>3.9401359735105697</v>
      </c>
      <c r="E26" s="88">
        <f t="shared" ref="E26:F26" si="9">(E35/2)/(E37/$D$6)</f>
        <v>3.3469118064344645</v>
      </c>
      <c r="F26" s="88">
        <f t="shared" si="9"/>
        <v>3.3252456996867887</v>
      </c>
      <c r="G26" s="88">
        <f t="shared" ref="G26:H26" si="10">(G35/2)/(G37/$D$6)</f>
        <v>3.3695440167878119</v>
      </c>
      <c r="H26" s="88">
        <f t="shared" si="10"/>
        <v>3.375207789318083</v>
      </c>
      <c r="I26" s="88">
        <f t="shared" ref="I26:K26" si="11">(I35/2)/(I37/$D$6)</f>
        <v>3.4241398020873466</v>
      </c>
      <c r="J26" s="88">
        <f t="shared" si="11"/>
        <v>3.3794184197837214</v>
      </c>
      <c r="K26" s="88">
        <f t="shared" si="11"/>
        <v>3.4496402319899571</v>
      </c>
      <c r="L26" s="88">
        <f t="shared" ref="L26" si="12">(L35/2)/(L37/$D$6)</f>
        <v>4.2388804746053834</v>
      </c>
      <c r="M26" s="84"/>
      <c r="P26" s="153"/>
    </row>
    <row r="27" spans="1:16">
      <c r="A27" s="22" t="s">
        <v>956</v>
      </c>
      <c r="B27" s="2" t="s">
        <v>130</v>
      </c>
      <c r="D27" s="2">
        <v>3.2</v>
      </c>
      <c r="E27" s="2">
        <v>3.2</v>
      </c>
      <c r="F27" s="2">
        <v>3.2</v>
      </c>
      <c r="G27" s="2">
        <v>3.2</v>
      </c>
      <c r="H27" s="2">
        <v>3.2</v>
      </c>
      <c r="I27" s="2">
        <v>3.2</v>
      </c>
      <c r="J27" s="2">
        <v>3.2</v>
      </c>
      <c r="K27" s="2">
        <v>3.2</v>
      </c>
      <c r="L27" s="2">
        <v>3.2</v>
      </c>
    </row>
    <row r="28" spans="1:16" s="79" customFormat="1">
      <c r="A28" s="111" t="s">
        <v>957</v>
      </c>
      <c r="B28" s="23" t="s">
        <v>958</v>
      </c>
      <c r="C28" s="23"/>
      <c r="D28" s="23" cm="1">
        <f t="array" ref="D28:M28">TRANSPOSE(_xlfn._xlws.FILTER('Raw Data'!AJ2:AJ505,('Raw Data'!B2:B505=5)*('Raw Data'!AJ2:AJ505&lt;&gt;"")))</f>
        <v>36.943990999999997</v>
      </c>
      <c r="E28" s="23">
        <v>32.704844000000001</v>
      </c>
      <c r="F28" s="23">
        <v>32.777697000000003</v>
      </c>
      <c r="G28" s="23">
        <v>33.065237000000003</v>
      </c>
      <c r="H28" s="23">
        <v>33.052129999999998</v>
      </c>
      <c r="I28" s="23">
        <v>33.093722</v>
      </c>
      <c r="J28" s="23">
        <v>33.199140999999997</v>
      </c>
      <c r="K28" s="23">
        <v>33.197778</v>
      </c>
      <c r="L28" s="23">
        <v>37.452865000000003</v>
      </c>
      <c r="M28" s="23">
        <v>36.844366000000001</v>
      </c>
      <c r="P28" s="111"/>
    </row>
    <row r="29" spans="1:16" s="97" customFormat="1">
      <c r="A29" s="112" t="s">
        <v>956</v>
      </c>
      <c r="B29" s="26" t="s">
        <v>958</v>
      </c>
      <c r="C29" s="26"/>
      <c r="D29" s="23" cm="1">
        <f t="array" ref="D29:M29">TRANSPOSE(_xlfn._xlws.FILTER('Raw Data'!AN2:AN505,('Raw Data'!B2:B505=5)*('Raw Data'!AN2:AN505&lt;&gt;"")))</f>
        <v>53.630201</v>
      </c>
      <c r="E29" s="26">
        <v>57.291052000000001</v>
      </c>
      <c r="F29" s="26">
        <v>57.129719000000001</v>
      </c>
      <c r="G29" s="26">
        <v>56.892974000000002</v>
      </c>
      <c r="H29" s="26">
        <v>56.998260999999999</v>
      </c>
      <c r="I29" s="26">
        <v>57.080119000000003</v>
      </c>
      <c r="J29" s="26">
        <v>56.864519999999999</v>
      </c>
      <c r="K29" s="26">
        <v>57.069389000000001</v>
      </c>
      <c r="L29" s="26">
        <v>53.646932999999997</v>
      </c>
      <c r="M29" s="26">
        <v>64.065977000000004</v>
      </c>
      <c r="P29" s="112"/>
    </row>
    <row r="30" spans="1:16">
      <c r="A30" s="22" t="s">
        <v>959</v>
      </c>
      <c r="B30" s="2" t="s">
        <v>958</v>
      </c>
      <c r="D30" s="26">
        <f t="shared" ref="D30:G30" si="13">100-D29-D28</f>
        <v>9.4258080000000035</v>
      </c>
      <c r="E30" s="26">
        <f t="shared" si="13"/>
        <v>10.004103999999998</v>
      </c>
      <c r="F30" s="26">
        <f t="shared" si="13"/>
        <v>10.092583999999995</v>
      </c>
      <c r="G30" s="26">
        <f t="shared" si="13"/>
        <v>10.041788999999994</v>
      </c>
      <c r="H30" s="26">
        <f t="shared" ref="H30:I30" si="14">100-H29-H28</f>
        <v>9.9496090000000024</v>
      </c>
      <c r="I30" s="26">
        <f t="shared" si="14"/>
        <v>9.826158999999997</v>
      </c>
      <c r="J30" s="26">
        <f t="shared" ref="J30:L30" si="15">100-J29-J28</f>
        <v>9.9363390000000038</v>
      </c>
      <c r="K30" s="26">
        <f t="shared" si="15"/>
        <v>9.7328329999999994</v>
      </c>
      <c r="L30" s="26">
        <f t="shared" si="15"/>
        <v>8.9002020000000002</v>
      </c>
    </row>
    <row r="31" spans="1:16">
      <c r="A31" s="22" t="s">
        <v>81</v>
      </c>
      <c r="B31" s="2" t="s">
        <v>958</v>
      </c>
      <c r="D31" s="2">
        <f t="shared" ref="D31:G31" si="16">SUM(D28:D30)</f>
        <v>100</v>
      </c>
      <c r="E31" s="2">
        <f t="shared" si="16"/>
        <v>100</v>
      </c>
      <c r="F31" s="2">
        <f t="shared" si="16"/>
        <v>100</v>
      </c>
      <c r="G31" s="2">
        <f t="shared" si="16"/>
        <v>100</v>
      </c>
      <c r="H31" s="2">
        <f t="shared" ref="H31:I31" si="17">SUM(H28:H30)</f>
        <v>100</v>
      </c>
      <c r="I31" s="2">
        <f t="shared" si="17"/>
        <v>100</v>
      </c>
      <c r="J31" s="2">
        <f t="shared" ref="J31:M31" si="18">SUM(J28:J30)</f>
        <v>100</v>
      </c>
      <c r="K31" s="2">
        <f t="shared" si="18"/>
        <v>100</v>
      </c>
      <c r="L31" s="39">
        <f t="shared" si="18"/>
        <v>100</v>
      </c>
      <c r="M31" s="39">
        <f t="shared" si="18"/>
        <v>100.91034300000001</v>
      </c>
    </row>
    <row r="32" spans="1:16" s="26" customFormat="1">
      <c r="A32" s="112" t="s">
        <v>650</v>
      </c>
      <c r="B32" s="96" t="s">
        <v>89</v>
      </c>
      <c r="C32" s="96"/>
      <c r="D32" s="23" cm="1">
        <f t="array" ref="D32:M32">TRANSPOSE(_xlfn._xlws.FILTER('Raw Data'!CP2:CP505,('Raw Data'!B2:B505=5)*('Raw Data'!CP2:CP505&lt;&gt;"")))</f>
        <v>88.617660999999998</v>
      </c>
      <c r="E32" s="26">
        <v>87.079734999999999</v>
      </c>
      <c r="F32" s="26">
        <v>87.073441000000003</v>
      </c>
      <c r="G32" s="26">
        <v>87.087424999999996</v>
      </c>
      <c r="H32" s="26">
        <v>87.697624000000005</v>
      </c>
      <c r="I32" s="26">
        <v>87.644203000000005</v>
      </c>
      <c r="J32" s="26">
        <v>88.088607999999994</v>
      </c>
      <c r="K32" s="26">
        <v>88.095398000000003</v>
      </c>
      <c r="L32" s="26">
        <v>88.441581999999997</v>
      </c>
      <c r="M32" s="26">
        <v>65.335471999999996</v>
      </c>
      <c r="P32" s="112"/>
    </row>
    <row r="33" spans="1:27" s="23" customFormat="1">
      <c r="A33" s="111" t="s">
        <v>960</v>
      </c>
      <c r="B33" s="23" t="s">
        <v>8</v>
      </c>
      <c r="D33" s="23">
        <f t="shared" ref="D33:I33" si="19">SUMPRODUCT($C$42:$C$77,D42:D77)</f>
        <v>83.759679036500003</v>
      </c>
      <c r="E33" s="23">
        <f t="shared" si="19"/>
        <v>83.697751887099997</v>
      </c>
      <c r="F33" s="23">
        <f t="shared" si="19"/>
        <v>83.696614627299994</v>
      </c>
      <c r="G33" s="23">
        <f t="shared" si="19"/>
        <v>83.728872120700018</v>
      </c>
      <c r="H33" s="23">
        <f t="shared" si="19"/>
        <v>83.742586897500004</v>
      </c>
      <c r="I33" s="23">
        <f t="shared" si="19"/>
        <v>83.739125142100008</v>
      </c>
      <c r="J33" s="23">
        <f t="shared" ref="J33:K33" si="20">SUMPRODUCT($C$42:$C$77,J42:J77)</f>
        <v>83.749073077999995</v>
      </c>
      <c r="K33" s="23">
        <f t="shared" si="20"/>
        <v>83.74984170350001</v>
      </c>
      <c r="L33" s="23">
        <f t="shared" ref="L33" si="21">SUMPRODUCT($C$42:$C$77,L42:L77)</f>
        <v>83.756550887700001</v>
      </c>
      <c r="P33" s="111"/>
    </row>
    <row r="34" spans="1:27" s="23" customFormat="1">
      <c r="A34" s="111" t="s">
        <v>961</v>
      </c>
      <c r="B34" s="23" t="s">
        <v>8</v>
      </c>
      <c r="D34" s="23">
        <f>100-D33</f>
        <v>16.240320963499997</v>
      </c>
      <c r="E34" s="23">
        <f t="shared" ref="E34" si="22">100-E33</f>
        <v>16.302248112900003</v>
      </c>
      <c r="F34" s="23">
        <f t="shared" ref="F34:G34" si="23">100-F33</f>
        <v>16.303385372700006</v>
      </c>
      <c r="G34" s="23">
        <f t="shared" si="23"/>
        <v>16.271127879299982</v>
      </c>
      <c r="H34" s="23">
        <f t="shared" ref="H34:I34" si="24">100-H33</f>
        <v>16.257413102499996</v>
      </c>
      <c r="I34" s="23">
        <f t="shared" si="24"/>
        <v>16.260874857899992</v>
      </c>
      <c r="J34" s="23">
        <f t="shared" ref="J34:K34" si="25">100-J33</f>
        <v>16.250926922000005</v>
      </c>
      <c r="K34" s="23">
        <f t="shared" si="25"/>
        <v>16.25015829649999</v>
      </c>
      <c r="L34" s="23">
        <f t="shared" ref="L34" si="26">100-L33</f>
        <v>16.243449112299999</v>
      </c>
      <c r="P34" s="111"/>
    </row>
    <row r="35" spans="1:27">
      <c r="A35" s="22" t="s">
        <v>957</v>
      </c>
      <c r="B35" s="2" t="s">
        <v>110</v>
      </c>
      <c r="D35" s="95">
        <f>(D27/(D29/100))*(D28/100)*(273/293)*(2/22.4)</f>
        <v>0.18338396877912219</v>
      </c>
      <c r="E35" s="95">
        <f t="shared" ref="E35:G35" si="27">(E27/(E29/100))*(E28/100)*(0.0416)*2</f>
        <v>0.15198425168663338</v>
      </c>
      <c r="F35" s="95">
        <f t="shared" si="27"/>
        <v>0.15275296644256209</v>
      </c>
      <c r="G35" s="95">
        <f t="shared" si="27"/>
        <v>0.15473419791484269</v>
      </c>
      <c r="H35" s="95">
        <f t="shared" ref="H35:I35" si="28">(H27/(H29/100))*(H28/100)*(0.0416)*2</f>
        <v>0.15438715035885045</v>
      </c>
      <c r="I35" s="95">
        <f t="shared" si="28"/>
        <v>0.15435974380642056</v>
      </c>
      <c r="J35" s="95">
        <f t="shared" ref="J35:K35" si="29">(J27/(J29/100))*(J28/100)*(0.0416)*2</f>
        <v>0.15543856344588858</v>
      </c>
      <c r="K35" s="95">
        <f t="shared" si="29"/>
        <v>0.15487420786509559</v>
      </c>
      <c r="L35" s="95">
        <f t="shared" ref="L35" si="30">(L27/(L29/100))*(L28/100)*(0.0416)*2</f>
        <v>0.18587177719181081</v>
      </c>
    </row>
    <row r="36" spans="1:27">
      <c r="A36" s="22" t="s">
        <v>959</v>
      </c>
      <c r="B36" s="2" t="s">
        <v>110</v>
      </c>
      <c r="D36" s="23">
        <f>(D27/(D29/100))*(D30/100)*(273/293)*(D32/22.4)</f>
        <v>2.0731295120333475</v>
      </c>
      <c r="E36" s="23">
        <f t="shared" ref="E36:G36" si="31">(E27/(E29/100))*(E30/100)*(0.0416)*(E32)</f>
        <v>2.0241924868641337</v>
      </c>
      <c r="F36" s="23">
        <f t="shared" ref="F36" si="32">(F27/(F29/100))*(F30/100)*(0.0416)*(F32)</f>
        <v>2.0477140075637461</v>
      </c>
      <c r="G36" s="23">
        <f t="shared" si="31"/>
        <v>2.0462147627791536</v>
      </c>
      <c r="H36" s="23">
        <f t="shared" ref="H36:I36" si="33">(H27/(H29/100))*(H30/100)*(0.0416)*(H32)</f>
        <v>2.0378656294293376</v>
      </c>
      <c r="I36" s="23">
        <f t="shared" si="33"/>
        <v>2.008470339051458</v>
      </c>
      <c r="J36" s="23">
        <f t="shared" ref="J36:K36" si="34">(J27/(J29/100))*(J30/100)*(0.0416)*(J32)</f>
        <v>2.0490288751634247</v>
      </c>
      <c r="K36" s="23">
        <f t="shared" si="34"/>
        <v>2.0000118997305774</v>
      </c>
      <c r="L36" s="23">
        <f t="shared" ref="L36" si="35">(L27/(L29/100))*(L30/100)*(0.0416)*(L32)</f>
        <v>1.9532362537545618</v>
      </c>
    </row>
    <row r="37" spans="1:27">
      <c r="A37" s="22" t="s">
        <v>962</v>
      </c>
      <c r="B37" s="2" t="s">
        <v>110</v>
      </c>
      <c r="D37" s="23">
        <f t="shared" ref="D37:I37" si="36">(D36*D33)/($D$2)</f>
        <v>2.0711433984853178</v>
      </c>
      <c r="E37" s="23">
        <f t="shared" si="36"/>
        <v>2.0207581170954936</v>
      </c>
      <c r="F37" s="23">
        <f t="shared" si="36"/>
        <v>2.0442119532202638</v>
      </c>
      <c r="G37" s="23">
        <f t="shared" si="36"/>
        <v>2.0435025549167971</v>
      </c>
      <c r="H37" s="23">
        <f t="shared" si="36"/>
        <v>2.0354978477804728</v>
      </c>
      <c r="I37" s="23">
        <f t="shared" si="36"/>
        <v>2.006053781798975</v>
      </c>
      <c r="J37" s="23">
        <f t="shared" ref="J37:K37" si="37">(J36*J33)/($D$2)</f>
        <v>2.0468066436664336</v>
      </c>
      <c r="K37" s="23">
        <f t="shared" si="37"/>
        <v>1.9978611642122157</v>
      </c>
      <c r="L37" s="23">
        <f t="shared" ref="L37" si="38">(L36*L33)/($D$2)</f>
        <v>1.9512921240850962</v>
      </c>
    </row>
    <row r="38" spans="1:27">
      <c r="A38" s="22" t="s">
        <v>963</v>
      </c>
      <c r="B38" s="2" t="s">
        <v>964</v>
      </c>
      <c r="D38" s="23">
        <f>D36/D35</f>
        <v>11.304856830371795</v>
      </c>
      <c r="E38" s="23">
        <f t="shared" ref="E38:G38" si="39">(E30*E32)/(E28*2)</f>
        <v>13.318435722127886</v>
      </c>
      <c r="F38" s="23">
        <f t="shared" si="39"/>
        <v>13.405396014575757</v>
      </c>
      <c r="G38" s="23">
        <f t="shared" si="39"/>
        <v>13.22406287913987</v>
      </c>
      <c r="H38" s="23">
        <f t="shared" ref="H38:I38" si="40">(H30*H32)/(H28*2)</f>
        <v>13.199710109893315</v>
      </c>
      <c r="I38" s="23">
        <f t="shared" si="40"/>
        <v>13.011620060540134</v>
      </c>
      <c r="J38" s="23">
        <f t="shared" ref="J38:K38" si="41">(J30*J32)/(J28*2)</f>
        <v>13.182242744264261</v>
      </c>
      <c r="K38" s="23">
        <f t="shared" si="41"/>
        <v>12.913782916473114</v>
      </c>
      <c r="L38" s="23">
        <f t="shared" ref="L38" si="42">(L30*L32)/(L28*2)</f>
        <v>10.508514435405194</v>
      </c>
    </row>
    <row r="39" spans="1:27" s="91" customFormat="1">
      <c r="A39" s="94" t="s">
        <v>965</v>
      </c>
      <c r="B39" s="93" t="s">
        <v>89</v>
      </c>
      <c r="C39" s="93"/>
      <c r="D39" s="23" cm="1">
        <f t="array" ref="D39:M39">TRANSPOSE(_xlfn._xlws.FILTER('Raw Data'!CO2:CO505,('Raw Data'!B2:B505=5)*('Raw Data'!CO2:CO505&lt;&gt;"")))</f>
        <v>42.239913999999999</v>
      </c>
      <c r="E39" s="39">
        <v>45.756011999999998</v>
      </c>
      <c r="F39" s="39">
        <v>45.731181999999997</v>
      </c>
      <c r="G39" s="39">
        <v>45.640208999999999</v>
      </c>
      <c r="H39" s="39">
        <v>44.206524000000002</v>
      </c>
      <c r="I39" s="39">
        <v>44.234703000000003</v>
      </c>
      <c r="J39" s="39">
        <v>43.171337000000001</v>
      </c>
      <c r="K39" s="39">
        <v>43.165585</v>
      </c>
      <c r="L39" s="39">
        <v>42.338138999999998</v>
      </c>
      <c r="M39" s="39">
        <v>86.230721000000003</v>
      </c>
      <c r="P39" s="94"/>
    </row>
    <row r="40" spans="1:27" s="91" customFormat="1">
      <c r="A40" s="94" t="s">
        <v>966</v>
      </c>
      <c r="B40" s="93" t="s">
        <v>89</v>
      </c>
      <c r="C40" s="93"/>
      <c r="D40" s="73" cm="1">
        <f t="array" ref="D40:M40">TRANSPOSE(_xlfn._xlws.FILTER('Raw Data'!CQ2:CQ506,('Raw Data'!B2:B506=5)*('Raw Data'!CQ2:CQ506&lt;&gt;"")))</f>
        <v>0.66390700000000002</v>
      </c>
      <c r="E40" s="73">
        <v>0.65307899999999997</v>
      </c>
      <c r="F40" s="73">
        <v>0.65307899999999997</v>
      </c>
      <c r="G40" s="73">
        <v>0.65391500000000002</v>
      </c>
      <c r="H40" s="73">
        <v>0.65660099999999999</v>
      </c>
      <c r="I40" s="73">
        <v>0.656331</v>
      </c>
      <c r="J40" s="73">
        <v>0.66159199999999996</v>
      </c>
      <c r="K40" s="73">
        <v>0.66295099999999996</v>
      </c>
      <c r="L40" s="73">
        <v>0.66264699999999999</v>
      </c>
      <c r="M40" s="73">
        <v>0.59324600000000005</v>
      </c>
      <c r="P40" s="94"/>
    </row>
    <row r="41" spans="1:27" s="133" customFormat="1">
      <c r="A41" s="134"/>
      <c r="B41" s="131"/>
      <c r="C41" s="131" t="s">
        <v>651</v>
      </c>
      <c r="D41" s="135"/>
      <c r="E41" s="135"/>
      <c r="F41" s="135"/>
      <c r="G41" s="135"/>
      <c r="H41" s="135"/>
      <c r="I41" s="135"/>
      <c r="J41" s="135"/>
      <c r="K41" s="135"/>
      <c r="L41" s="135"/>
      <c r="M41" s="131"/>
      <c r="P41" s="134"/>
    </row>
    <row r="42" spans="1:27" s="2" customFormat="1" ht="18.75" customHeight="1">
      <c r="A42" s="38" t="s">
        <v>9</v>
      </c>
      <c r="B42" s="2" t="s">
        <v>8</v>
      </c>
      <c r="C42" s="95">
        <f>Reactor1!C42</f>
        <v>0.749</v>
      </c>
      <c r="D42" s="23" cm="1">
        <f t="array" ref="D42:M42">TRANSPOSE(_xlfn._xlws.FILTER('Raw Data'!BB2:BB505,('Raw Data'!B2:B505=5)*('Raw Data'!BB2:BB505&lt;&gt;"")))</f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P42" s="22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s="2" customFormat="1">
      <c r="A43" s="38" t="s">
        <v>10</v>
      </c>
      <c r="B43" s="2" t="s">
        <v>8</v>
      </c>
      <c r="C43" s="95">
        <f>Reactor1!C43</f>
        <v>0.79900000000000004</v>
      </c>
      <c r="D43" s="23" cm="1">
        <f t="array" ref="D43:M43">TRANSPOSE(_xlfn._xlws.FILTER('Raw Data'!BC2:BC505,('Raw Data'!B2:B505=5)*('Raw Data'!BC2:BC505&lt;&gt;"")))</f>
        <v>0</v>
      </c>
      <c r="E43" s="26">
        <v>0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P43" s="22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spans="1:27" s="2" customFormat="1">
      <c r="A44" s="38" t="s">
        <v>11</v>
      </c>
      <c r="B44" s="2" t="s">
        <v>8</v>
      </c>
      <c r="C44" s="95">
        <f>Reactor1!C44</f>
        <v>0.81699999999999995</v>
      </c>
      <c r="D44" s="23" cm="1">
        <f t="array" ref="D44:M44">TRANSPOSE(_xlfn._xlws.FILTER('Raw Data'!BD2:BD505,('Raw Data'!B2:B505=5)*('Raw Data'!BD2:BD505&lt;&gt;"")))</f>
        <v>0.20530100000000001</v>
      </c>
      <c r="E44" s="26">
        <v>0.50204700000000002</v>
      </c>
      <c r="F44" s="26">
        <v>0.486205</v>
      </c>
      <c r="G44" s="26">
        <v>0.48176400000000003</v>
      </c>
      <c r="H44" s="26">
        <v>0.33291199999999999</v>
      </c>
      <c r="I44" s="26">
        <v>0.33854299999999998</v>
      </c>
      <c r="J44" s="26">
        <v>0.23330400000000001</v>
      </c>
      <c r="K44" s="26">
        <v>0.23669899999999999</v>
      </c>
      <c r="L44" s="26">
        <v>0.161879</v>
      </c>
      <c r="M44" s="26">
        <v>12.739031000000001</v>
      </c>
      <c r="P44" s="22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s="2" customFormat="1">
      <c r="A45" s="38" t="s">
        <v>12</v>
      </c>
      <c r="B45" s="2" t="s">
        <v>8</v>
      </c>
      <c r="C45" s="95">
        <f>Reactor1!C45</f>
        <v>0.82599999999999996</v>
      </c>
      <c r="D45" s="23" cm="1">
        <f t="array" ref="D45:M45">TRANSPOSE(_xlfn._xlws.FILTER('Raw Data'!BE2:BE505,('Raw Data'!B2:B505=5)*('Raw Data'!BE2:BE505&lt;&gt;"")))</f>
        <v>1.7189350000000001</v>
      </c>
      <c r="E45" s="26">
        <v>1.9721329999999999</v>
      </c>
      <c r="F45" s="26">
        <v>1.962801</v>
      </c>
      <c r="G45" s="26">
        <v>1.9520850000000001</v>
      </c>
      <c r="H45" s="26">
        <v>1.8208690000000001</v>
      </c>
      <c r="I45" s="26">
        <v>1.8248770000000001</v>
      </c>
      <c r="J45" s="26">
        <v>1.7401489999999999</v>
      </c>
      <c r="K45" s="26">
        <v>1.7166650000000001</v>
      </c>
      <c r="L45" s="26">
        <v>1.6556660000000001</v>
      </c>
      <c r="M45" s="26">
        <v>4.8509929999999999</v>
      </c>
      <c r="P45" s="22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spans="1:27" s="2" customFormat="1">
      <c r="A46" s="38" t="s">
        <v>13</v>
      </c>
      <c r="B46" s="2" t="s">
        <v>8</v>
      </c>
      <c r="C46" s="95">
        <f>Reactor1!C46</f>
        <v>0.82599999999999996</v>
      </c>
      <c r="D46" s="23" cm="1">
        <f t="array" ref="D46:M46">TRANSPOSE(_xlfn._xlws.FILTER('Raw Data'!BF2:BF505,('Raw Data'!B2:B505=5)*('Raw Data'!BF2:BF505&lt;&gt;"")))</f>
        <v>0.87150300000000003</v>
      </c>
      <c r="E46" s="26">
        <v>1.807091</v>
      </c>
      <c r="F46" s="26">
        <v>1.8168169999999999</v>
      </c>
      <c r="G46" s="26">
        <v>1.824724</v>
      </c>
      <c r="H46" s="26">
        <v>1.3522000000000001</v>
      </c>
      <c r="I46" s="26">
        <v>1.385491</v>
      </c>
      <c r="J46" s="26">
        <v>1.0304930000000001</v>
      </c>
      <c r="K46" s="26">
        <v>1.0431330000000001</v>
      </c>
      <c r="L46" s="26">
        <v>0.76827000000000001</v>
      </c>
      <c r="M46" s="26">
        <v>31.930323000000001</v>
      </c>
      <c r="P46" s="22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s="2" customFormat="1">
      <c r="A47" s="38" t="s">
        <v>14</v>
      </c>
      <c r="B47" s="2" t="s">
        <v>8</v>
      </c>
      <c r="C47" s="95">
        <f>Reactor1!C47</f>
        <v>0.83299999999999996</v>
      </c>
      <c r="D47" s="23" cm="1">
        <f t="array" ref="D47:M47">TRANSPOSE(_xlfn._xlws.FILTER('Raw Data'!BG2:BG505,('Raw Data'!B2:B505=5)*('Raw Data'!BG2:BG505&lt;&gt;"")))</f>
        <v>12.507391</v>
      </c>
      <c r="E47" s="26">
        <v>12.759406999999999</v>
      </c>
      <c r="F47" s="26">
        <v>12.788983</v>
      </c>
      <c r="G47" s="26">
        <v>12.767789</v>
      </c>
      <c r="H47" s="26">
        <v>12.768618999999999</v>
      </c>
      <c r="I47" s="26">
        <v>12.783758000000001</v>
      </c>
      <c r="J47" s="26">
        <v>12.771127</v>
      </c>
      <c r="K47" s="26">
        <v>12.755369999999999</v>
      </c>
      <c r="L47" s="26">
        <v>12.756883999999999</v>
      </c>
      <c r="M47" s="26">
        <v>5.2505129999999998</v>
      </c>
      <c r="P47" s="22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spans="1:27" s="2" customFormat="1">
      <c r="A48" s="38" t="s">
        <v>15</v>
      </c>
      <c r="B48" s="2" t="s">
        <v>8</v>
      </c>
      <c r="C48" s="95">
        <f>Reactor1!C48</f>
        <v>0.83299999999999996</v>
      </c>
      <c r="D48" s="23" cm="1">
        <f t="array" ref="D48:M48">TRANSPOSE(_xlfn._xlws.FILTER('Raw Data'!BH2:BH505,('Raw Data'!B2:B505=5)*('Raw Data'!BH2:BH505&lt;&gt;"")))</f>
        <v>7.7711880000000004</v>
      </c>
      <c r="E48" s="26">
        <v>8.3593519999999994</v>
      </c>
      <c r="F48" s="26">
        <v>8.3730460000000004</v>
      </c>
      <c r="G48" s="26">
        <v>8.3507719999999992</v>
      </c>
      <c r="H48" s="26">
        <v>8.0782159999999994</v>
      </c>
      <c r="I48" s="26">
        <v>8.0975579999999994</v>
      </c>
      <c r="J48" s="26">
        <v>7.8990119999999999</v>
      </c>
      <c r="K48" s="26">
        <v>7.8782909999999999</v>
      </c>
      <c r="L48" s="26">
        <v>7.7316539999999998</v>
      </c>
      <c r="M48" s="26">
        <v>12.840951</v>
      </c>
      <c r="P48" s="22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s="2" customFormat="1">
      <c r="A49" s="38" t="s">
        <v>16</v>
      </c>
      <c r="B49" s="2" t="s">
        <v>8</v>
      </c>
      <c r="C49" s="95">
        <f>Reactor1!C49</f>
        <v>0.85699999999999998</v>
      </c>
      <c r="D49" s="23" cm="1">
        <f t="array" ref="D49:M49">TRANSPOSE(_xlfn._xlws.FILTER('Raw Data'!BI2:BI505,('Raw Data'!B2:B505=5)*('Raw Data'!BI2:BI505&lt;&gt;"")))</f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P49" s="22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spans="1:27" s="2" customFormat="1">
      <c r="A50" s="38" t="s">
        <v>17</v>
      </c>
      <c r="B50" s="2" t="s">
        <v>8</v>
      </c>
      <c r="C50" s="95">
        <f>Reactor1!C50</f>
        <v>0.83699999999999997</v>
      </c>
      <c r="D50" s="23" cm="1">
        <f t="array" ref="D50:M50">TRANSPOSE(_xlfn._xlws.FILTER('Raw Data'!BJ2:BJ505,('Raw Data'!B2:B505=5)*('Raw Data'!BJ2:BJ505&lt;&gt;"")))</f>
        <v>17.251335000000001</v>
      </c>
      <c r="E50" s="26">
        <v>17.002029</v>
      </c>
      <c r="F50" s="26">
        <v>17.023859000000002</v>
      </c>
      <c r="G50" s="26">
        <v>17.056362</v>
      </c>
      <c r="H50" s="26">
        <v>17.269648</v>
      </c>
      <c r="I50" s="26">
        <v>17.328731999999999</v>
      </c>
      <c r="J50" s="26">
        <v>17.494005000000001</v>
      </c>
      <c r="K50" s="95">
        <v>17.510548</v>
      </c>
      <c r="L50" s="26">
        <v>17.608498000000001</v>
      </c>
      <c r="M50" s="26">
        <v>9.1689150000000001</v>
      </c>
      <c r="P50" s="22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s="2" customFormat="1">
      <c r="A51" s="38" t="s">
        <v>18</v>
      </c>
      <c r="B51" s="2" t="s">
        <v>8</v>
      </c>
      <c r="C51" s="95">
        <f>Reactor1!C51</f>
        <v>0.83699999999999997</v>
      </c>
      <c r="D51" s="23" cm="1">
        <f t="array" ref="D51:M51">TRANSPOSE(_xlfn._xlws.FILTER('Raw Data'!BK2:BK505,('Raw Data'!B2:B505=5)*('Raw Data'!BK2:BK505&lt;&gt;"")))</f>
        <v>7.6537699999999997</v>
      </c>
      <c r="E51" s="26">
        <v>7.5097849999999999</v>
      </c>
      <c r="F51" s="26">
        <v>7.5054069999999999</v>
      </c>
      <c r="G51" s="26">
        <v>7.4927849999999996</v>
      </c>
      <c r="H51" s="26">
        <v>7.5638420000000002</v>
      </c>
      <c r="I51" s="26">
        <v>7.5681200000000004</v>
      </c>
      <c r="J51" s="26">
        <v>7.6528970000000003</v>
      </c>
      <c r="K51" s="26">
        <v>7.6447839999999996</v>
      </c>
      <c r="L51" s="26">
        <v>7.7369849999999998</v>
      </c>
      <c r="M51" s="26">
        <v>6.2254199999999997</v>
      </c>
      <c r="P51" s="22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spans="1:27" s="2" customFormat="1">
      <c r="A52" s="38" t="s">
        <v>19</v>
      </c>
      <c r="B52" s="2" t="s">
        <v>8</v>
      </c>
      <c r="C52" s="95">
        <f>Reactor1!C52</f>
        <v>0.83699999999999997</v>
      </c>
      <c r="D52" s="23" cm="1">
        <f t="array" ref="D52:M52">TRANSPOSE(_xlfn._xlws.FILTER('Raw Data'!BL2:BL505,('Raw Data'!B2:B505=5)*('Raw Data'!BL2:BL505&lt;&gt;"")))</f>
        <v>3.8489819999999999</v>
      </c>
      <c r="E52" s="26">
        <v>4.1870120000000002</v>
      </c>
      <c r="F52" s="26">
        <v>4.1823069999999998</v>
      </c>
      <c r="G52" s="26">
        <v>4.1701889999999997</v>
      </c>
      <c r="H52" s="26">
        <v>4.053426</v>
      </c>
      <c r="I52" s="26">
        <v>4.0542600000000002</v>
      </c>
      <c r="J52" s="26">
        <v>3.9632679999999998</v>
      </c>
      <c r="K52" s="26">
        <v>3.9730919999999998</v>
      </c>
      <c r="L52" s="26">
        <v>3.8904160000000001</v>
      </c>
      <c r="M52" s="26">
        <v>3.6779929999999998</v>
      </c>
      <c r="P52" s="22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s="2" customFormat="1">
      <c r="A53" s="38" t="s">
        <v>20</v>
      </c>
      <c r="B53" s="2" t="s">
        <v>8</v>
      </c>
      <c r="C53" s="95">
        <f>Reactor1!C53</f>
        <v>0.83699999999999997</v>
      </c>
      <c r="D53" s="23" cm="1">
        <f t="array" ref="D53:M53">TRANSPOSE(_xlfn._xlws.FILTER('Raw Data'!BM2:BM505,('Raw Data'!B2:B505=5)*('Raw Data'!BM2:BM505&lt;&gt;"")))</f>
        <v>0.91143300000000005</v>
      </c>
      <c r="E53" s="26">
        <v>1.254753</v>
      </c>
      <c r="F53" s="26">
        <v>1.276934</v>
      </c>
      <c r="G53" s="26">
        <v>1.2880940000000001</v>
      </c>
      <c r="H53" s="26">
        <v>1.162771</v>
      </c>
      <c r="I53" s="26">
        <v>1.1794370000000001</v>
      </c>
      <c r="J53" s="26">
        <v>1.0685439999999999</v>
      </c>
      <c r="K53" s="26">
        <v>1.080382</v>
      </c>
      <c r="L53" s="26">
        <v>0.96792</v>
      </c>
      <c r="M53" s="26">
        <v>1.8449340000000001</v>
      </c>
      <c r="P53" s="22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spans="1:27" s="2" customFormat="1">
      <c r="A54" s="38" t="s">
        <v>75</v>
      </c>
      <c r="B54" s="2" t="s">
        <v>8</v>
      </c>
      <c r="C54" s="95">
        <f>Reactor1!C54</f>
        <v>0.83699999999999997</v>
      </c>
      <c r="D54" s="23" cm="1">
        <f t="array" ref="D54:M54">TRANSPOSE(_xlfn._xlws.FILTER('Raw Data'!BN2:BN505,('Raw Data'!B2:B505=5)*('Raw Data'!BN2:BN505&lt;&gt;"")))</f>
        <v>7.6337000000000002E-2</v>
      </c>
      <c r="E54" s="26">
        <v>0.182611</v>
      </c>
      <c r="F54" s="26">
        <v>0.176839</v>
      </c>
      <c r="G54" s="26">
        <v>0.170186</v>
      </c>
      <c r="H54" s="26">
        <v>0.12157800000000001</v>
      </c>
      <c r="I54" s="26">
        <v>0.11806</v>
      </c>
      <c r="J54" s="26">
        <v>8.4889999999999993E-2</v>
      </c>
      <c r="K54" s="26">
        <v>8.6036000000000001E-2</v>
      </c>
      <c r="L54" s="26">
        <v>6.2463999999999999E-2</v>
      </c>
      <c r="M54" s="26">
        <v>1.38008</v>
      </c>
      <c r="P54" s="22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s="2" customFormat="1">
      <c r="A55" s="38" t="s">
        <v>22</v>
      </c>
      <c r="B55" s="2" t="s">
        <v>8</v>
      </c>
      <c r="C55" s="95">
        <f>Reactor1!C55</f>
        <v>0.85699999999999998</v>
      </c>
      <c r="D55" s="23" cm="1">
        <f t="array" ref="D55:M55">TRANSPOSE(_xlfn._xlws.FILTER('Raw Data'!BO2:BO505,('Raw Data'!B2:B505=5)*('Raw Data'!BO2:BO505&lt;&gt;"")))</f>
        <v>0.343391</v>
      </c>
      <c r="E55" s="26">
        <v>0.30732300000000001</v>
      </c>
      <c r="F55" s="26">
        <v>0.30871300000000002</v>
      </c>
      <c r="G55" s="26">
        <v>0.31052400000000002</v>
      </c>
      <c r="H55" s="26">
        <v>0.32471699999999998</v>
      </c>
      <c r="I55" s="26">
        <v>0.325235</v>
      </c>
      <c r="J55" s="26">
        <v>0.337754</v>
      </c>
      <c r="K55" s="26">
        <v>0.33707199999999998</v>
      </c>
      <c r="L55" s="26">
        <v>0.34575</v>
      </c>
      <c r="M55" s="26">
        <v>0.278889</v>
      </c>
      <c r="P55" s="22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spans="1:27" s="2" customFormat="1">
      <c r="A56" s="38" t="s">
        <v>23</v>
      </c>
      <c r="B56" s="2" t="s">
        <v>8</v>
      </c>
      <c r="C56" s="95">
        <f>Reactor1!C56</f>
        <v>0.85699999999999998</v>
      </c>
      <c r="D56" s="23" cm="1">
        <f t="array" ref="D56:M56">TRANSPOSE(_xlfn._xlws.FILTER('Raw Data'!BP2:BP506,('Raw Data'!B2:B506=5)*('Raw Data'!BP2:BP506&lt;&gt;"")))</f>
        <v>0.65946000000000005</v>
      </c>
      <c r="E56" s="26">
        <v>0.664269</v>
      </c>
      <c r="F56" s="26">
        <v>0.66656700000000002</v>
      </c>
      <c r="G56" s="26">
        <v>0.66816799999999998</v>
      </c>
      <c r="H56" s="26">
        <v>0.667906</v>
      </c>
      <c r="I56" s="26">
        <v>0.66961599999999999</v>
      </c>
      <c r="J56" s="26">
        <v>0.67130400000000001</v>
      </c>
      <c r="K56" s="26">
        <v>0.67126699999999995</v>
      </c>
      <c r="L56" s="26">
        <v>0.67312099999999997</v>
      </c>
      <c r="M56" s="26">
        <v>0.89476199999999995</v>
      </c>
      <c r="P56" s="22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s="2" customFormat="1">
      <c r="A57" s="38" t="s">
        <v>24</v>
      </c>
      <c r="B57" s="2" t="s">
        <v>8</v>
      </c>
      <c r="C57" s="95">
        <f>Reactor1!C57</f>
        <v>0.92300000000000004</v>
      </c>
      <c r="D57" s="23" cm="1">
        <f t="array" ref="D57:M57">TRANSPOSE(_xlfn._xlws.FILTER('Raw Data'!BQ2:BQ505,('Raw Data'!B2:B505=5)*('Raw Data'!BQ2:BQ505&lt;&gt;"")))</f>
        <v>0</v>
      </c>
      <c r="E57" s="26">
        <v>0</v>
      </c>
      <c r="F57" s="26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P57" s="22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spans="1:27">
      <c r="A58" s="38" t="s">
        <v>25</v>
      </c>
      <c r="B58" s="2" t="s">
        <v>8</v>
      </c>
      <c r="C58" s="95">
        <f>Reactor1!C58</f>
        <v>0.83899999999999997</v>
      </c>
      <c r="D58" s="23" cm="1">
        <f t="array" ref="D58:M58">TRANSPOSE(_xlfn._xlws.FILTER('Raw Data'!BR2:BR505,('Raw Data'!B2:B505=5)*('Raw Data'!BR2:BR505&lt;&gt;"")))</f>
        <v>15.488009999999999</v>
      </c>
      <c r="E58" s="26">
        <v>14.112880000000001</v>
      </c>
      <c r="F58" s="26">
        <v>14.131417000000001</v>
      </c>
      <c r="G58" s="26">
        <v>14.212020000000001</v>
      </c>
      <c r="H58" s="26">
        <v>14.883176000000001</v>
      </c>
      <c r="I58" s="26">
        <v>14.849214</v>
      </c>
      <c r="J58" s="26">
        <v>15.297739</v>
      </c>
      <c r="K58" s="26">
        <v>15.311999999999999</v>
      </c>
      <c r="L58" s="26">
        <v>15.575068</v>
      </c>
      <c r="M58" s="26">
        <v>2.230197</v>
      </c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>
      <c r="A59" s="38" t="s">
        <v>26</v>
      </c>
      <c r="B59" s="2" t="s">
        <v>8</v>
      </c>
      <c r="C59" s="95">
        <f>Reactor1!C59</f>
        <v>0.83899999999999997</v>
      </c>
      <c r="D59" s="23" cm="1">
        <f t="array" ref="D59:M59">TRANSPOSE(_xlfn._xlws.FILTER('Raw Data'!BS2:BS505,('Raw Data'!B2:B505=5)*('Raw Data'!BS2:BS505&lt;&gt;"")))</f>
        <v>13.259613</v>
      </c>
      <c r="E59" s="26">
        <v>12.723983</v>
      </c>
      <c r="F59" s="26">
        <v>12.651721999999999</v>
      </c>
      <c r="G59" s="26">
        <v>12.621347</v>
      </c>
      <c r="H59" s="26">
        <v>12.717244000000001</v>
      </c>
      <c r="I59" s="26">
        <v>12.662585999999999</v>
      </c>
      <c r="J59" s="26">
        <v>12.864409999999999</v>
      </c>
      <c r="K59" s="26">
        <v>12.831538</v>
      </c>
      <c r="L59" s="26">
        <v>13.064719</v>
      </c>
      <c r="M59" s="26">
        <v>3.3862589999999999</v>
      </c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spans="1:27">
      <c r="A60" s="38" t="s">
        <v>27</v>
      </c>
      <c r="B60" s="2" t="s">
        <v>8</v>
      </c>
      <c r="C60" s="95">
        <f>Reactor1!C60</f>
        <v>0.83899999999999997</v>
      </c>
      <c r="D60" s="23" cm="1">
        <f t="array" ref="D60:M60">TRANSPOSE(_xlfn._xlws.FILTER('Raw Data'!BT2:BT505,('Raw Data'!B2:B505=5)*('Raw Data'!BT2:BT505&lt;&gt;"")))</f>
        <v>1.6532100000000001</v>
      </c>
      <c r="E60" s="26">
        <v>3.126709</v>
      </c>
      <c r="F60" s="26">
        <v>3.1599520000000001</v>
      </c>
      <c r="G60" s="26">
        <v>3.1679539999999999</v>
      </c>
      <c r="H60" s="26">
        <v>2.7511709999999998</v>
      </c>
      <c r="I60" s="26">
        <v>2.7735409999999998</v>
      </c>
      <c r="J60" s="26">
        <v>2.40225</v>
      </c>
      <c r="K60" s="26">
        <v>2.446237</v>
      </c>
      <c r="L60" s="26">
        <v>2.0742989999999999</v>
      </c>
      <c r="M60" s="26">
        <v>1.3725620000000001</v>
      </c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>
      <c r="A61" s="38" t="s">
        <v>28</v>
      </c>
      <c r="B61" s="2" t="s">
        <v>8</v>
      </c>
      <c r="C61" s="95">
        <f>Reactor1!C61</f>
        <v>0.85619999999999996</v>
      </c>
      <c r="D61" s="23" cm="1">
        <f t="array" ref="D61:M61">TRANSPOSE(_xlfn._xlws.FILTER('Raw Data'!BU2:BU505,('Raw Data'!B2:B505=5)*('Raw Data'!BU2:BU505&lt;&gt;"")))</f>
        <v>1.117982</v>
      </c>
      <c r="E61" s="26">
        <v>1.0545880000000001</v>
      </c>
      <c r="F61" s="26">
        <v>1.0550679999999999</v>
      </c>
      <c r="G61" s="26">
        <v>1.0572900000000001</v>
      </c>
      <c r="H61" s="26">
        <v>1.0796209999999999</v>
      </c>
      <c r="I61" s="26">
        <v>1.0740730000000001</v>
      </c>
      <c r="J61" s="26">
        <v>1.0881000000000001</v>
      </c>
      <c r="K61" s="26">
        <v>1.0877190000000001</v>
      </c>
      <c r="L61" s="26">
        <v>1.101842</v>
      </c>
      <c r="M61" s="26">
        <v>0.59043000000000001</v>
      </c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spans="1:27">
      <c r="A62" s="38" t="s">
        <v>29</v>
      </c>
      <c r="B62" s="2" t="s">
        <v>8</v>
      </c>
      <c r="C62" s="95">
        <f>Reactor1!C62</f>
        <v>0.91300000000000003</v>
      </c>
      <c r="D62" s="23" cm="1">
        <f t="array" ref="D62:M62">TRANSPOSE(_xlfn._xlws.FILTER('Raw Data'!BV2:BV505,('Raw Data'!B2:B505=5)*('Raw Data'!BV2:BV505&lt;&gt;"")))</f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>
      <c r="A63" s="38" t="s">
        <v>30</v>
      </c>
      <c r="B63" s="2" t="s">
        <v>8</v>
      </c>
      <c r="C63" s="95">
        <f>Reactor1!C63</f>
        <v>0.84099999999999997</v>
      </c>
      <c r="D63" s="23" cm="1">
        <f t="array" ref="D63:M63">TRANSPOSE(_xlfn._xlws.FILTER('Raw Data'!BW2:BW505,('Raw Data'!B2:B505=5)*('Raw Data'!BW2:BW505&lt;&gt;"")))</f>
        <v>12.805923999999999</v>
      </c>
      <c r="E63" s="26">
        <v>10.823235</v>
      </c>
      <c r="F63" s="26">
        <v>10.832361000000001</v>
      </c>
      <c r="G63" s="26">
        <v>10.891838</v>
      </c>
      <c r="H63" s="26">
        <v>11.706954</v>
      </c>
      <c r="I63" s="26">
        <v>11.660026</v>
      </c>
      <c r="J63" s="26">
        <v>12.22833</v>
      </c>
      <c r="K63" s="26">
        <v>12.248986</v>
      </c>
      <c r="L63" s="26">
        <v>12.754417</v>
      </c>
      <c r="M63" s="26">
        <v>0.36591800000000002</v>
      </c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spans="1:27">
      <c r="A64" s="22" t="s">
        <v>636</v>
      </c>
      <c r="B64" s="2" t="s">
        <v>8</v>
      </c>
      <c r="C64" s="95">
        <f>Reactor1!C64</f>
        <v>0.85629999999999995</v>
      </c>
      <c r="D64" s="23" cm="1">
        <f t="array" ref="D64:M64">TRANSPOSE(_xlfn._xlws.FILTER('Raw Data'!BX2:BX505,('Raw Data'!B2:B505=5)*('Raw Data'!BX2:BX505&lt;&gt;"")))</f>
        <v>0.71525799999999995</v>
      </c>
      <c r="E64" s="26">
        <v>1.0023850000000001</v>
      </c>
      <c r="F64" s="26">
        <v>0.96047099999999996</v>
      </c>
      <c r="G64" s="26">
        <v>0.91846899999999998</v>
      </c>
      <c r="H64" s="26">
        <v>0.79685099999999998</v>
      </c>
      <c r="I64" s="26">
        <v>0.753085</v>
      </c>
      <c r="J64" s="26">
        <v>0.64837800000000001</v>
      </c>
      <c r="K64" s="26">
        <v>0.63131099999999996</v>
      </c>
      <c r="L64" s="26">
        <v>0.58337899999999998</v>
      </c>
      <c r="M64" s="26">
        <v>0</v>
      </c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>
      <c r="A65" s="22" t="s">
        <v>637</v>
      </c>
      <c r="B65" s="2" t="s">
        <v>8</v>
      </c>
      <c r="C65" s="95">
        <f>Reactor1!C65</f>
        <v>0.90600000000000003</v>
      </c>
      <c r="D65" s="23" cm="1">
        <f t="array" ref="D65:M65">TRANSPOSE(_xlfn._xlws.FILTER('Raw Data'!BY2:BY505,('Raw Data'!B2:B505=5)*('Raw Data'!BY2:BY505&lt;&gt;"")))</f>
        <v>0</v>
      </c>
      <c r="E65" s="26">
        <v>0</v>
      </c>
      <c r="F65" s="26">
        <v>0</v>
      </c>
      <c r="G65" s="26">
        <v>0</v>
      </c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spans="1:27">
      <c r="A66" s="22" t="s">
        <v>638</v>
      </c>
      <c r="B66" s="2" t="s">
        <v>8</v>
      </c>
      <c r="C66" s="95">
        <f>Reactor1!C66</f>
        <v>0.84299999999999997</v>
      </c>
      <c r="D66" s="23" cm="1">
        <f t="array" ref="D66:M66">TRANSPOSE(_xlfn._xlws.FILTER('Raw Data'!BZ2:BZ505,('Raw Data'!B2:B505=5)*('Raw Data'!BZ2:BZ505&lt;&gt;"")))</f>
        <v>0.19068099999999999</v>
      </c>
      <c r="E66" s="26">
        <v>0.134015</v>
      </c>
      <c r="F66" s="26">
        <v>0.133051</v>
      </c>
      <c r="G66" s="26">
        <v>0.13359699999999999</v>
      </c>
      <c r="H66" s="26">
        <v>0.13556199999999999</v>
      </c>
      <c r="I66" s="26">
        <v>0.13645199999999999</v>
      </c>
      <c r="J66" s="26">
        <v>0.143734</v>
      </c>
      <c r="K66" s="26">
        <v>0.14385300000000001</v>
      </c>
      <c r="L66" s="26">
        <v>0.15429100000000001</v>
      </c>
      <c r="M66" s="26">
        <v>0</v>
      </c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spans="1:27">
      <c r="A67" s="22" t="s">
        <v>639</v>
      </c>
      <c r="B67" s="2" t="s">
        <v>8</v>
      </c>
      <c r="C67" s="95">
        <f>Reactor1!C67</f>
        <v>0.85699999999999998</v>
      </c>
      <c r="D67" s="23" cm="1">
        <f t="array" ref="D67:M67">TRANSPOSE(_xlfn._xlws.FILTER('Raw Data'!CA2:CA505,('Raw Data'!B2:B505=5)*('Raw Data'!CA2:CA505&lt;&gt;"")))</f>
        <v>3.2294999999999997E-2</v>
      </c>
      <c r="E67" s="26">
        <v>2.1859E-2</v>
      </c>
      <c r="F67" s="26">
        <v>2.1253000000000001E-2</v>
      </c>
      <c r="G67" s="26">
        <v>2.1007000000000001E-2</v>
      </c>
      <c r="H67" s="26">
        <v>2.2128999999999999E-2</v>
      </c>
      <c r="I67" s="26">
        <v>2.2346000000000001E-2</v>
      </c>
      <c r="J67" s="26">
        <v>2.3848000000000001E-2</v>
      </c>
      <c r="K67" s="26">
        <v>2.3331000000000001E-2</v>
      </c>
      <c r="L67" s="26">
        <v>2.3373000000000001E-2</v>
      </c>
      <c r="M67" s="26">
        <v>0</v>
      </c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spans="1:27">
      <c r="A68" s="22" t="s">
        <v>640</v>
      </c>
      <c r="B68" s="2" t="s">
        <v>8</v>
      </c>
      <c r="C68" s="95">
        <f>Reactor1!C68</f>
        <v>0.9</v>
      </c>
      <c r="D68" s="23" cm="1">
        <f t="array" ref="D68:M68">TRANSPOSE(_xlfn._xlws.FILTER('Raw Data'!CB2:CB505,('Raw Data'!B2:B505=5)*('Raw Data'!CB2:CB505&lt;&gt;"")))</f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spans="1:27">
      <c r="A69" s="22" t="s">
        <v>641</v>
      </c>
      <c r="B69" s="2" t="s">
        <v>8</v>
      </c>
      <c r="C69" s="95">
        <f>Reactor1!C69</f>
        <v>0.84399999999999997</v>
      </c>
      <c r="D69" s="23" cm="1">
        <f t="array" ref="D69:M69">TRANSPOSE(_xlfn._xlws.FILTER('Raw Data'!CC2:CC505,('Raw Data'!B2:B505=5)*('Raw Data'!CC2:CC505&lt;&gt;"")))</f>
        <v>0</v>
      </c>
      <c r="E69" s="26">
        <v>0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spans="1:27">
      <c r="A70" s="22" t="s">
        <v>642</v>
      </c>
      <c r="B70" s="2" t="s">
        <v>8</v>
      </c>
      <c r="C70" s="95">
        <f>Reactor1!C70</f>
        <v>0.85709999999999997</v>
      </c>
      <c r="D70" s="23" cm="1">
        <f t="array" ref="D70:M70">TRANSPOSE(_xlfn._xlws.FILTER('Raw Data'!CD2:CD505,('Raw Data'!B2:B505=5)*('Raw Data'!CD2:CD505&lt;&gt;"")))</f>
        <v>3.3640999999999997E-2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spans="1:27">
      <c r="A71" s="22" t="s">
        <v>643</v>
      </c>
      <c r="B71" s="2" t="s">
        <v>8</v>
      </c>
      <c r="C71" s="95">
        <f>Reactor1!C71</f>
        <v>0.89600000000000002</v>
      </c>
      <c r="D71" s="23" cm="1">
        <f t="array" ref="D71:M71">TRANSPOSE(_xlfn._xlws.FILTER('Raw Data'!CE2:CE505,('Raw Data'!B2:B505=5)*('Raw Data'!CE2:CE505&lt;&gt;"")))</f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spans="1:27">
      <c r="A72" s="22" t="s">
        <v>76</v>
      </c>
      <c r="B72" s="2" t="s">
        <v>8</v>
      </c>
      <c r="C72" s="95">
        <f>Reactor1!C72</f>
        <v>0.79</v>
      </c>
      <c r="D72" s="23" cm="1">
        <f t="array" ref="D72:M72">TRANSPOSE(_xlfn._xlws.FILTER('Raw Data'!CF2:CF505,('Raw Data'!B2:B505=5)*('Raw Data'!CF2:CF505&lt;&gt;"")))</f>
        <v>2.8982000000000001E-2</v>
      </c>
      <c r="E72" s="26">
        <v>2.1257000000000002E-2</v>
      </c>
      <c r="F72" s="26">
        <v>2.0124E-2</v>
      </c>
      <c r="G72" s="26">
        <v>1.9293000000000001E-2</v>
      </c>
      <c r="H72" s="26">
        <v>1.4546E-2</v>
      </c>
      <c r="I72" s="26">
        <v>1.387E-2</v>
      </c>
      <c r="J72" s="26">
        <v>1.1727E-2</v>
      </c>
      <c r="K72" s="26">
        <v>9.9889999999999996E-3</v>
      </c>
      <c r="L72" s="26">
        <v>7.6769999999999998E-3</v>
      </c>
      <c r="M72" s="26">
        <v>0</v>
      </c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spans="1:27">
      <c r="A73" s="22" t="s">
        <v>77</v>
      </c>
      <c r="B73" s="2" t="s">
        <v>8</v>
      </c>
      <c r="C73" s="95">
        <f>Reactor1!C73</f>
        <v>0.83</v>
      </c>
      <c r="D73" s="23" cm="1">
        <f t="array" ref="D73:M73">TRANSPOSE(_xlfn._xlws.FILTER('Raw Data'!CG2:CG505,('Raw Data'!B2:B505=5)*('Raw Data'!CG2:CG505&lt;&gt;"")))</f>
        <v>3.1080000000000001E-3</v>
      </c>
      <c r="E73" s="26">
        <v>5.5199999999999997E-3</v>
      </c>
      <c r="F73" s="26">
        <v>6.1419999999999999E-3</v>
      </c>
      <c r="G73" s="26">
        <v>5.6189999999999999E-3</v>
      </c>
      <c r="H73" s="26">
        <v>4.5300000000000002E-3</v>
      </c>
      <c r="I73" s="26">
        <v>4.5209999999999998E-3</v>
      </c>
      <c r="J73" s="26">
        <v>3.5699999999999998E-3</v>
      </c>
      <c r="K73" s="26">
        <v>3.787E-3</v>
      </c>
      <c r="L73" s="26">
        <v>2.9320000000000001E-3</v>
      </c>
      <c r="M73" s="26">
        <v>0.97183799999999998</v>
      </c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spans="1:27">
      <c r="A74" s="22" t="s">
        <v>78</v>
      </c>
      <c r="B74" s="2" t="s">
        <v>8</v>
      </c>
      <c r="C74" s="95">
        <f>Reactor1!C74</f>
        <v>0.83499999999999996</v>
      </c>
      <c r="D74" s="23" cm="1">
        <f t="array" ref="D74:M74">TRANSPOSE(_xlfn._xlws.FILTER('Raw Data'!CH2:CH505,('Raw Data'!B2:B505=5)*('Raw Data'!CH2:CH505&lt;&gt;"")))</f>
        <v>0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spans="1:27">
      <c r="A75" s="22" t="s">
        <v>79</v>
      </c>
      <c r="B75" s="2" t="s">
        <v>8</v>
      </c>
      <c r="C75" s="95">
        <f>Reactor1!C75</f>
        <v>0.83860000000000001</v>
      </c>
      <c r="D75" s="23" cm="1">
        <f t="array" ref="D75:M75">TRANSPOSE(_xlfn._xlws.FILTER('Raw Data'!CI2:CI505,('Raw Data'!B2:B505=5)*('Raw Data'!CI2:CI505&lt;&gt;"")))</f>
        <v>0.31634200000000001</v>
      </c>
      <c r="E75" s="26">
        <v>7.7379000000000003E-2</v>
      </c>
      <c r="F75" s="26">
        <v>8.0845E-2</v>
      </c>
      <c r="G75" s="26">
        <v>8.1097000000000002E-2</v>
      </c>
      <c r="H75" s="26">
        <v>8.0510999999999999E-2</v>
      </c>
      <c r="I75" s="26">
        <v>8.1046999999999994E-2</v>
      </c>
      <c r="J75" s="26">
        <v>7.5217000000000006E-2</v>
      </c>
      <c r="K75" s="26">
        <v>7.6153999999999999E-2</v>
      </c>
      <c r="L75" s="26">
        <v>6.7329E-2</v>
      </c>
      <c r="M75" s="26">
        <v>0</v>
      </c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27">
      <c r="A76" s="22" t="s">
        <v>80</v>
      </c>
      <c r="B76" s="2" t="s">
        <v>8</v>
      </c>
      <c r="C76" s="95">
        <f>Reactor1!C76</f>
        <v>0.84060000000000001</v>
      </c>
      <c r="D76" s="23" cm="1">
        <f t="array" ref="D76:M76">TRANSPOSE(_xlfn._xlws.FILTER('Raw Data'!CJ2:CJ505,('Raw Data'!B2:B505=5)*('Raw Data'!CJ2:CJ505&lt;&gt;"")))</f>
        <v>0.14357900000000001</v>
      </c>
      <c r="E76" s="26">
        <v>0.10742599999999999</v>
      </c>
      <c r="F76" s="26">
        <v>0.100679</v>
      </c>
      <c r="G76" s="26">
        <v>0.100953</v>
      </c>
      <c r="H76" s="26">
        <v>9.1023999999999994E-2</v>
      </c>
      <c r="I76" s="26">
        <v>8.5432999999999995E-2</v>
      </c>
      <c r="J76" s="26">
        <v>7.3413999999999993E-2</v>
      </c>
      <c r="K76" s="26">
        <v>7.2080000000000005E-2</v>
      </c>
      <c r="L76" s="26">
        <v>6.4627000000000004E-2</v>
      </c>
      <c r="M76" s="26">
        <v>0</v>
      </c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>
      <c r="A77" s="22" t="s">
        <v>644</v>
      </c>
      <c r="B77" s="2" t="s">
        <v>8</v>
      </c>
      <c r="C77" s="95">
        <f>Reactor1!C77</f>
        <v>0.84799999999999998</v>
      </c>
      <c r="D77" s="23" cm="1">
        <f t="array" ref="D77:M77">TRANSPOSE(_xlfn._xlws.FILTER('Raw Data'!CK2:CK505,('Raw Data'!B2:B505=5)*('Raw Data'!CK2:CK505&lt;&gt;"")))</f>
        <v>0.39190199999999997</v>
      </c>
      <c r="E77" s="26">
        <v>0.24296699999999999</v>
      </c>
      <c r="F77" s="26">
        <v>0.23982600000000001</v>
      </c>
      <c r="G77" s="26">
        <v>0.236063</v>
      </c>
      <c r="H77" s="26">
        <v>0.20097699999999999</v>
      </c>
      <c r="I77" s="26">
        <v>0.20910500000000001</v>
      </c>
      <c r="J77" s="26">
        <v>0.19253899999999999</v>
      </c>
      <c r="K77" s="26">
        <v>0.180697</v>
      </c>
      <c r="L77" s="26">
        <v>0.166521</v>
      </c>
      <c r="M77" s="26">
        <v>0</v>
      </c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spans="1:27">
      <c r="A78" s="22" t="s">
        <v>81</v>
      </c>
      <c r="B78" s="2" t="s">
        <v>8</v>
      </c>
      <c r="D78" s="26">
        <f t="shared" ref="D78:I78" si="43">SUM(D42:D77)</f>
        <v>99.999553000000034</v>
      </c>
      <c r="E78" s="26">
        <f t="shared" si="43"/>
        <v>99.962015000000022</v>
      </c>
      <c r="F78" s="26">
        <f t="shared" si="43"/>
        <v>99.961388999999997</v>
      </c>
      <c r="G78" s="26">
        <f t="shared" si="43"/>
        <v>99.999988999999999</v>
      </c>
      <c r="H78" s="26">
        <f t="shared" si="43"/>
        <v>100.00099999999999</v>
      </c>
      <c r="I78" s="26">
        <f t="shared" si="43"/>
        <v>99.998985999999974</v>
      </c>
      <c r="J78" s="26">
        <f t="shared" ref="J78" si="44">SUM(J42:J77)</f>
        <v>100.00000299999995</v>
      </c>
      <c r="K78" s="26">
        <f t="shared" ref="K78:M78" si="45">SUM(K42:K77)</f>
        <v>100.00102100000001</v>
      </c>
      <c r="L78" s="26">
        <f t="shared" si="45"/>
        <v>99.999981000000005</v>
      </c>
      <c r="M78" s="26">
        <f t="shared" si="45"/>
        <v>100.00000800000001</v>
      </c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27" s="133" customFormat="1">
      <c r="A79" s="131"/>
      <c r="B79" s="131"/>
      <c r="C79" s="131"/>
      <c r="D79" s="136"/>
      <c r="E79" s="136"/>
      <c r="F79" s="136"/>
      <c r="G79" s="136"/>
      <c r="H79" s="136"/>
      <c r="I79" s="136"/>
      <c r="J79" s="136"/>
      <c r="K79" s="136"/>
      <c r="L79" s="136"/>
      <c r="M79" s="131"/>
      <c r="P79" s="134"/>
    </row>
    <row r="80" spans="1:27">
      <c r="A80" s="38" t="s">
        <v>9</v>
      </c>
      <c r="B80" s="2" t="s">
        <v>74</v>
      </c>
      <c r="D80" s="23">
        <f t="shared" ref="D80:I80" si="46">(D36*D42)/(D37)</f>
        <v>0</v>
      </c>
      <c r="E80" s="23">
        <f t="shared" si="46"/>
        <v>0</v>
      </c>
      <c r="F80" s="23">
        <f t="shared" si="46"/>
        <v>0</v>
      </c>
      <c r="G80" s="23">
        <f t="shared" si="46"/>
        <v>0</v>
      </c>
      <c r="H80" s="23">
        <f t="shared" si="46"/>
        <v>0</v>
      </c>
      <c r="I80" s="23">
        <f t="shared" si="46"/>
        <v>0</v>
      </c>
      <c r="J80" s="23">
        <f t="shared" ref="J80:K80" si="47">(J36*J42)/(J37)</f>
        <v>0</v>
      </c>
      <c r="K80" s="23">
        <f t="shared" si="47"/>
        <v>0</v>
      </c>
      <c r="L80" s="23">
        <f t="shared" ref="L80" si="48">(L36*L42)/(L37)</f>
        <v>0</v>
      </c>
      <c r="P80" s="111"/>
      <c r="Q80" s="79"/>
      <c r="R80" s="79"/>
      <c r="S80" s="79"/>
    </row>
    <row r="81" spans="1:19">
      <c r="A81" s="38" t="s">
        <v>10</v>
      </c>
      <c r="B81" s="2" t="s">
        <v>74</v>
      </c>
      <c r="D81" s="23">
        <f t="shared" ref="D81:I81" si="49">(D36*D43)/(D37)</f>
        <v>0</v>
      </c>
      <c r="E81" s="23">
        <f t="shared" si="49"/>
        <v>0</v>
      </c>
      <c r="F81" s="23">
        <f t="shared" si="49"/>
        <v>0</v>
      </c>
      <c r="G81" s="23">
        <f t="shared" si="49"/>
        <v>0</v>
      </c>
      <c r="H81" s="23">
        <f t="shared" si="49"/>
        <v>0</v>
      </c>
      <c r="I81" s="23">
        <f t="shared" si="49"/>
        <v>0</v>
      </c>
      <c r="J81" s="23">
        <f t="shared" ref="J81:K81" si="50">(J36*J43)/(J37)</f>
        <v>0</v>
      </c>
      <c r="K81" s="23">
        <f t="shared" si="50"/>
        <v>0</v>
      </c>
      <c r="L81" s="23">
        <f t="shared" ref="L81" si="51">(L36*L43)/(L37)</f>
        <v>0</v>
      </c>
      <c r="P81" s="111"/>
      <c r="Q81" s="79"/>
      <c r="R81" s="79"/>
      <c r="S81" s="79"/>
    </row>
    <row r="82" spans="1:19">
      <c r="A82" s="38" t="s">
        <v>11</v>
      </c>
      <c r="B82" s="2" t="s">
        <v>74</v>
      </c>
      <c r="D82" s="23">
        <f t="shared" ref="D82:I82" si="52">(D36*D44)/(D37)</f>
        <v>0.2054978724607974</v>
      </c>
      <c r="E82" s="23">
        <f t="shared" si="52"/>
        <v>0.50290025157160068</v>
      </c>
      <c r="F82" s="23">
        <f t="shared" si="52"/>
        <v>0.48703794510111365</v>
      </c>
      <c r="G82" s="23">
        <f t="shared" si="52"/>
        <v>0.4824034139833378</v>
      </c>
      <c r="H82" s="23">
        <f t="shared" si="52"/>
        <v>0.33329925804851446</v>
      </c>
      <c r="I82" s="23">
        <f t="shared" si="52"/>
        <v>0.33895081984478687</v>
      </c>
      <c r="J82" s="23">
        <f t="shared" ref="J82:K82" si="53">(J36*J44)/(J37)</f>
        <v>0.2335572996943206</v>
      </c>
      <c r="K82" s="23">
        <f t="shared" si="53"/>
        <v>0.23695381097264404</v>
      </c>
      <c r="L82" s="23">
        <f t="shared" ref="L82" si="54">(L36*L44)/(L37)</f>
        <v>0.1620402848034791</v>
      </c>
      <c r="P82" s="111"/>
      <c r="Q82" s="79"/>
      <c r="R82" s="79"/>
      <c r="S82" s="79"/>
    </row>
    <row r="83" spans="1:19">
      <c r="A83" s="38" t="s">
        <v>12</v>
      </c>
      <c r="B83" s="2" t="s">
        <v>74</v>
      </c>
      <c r="D83" s="23">
        <f t="shared" ref="D83:I83" si="55">(D36*D45)/(D37)</f>
        <v>1.7205833649051916</v>
      </c>
      <c r="E83" s="23">
        <f t="shared" si="55"/>
        <v>1.9754847291840314</v>
      </c>
      <c r="F83" s="23">
        <f t="shared" si="55"/>
        <v>1.9661635846657501</v>
      </c>
      <c r="G83" s="23">
        <f t="shared" si="55"/>
        <v>1.9546758752950906</v>
      </c>
      <c r="H83" s="23">
        <f t="shared" si="55"/>
        <v>1.8229871158250244</v>
      </c>
      <c r="I83" s="23">
        <f t="shared" si="55"/>
        <v>1.8270753058426703</v>
      </c>
      <c r="J83" s="23">
        <f t="shared" ref="J83:K83" si="56">(J36*J45)/(J37)</f>
        <v>1.7420382912670689</v>
      </c>
      <c r="K83" s="23">
        <f t="shared" si="56"/>
        <v>1.718513022502647</v>
      </c>
      <c r="L83" s="23">
        <f t="shared" ref="L83" si="57">(L36*L45)/(L37)</f>
        <v>1.6573155886769566</v>
      </c>
      <c r="P83" s="111"/>
      <c r="Q83" s="79"/>
      <c r="R83" s="79"/>
      <c r="S83" s="79"/>
    </row>
    <row r="84" spans="1:19">
      <c r="A84" s="38" t="s">
        <v>13</v>
      </c>
      <c r="B84" s="2" t="s">
        <v>74</v>
      </c>
      <c r="D84" s="23">
        <f t="shared" ref="D84:I84" si="58">(D36*D46)/(D37)</f>
        <v>0.87233872384061595</v>
      </c>
      <c r="E84" s="23">
        <f t="shared" si="58"/>
        <v>1.8101622328442861</v>
      </c>
      <c r="F84" s="23">
        <f t="shared" si="58"/>
        <v>1.8199294912737836</v>
      </c>
      <c r="G84" s="23">
        <f t="shared" si="58"/>
        <v>1.8271458373339062</v>
      </c>
      <c r="H84" s="23">
        <f t="shared" si="58"/>
        <v>1.353772939194746</v>
      </c>
      <c r="I84" s="23">
        <f t="shared" si="58"/>
        <v>1.3871600072592658</v>
      </c>
      <c r="J84" s="23">
        <f t="shared" ref="J84:K84" si="59">(J36*J46)/(J37)</f>
        <v>1.0316118130589251</v>
      </c>
      <c r="K84" s="23">
        <f t="shared" si="59"/>
        <v>1.0442559525022375</v>
      </c>
      <c r="L84" s="23">
        <f t="shared" ref="L84" si="60">(L36*L46)/(L37)</f>
        <v>0.76903544997170048</v>
      </c>
      <c r="P84" s="111"/>
      <c r="Q84" s="79"/>
      <c r="R84" s="79"/>
      <c r="S84" s="79"/>
    </row>
    <row r="85" spans="1:19">
      <c r="A85" s="38" t="s">
        <v>14</v>
      </c>
      <c r="B85" s="2" t="s">
        <v>74</v>
      </c>
      <c r="D85" s="23">
        <f t="shared" ref="D85:I85" si="61">(D36*D47)/(D37)</f>
        <v>12.519384905749728</v>
      </c>
      <c r="E85" s="23">
        <f t="shared" si="61"/>
        <v>12.78109218898717</v>
      </c>
      <c r="F85" s="23">
        <f t="shared" si="61"/>
        <v>12.810892525278589</v>
      </c>
      <c r="G85" s="23">
        <f t="shared" si="61"/>
        <v>12.78473485486443</v>
      </c>
      <c r="H85" s="23">
        <f t="shared" si="61"/>
        <v>12.783472025652918</v>
      </c>
      <c r="I85" s="23">
        <f t="shared" si="61"/>
        <v>12.799157728257128</v>
      </c>
      <c r="J85" s="23">
        <f t="shared" ref="J85:K85" si="62">(J36*J47)/(J37)</f>
        <v>12.784992696967173</v>
      </c>
      <c r="K85" s="23">
        <f t="shared" si="62"/>
        <v>12.769101398257426</v>
      </c>
      <c r="L85" s="23">
        <f t="shared" ref="L85" si="63">(L36*L47)/(L37)</f>
        <v>12.769594058308648</v>
      </c>
      <c r="P85" s="111"/>
      <c r="Q85" s="79"/>
      <c r="R85" s="79"/>
      <c r="S85" s="79"/>
    </row>
    <row r="86" spans="1:19">
      <c r="A86" s="38" t="s">
        <v>15</v>
      </c>
      <c r="B86" s="2" t="s">
        <v>74</v>
      </c>
      <c r="D86" s="23">
        <f t="shared" ref="D86:I86" si="64">(D36*D48)/(D37)</f>
        <v>7.7786401454102956</v>
      </c>
      <c r="E86" s="23">
        <f t="shared" si="64"/>
        <v>8.3735590966096041</v>
      </c>
      <c r="F86" s="23">
        <f t="shared" si="64"/>
        <v>8.3873903355109469</v>
      </c>
      <c r="G86" s="23">
        <f t="shared" si="64"/>
        <v>8.3618554358492236</v>
      </c>
      <c r="H86" s="23">
        <f t="shared" si="64"/>
        <v>8.087612940223357</v>
      </c>
      <c r="I86" s="23">
        <f t="shared" si="64"/>
        <v>8.107312580206095</v>
      </c>
      <c r="J86" s="23">
        <f t="shared" ref="J86:K86" si="65">(J36*J48)/(J37)</f>
        <v>7.9075880095199151</v>
      </c>
      <c r="K86" s="23">
        <f t="shared" si="65"/>
        <v>7.8867721300110389</v>
      </c>
      <c r="L86" s="23">
        <f t="shared" ref="L86" si="66">(L36*L48)/(L37)</f>
        <v>7.7393572740254051</v>
      </c>
      <c r="P86" s="111"/>
      <c r="Q86" s="79"/>
      <c r="R86" s="79"/>
      <c r="S86" s="79"/>
    </row>
    <row r="87" spans="1:19">
      <c r="A87" s="38" t="s">
        <v>16</v>
      </c>
      <c r="B87" s="2" t="s">
        <v>74</v>
      </c>
      <c r="D87" s="23">
        <f t="shared" ref="D87:I87" si="67">(D36*D49)/(D37)</f>
        <v>0</v>
      </c>
      <c r="E87" s="23">
        <f t="shared" si="67"/>
        <v>0</v>
      </c>
      <c r="F87" s="23">
        <f t="shared" si="67"/>
        <v>0</v>
      </c>
      <c r="G87" s="23">
        <f t="shared" si="67"/>
        <v>0</v>
      </c>
      <c r="H87" s="23">
        <f t="shared" si="67"/>
        <v>0</v>
      </c>
      <c r="I87" s="23">
        <f t="shared" si="67"/>
        <v>0</v>
      </c>
      <c r="J87" s="23">
        <f t="shared" ref="J87:K87" si="68">(J36*J49)/(J37)</f>
        <v>0</v>
      </c>
      <c r="K87" s="23">
        <f t="shared" si="68"/>
        <v>0</v>
      </c>
      <c r="L87" s="23">
        <f t="shared" ref="L87" si="69">(L36*L49)/(L37)</f>
        <v>0</v>
      </c>
      <c r="P87" s="111"/>
      <c r="Q87" s="79"/>
      <c r="R87" s="79"/>
      <c r="S87" s="79"/>
    </row>
    <row r="88" spans="1:19">
      <c r="A88" s="38" t="s">
        <v>17</v>
      </c>
      <c r="B88" s="2" t="s">
        <v>74</v>
      </c>
      <c r="D88" s="23">
        <f t="shared" ref="D88:I88" si="70">(D36*D50)/(D37)</f>
        <v>17.267878089285926</v>
      </c>
      <c r="E88" s="23">
        <f t="shared" si="70"/>
        <v>17.030924716864455</v>
      </c>
      <c r="F88" s="23">
        <f t="shared" si="70"/>
        <v>17.053023529274896</v>
      </c>
      <c r="G88" s="23">
        <f t="shared" si="70"/>
        <v>17.078999798523075</v>
      </c>
      <c r="H88" s="23">
        <f t="shared" si="70"/>
        <v>17.28973682282108</v>
      </c>
      <c r="I88" s="23">
        <f t="shared" si="70"/>
        <v>17.34960675090193</v>
      </c>
      <c r="J88" s="23">
        <f t="shared" ref="J88:K88" si="71">(J36*J50)/(J37)</f>
        <v>17.512998356817466</v>
      </c>
      <c r="K88" s="23">
        <f t="shared" si="71"/>
        <v>17.529398437760236</v>
      </c>
      <c r="L88" s="23">
        <f t="shared" ref="L88" si="72">(L36*L50)/(L37)</f>
        <v>17.626041863870498</v>
      </c>
      <c r="P88" s="111"/>
      <c r="Q88" s="79"/>
      <c r="R88" s="79"/>
      <c r="S88" s="79"/>
    </row>
    <row r="89" spans="1:19">
      <c r="A89" s="38" t="s">
        <v>18</v>
      </c>
      <c r="B89" s="2" t="s">
        <v>74</v>
      </c>
      <c r="D89" s="23">
        <f t="shared" ref="D89:I89" si="73">(D36*D51)/(D37)</f>
        <v>7.6611095479528943</v>
      </c>
      <c r="E89" s="23">
        <f t="shared" si="73"/>
        <v>7.5225482190883177</v>
      </c>
      <c r="F89" s="23">
        <f t="shared" si="73"/>
        <v>7.5182649343949857</v>
      </c>
      <c r="G89" s="23">
        <f t="shared" si="73"/>
        <v>7.5027296855787142</v>
      </c>
      <c r="H89" s="23">
        <f t="shared" si="73"/>
        <v>7.5726405975038205</v>
      </c>
      <c r="I89" s="23">
        <f t="shared" si="73"/>
        <v>7.5772368020716083</v>
      </c>
      <c r="J89" s="23">
        <f t="shared" ref="J89:K89" si="74">(J36*J51)/(J37)</f>
        <v>7.6612058008382489</v>
      </c>
      <c r="K89" s="23">
        <f t="shared" si="74"/>
        <v>7.6530137552870672</v>
      </c>
      <c r="L89" s="23">
        <f t="shared" ref="L89" si="75">(L36*L51)/(L37)</f>
        <v>7.7446935854573216</v>
      </c>
      <c r="P89" s="111"/>
      <c r="Q89" s="79"/>
      <c r="R89" s="79"/>
      <c r="S89" s="79"/>
    </row>
    <row r="90" spans="1:19">
      <c r="A90" s="38" t="s">
        <v>19</v>
      </c>
      <c r="B90" s="2" t="s">
        <v>74</v>
      </c>
      <c r="D90" s="23">
        <f t="shared" ref="D90:I90" si="76">(D36*D52)/(D37)</f>
        <v>3.8526729637941597</v>
      </c>
      <c r="E90" s="23">
        <f t="shared" si="76"/>
        <v>4.1941280161684276</v>
      </c>
      <c r="F90" s="23">
        <f t="shared" si="76"/>
        <v>4.1894719450890126</v>
      </c>
      <c r="G90" s="23">
        <f t="shared" si="76"/>
        <v>4.1757238202849551</v>
      </c>
      <c r="H90" s="23">
        <f t="shared" si="76"/>
        <v>4.0581411254462374</v>
      </c>
      <c r="I90" s="23">
        <f t="shared" si="76"/>
        <v>4.0591438926928793</v>
      </c>
      <c r="J90" s="23">
        <f t="shared" ref="J90:K90" si="77">(J36*J52)/(J37)</f>
        <v>3.9675709462542876</v>
      </c>
      <c r="K90" s="23">
        <f t="shared" si="77"/>
        <v>3.9773691090580199</v>
      </c>
      <c r="L90" s="23">
        <f t="shared" ref="L90" si="78">(L36*L52)/(L37)</f>
        <v>3.8942921357557929</v>
      </c>
      <c r="P90" s="111"/>
      <c r="Q90" s="79"/>
      <c r="R90" s="79"/>
      <c r="S90" s="79"/>
    </row>
    <row r="91" spans="1:19">
      <c r="A91" s="38" t="s">
        <v>20</v>
      </c>
      <c r="B91" s="2" t="s">
        <v>74</v>
      </c>
      <c r="D91" s="23">
        <f t="shared" ref="D91:I91" si="79">(D36*D53)/(D37)</f>
        <v>0.91230701453262253</v>
      </c>
      <c r="E91" s="23">
        <f t="shared" si="79"/>
        <v>1.2568855094447744</v>
      </c>
      <c r="F91" s="23">
        <f t="shared" si="79"/>
        <v>1.2791215873751718</v>
      </c>
      <c r="G91" s="23">
        <f t="shared" si="79"/>
        <v>1.289803603281801</v>
      </c>
      <c r="H91" s="23">
        <f t="shared" si="79"/>
        <v>1.1641235869548987</v>
      </c>
      <c r="I91" s="23">
        <f t="shared" si="79"/>
        <v>1.1808577879479887</v>
      </c>
      <c r="J91" s="23">
        <f t="shared" ref="J91:K91" si="80">(J36*J53)/(J37)</f>
        <v>1.0697041252810413</v>
      </c>
      <c r="K91" s="23">
        <f t="shared" si="80"/>
        <v>1.0815450517587617</v>
      </c>
      <c r="L91" s="23">
        <f t="shared" ref="L91" si="81">(L36*L53)/(L37)</f>
        <v>0.96888436713213888</v>
      </c>
      <c r="P91" s="111"/>
      <c r="Q91" s="79"/>
      <c r="R91" s="79"/>
      <c r="S91" s="79"/>
    </row>
    <row r="92" spans="1:19">
      <c r="A92" s="38" t="s">
        <v>75</v>
      </c>
      <c r="B92" s="2" t="s">
        <v>74</v>
      </c>
      <c r="D92" s="23">
        <f t="shared" ref="D92:I92" si="82">(D36*D54)/(D37)</f>
        <v>7.6410203019176184E-2</v>
      </c>
      <c r="E92" s="23">
        <f t="shared" si="82"/>
        <v>0.18292135564945425</v>
      </c>
      <c r="F92" s="23">
        <f t="shared" si="82"/>
        <v>0.17714195282593934</v>
      </c>
      <c r="G92" s="23">
        <f t="shared" si="82"/>
        <v>0.17041187679479647</v>
      </c>
      <c r="H92" s="23">
        <f t="shared" si="82"/>
        <v>0.12171942493818876</v>
      </c>
      <c r="I92" s="23">
        <f t="shared" si="82"/>
        <v>0.11820221889353949</v>
      </c>
      <c r="J92" s="23">
        <f t="shared" ref="J92:K92" si="83">(J36*J54)/(J37)</f>
        <v>8.4982165633897697E-2</v>
      </c>
      <c r="K92" s="23">
        <f t="shared" si="83"/>
        <v>8.6128619389361186E-2</v>
      </c>
      <c r="L92" s="23">
        <f t="shared" ref="L92" si="84">(L36*L54)/(L37)</f>
        <v>6.2526234718305151E-2</v>
      </c>
      <c r="P92" s="111"/>
      <c r="Q92" s="79"/>
      <c r="R92" s="79"/>
      <c r="S92" s="79"/>
    </row>
    <row r="93" spans="1:19">
      <c r="A93" s="38" t="s">
        <v>22</v>
      </c>
      <c r="B93" s="2" t="s">
        <v>74</v>
      </c>
      <c r="D93" s="23">
        <f t="shared" ref="D93:I93" si="85">(D36*D55)/(D37)</f>
        <v>0.34372029323863829</v>
      </c>
      <c r="E93" s="23">
        <f t="shared" si="85"/>
        <v>0.30784530933107662</v>
      </c>
      <c r="F93" s="23">
        <f t="shared" si="85"/>
        <v>0.30924187358418798</v>
      </c>
      <c r="G93" s="23">
        <f t="shared" si="85"/>
        <v>0.31093613828298083</v>
      </c>
      <c r="H93" s="23">
        <f t="shared" si="85"/>
        <v>0.32509472525994698</v>
      </c>
      <c r="I93" s="23">
        <f t="shared" si="85"/>
        <v>0.32562678859766486</v>
      </c>
      <c r="J93" s="23">
        <f t="shared" ref="J93:K93" si="86">(J36*J55)/(J37)</f>
        <v>0.33812070174945796</v>
      </c>
      <c r="K93" s="23">
        <f t="shared" si="86"/>
        <v>0.33743486441502102</v>
      </c>
      <c r="L93" s="23">
        <f t="shared" ref="L93" si="87">(L36*L55)/(L37)</f>
        <v>0.34609448088265249</v>
      </c>
      <c r="P93" s="111"/>
      <c r="Q93" s="79"/>
      <c r="R93" s="79"/>
      <c r="S93" s="79"/>
    </row>
    <row r="94" spans="1:19">
      <c r="A94" s="38" t="s">
        <v>23</v>
      </c>
      <c r="B94" s="2" t="s">
        <v>74</v>
      </c>
      <c r="D94" s="23">
        <f t="shared" ref="D94:I94" si="88">(D36*D56)/(D37)</f>
        <v>0.66009238616956301</v>
      </c>
      <c r="E94" s="23">
        <f t="shared" si="88"/>
        <v>0.66539795519386746</v>
      </c>
      <c r="F94" s="23">
        <f t="shared" si="88"/>
        <v>0.66770893337627957</v>
      </c>
      <c r="G94" s="23">
        <f t="shared" si="88"/>
        <v>0.66905481587337123</v>
      </c>
      <c r="H94" s="23">
        <f t="shared" si="88"/>
        <v>0.66868293797205003</v>
      </c>
      <c r="I94" s="23">
        <f t="shared" si="88"/>
        <v>0.67042264108602689</v>
      </c>
      <c r="J94" s="23">
        <f t="shared" ref="J94:K94" si="89">(J36*J56)/(J37)</f>
        <v>0.67203283918833867</v>
      </c>
      <c r="K94" s="23">
        <f t="shared" si="89"/>
        <v>0.67198963168485648</v>
      </c>
      <c r="L94" s="23">
        <f t="shared" ref="L94" si="90">(L36*L56)/(L37)</f>
        <v>0.67379165022765564</v>
      </c>
      <c r="P94" s="111"/>
      <c r="Q94" s="79"/>
      <c r="R94" s="79"/>
      <c r="S94" s="79"/>
    </row>
    <row r="95" spans="1:19">
      <c r="A95" s="38" t="s">
        <v>24</v>
      </c>
      <c r="B95" s="2" t="s">
        <v>74</v>
      </c>
      <c r="D95" s="23">
        <f t="shared" ref="D95:I95" si="91">(D36*D57)/(D37)</f>
        <v>0</v>
      </c>
      <c r="E95" s="23">
        <f t="shared" si="91"/>
        <v>0</v>
      </c>
      <c r="F95" s="23">
        <f t="shared" si="91"/>
        <v>0</v>
      </c>
      <c r="G95" s="23">
        <f t="shared" si="91"/>
        <v>0</v>
      </c>
      <c r="H95" s="23">
        <f t="shared" si="91"/>
        <v>0</v>
      </c>
      <c r="I95" s="23">
        <f t="shared" si="91"/>
        <v>0</v>
      </c>
      <c r="J95" s="23">
        <f t="shared" ref="J95:K95" si="92">(J36*J57)/(J37)</f>
        <v>0</v>
      </c>
      <c r="K95" s="23">
        <f t="shared" si="92"/>
        <v>0</v>
      </c>
      <c r="L95" s="23">
        <f t="shared" ref="L95" si="93">(L36*L57)/(L37)</f>
        <v>0</v>
      </c>
      <c r="P95" s="111"/>
      <c r="Q95" s="79"/>
      <c r="R95" s="79"/>
      <c r="S95" s="79"/>
    </row>
    <row r="96" spans="1:19">
      <c r="A96" s="38" t="s">
        <v>25</v>
      </c>
      <c r="B96" s="2" t="s">
        <v>74</v>
      </c>
      <c r="D96" s="23">
        <f t="shared" ref="D96:I96" si="94">(D36*D58)/(D37)</f>
        <v>15.502862156792</v>
      </c>
      <c r="E96" s="23">
        <f t="shared" si="94"/>
        <v>14.136865477534595</v>
      </c>
      <c r="F96" s="23">
        <f t="shared" si="94"/>
        <v>14.155626324383634</v>
      </c>
      <c r="G96" s="23">
        <f t="shared" si="94"/>
        <v>14.230882688618239</v>
      </c>
      <c r="H96" s="23">
        <f t="shared" si="94"/>
        <v>14.900488772424717</v>
      </c>
      <c r="I96" s="23">
        <f t="shared" si="94"/>
        <v>14.867101843342461</v>
      </c>
      <c r="J96" s="23">
        <f t="shared" ref="J96:K96" si="95">(J36*J58)/(J37)</f>
        <v>15.314347856309775</v>
      </c>
      <c r="K96" s="23">
        <f t="shared" si="95"/>
        <v>15.328483659048521</v>
      </c>
      <c r="L96" s="23">
        <f t="shared" ref="L96" si="96">(L36*L58)/(L37)</f>
        <v>15.590585897822162</v>
      </c>
      <c r="P96" s="111"/>
      <c r="Q96" s="79"/>
      <c r="R96" s="79"/>
      <c r="S96" s="79"/>
    </row>
    <row r="97" spans="1:19">
      <c r="A97" s="38" t="s">
        <v>26</v>
      </c>
      <c r="B97" s="2" t="s">
        <v>74</v>
      </c>
      <c r="D97" s="23">
        <f t="shared" ref="D97:I97" si="97">(D36*D59)/(D37)</f>
        <v>13.272328245617562</v>
      </c>
      <c r="E97" s="23">
        <f t="shared" si="97"/>
        <v>12.745607984297823</v>
      </c>
      <c r="F97" s="23">
        <f t="shared" si="97"/>
        <v>12.673396375747989</v>
      </c>
      <c r="G97" s="23">
        <f t="shared" si="97"/>
        <v>12.638098491934555</v>
      </c>
      <c r="H97" s="23">
        <f t="shared" si="97"/>
        <v>12.732037263967422</v>
      </c>
      <c r="I97" s="23">
        <f t="shared" si="97"/>
        <v>12.67783976054776</v>
      </c>
      <c r="J97" s="23">
        <f t="shared" ref="J97:K97" si="98">(J36*J59)/(J37)</f>
        <v>12.878376974936625</v>
      </c>
      <c r="K97" s="23">
        <f t="shared" si="98"/>
        <v>12.845351394557218</v>
      </c>
      <c r="L97" s="23">
        <f t="shared" ref="L97" si="99">(L36*L59)/(L37)</f>
        <v>13.077735763362913</v>
      </c>
      <c r="P97" s="111"/>
      <c r="Q97" s="79"/>
      <c r="R97" s="79"/>
      <c r="S97" s="79"/>
    </row>
    <row r="98" spans="1:19">
      <c r="A98" s="38" t="s">
        <v>27</v>
      </c>
      <c r="B98" s="2" t="s">
        <v>74</v>
      </c>
      <c r="D98" s="23">
        <f t="shared" ref="D98:I98" si="100">(D36*D60)/(D37)</f>
        <v>1.6547953382151808</v>
      </c>
      <c r="E98" s="23">
        <f t="shared" si="100"/>
        <v>3.1320229832887914</v>
      </c>
      <c r="F98" s="23">
        <f t="shared" si="100"/>
        <v>3.1653654913013116</v>
      </c>
      <c r="G98" s="23">
        <f t="shared" si="100"/>
        <v>3.1721586190378916</v>
      </c>
      <c r="H98" s="23">
        <f t="shared" si="100"/>
        <v>2.7543712844973731</v>
      </c>
      <c r="I98" s="23">
        <f t="shared" si="100"/>
        <v>2.776882097172678</v>
      </c>
      <c r="J98" s="23">
        <f t="shared" ref="J98:K98" si="101">(J36*J60)/(J37)</f>
        <v>2.4048581386975001</v>
      </c>
      <c r="K98" s="23">
        <f t="shared" si="101"/>
        <v>2.448870420628257</v>
      </c>
      <c r="L98" s="23">
        <f t="shared" ref="L98" si="102">(L36*L60)/(L37)</f>
        <v>2.0763656850337098</v>
      </c>
      <c r="P98" s="111"/>
      <c r="Q98" s="79"/>
      <c r="R98" s="79"/>
      <c r="S98" s="79"/>
    </row>
    <row r="99" spans="1:19">
      <c r="A99" s="38" t="s">
        <v>28</v>
      </c>
      <c r="B99" s="2" t="s">
        <v>74</v>
      </c>
      <c r="D99" s="23">
        <f t="shared" ref="D99:I99" si="103">(D36*D61)/(D37)</f>
        <v>1.1190540837573475</v>
      </c>
      <c r="E99" s="23">
        <f t="shared" si="103"/>
        <v>1.0563803199787893</v>
      </c>
      <c r="F99" s="23">
        <f t="shared" si="103"/>
        <v>1.0568754962658584</v>
      </c>
      <c r="G99" s="23">
        <f t="shared" si="103"/>
        <v>1.0586932721632236</v>
      </c>
      <c r="H99" s="23">
        <f t="shared" si="103"/>
        <v>1.0808768631758399</v>
      </c>
      <c r="I99" s="23">
        <f t="shared" si="103"/>
        <v>1.0753668630665818</v>
      </c>
      <c r="J99" s="23">
        <f t="shared" ref="J99:K99" si="104">(J36*J61)/(J37)</f>
        <v>1.0892813573594546</v>
      </c>
      <c r="K99" s="23">
        <f t="shared" si="104"/>
        <v>1.0888899501787226</v>
      </c>
      <c r="L99" s="23">
        <f t="shared" ref="L99" si="105">(L36*L61)/(L37)</f>
        <v>1.1029397975551802</v>
      </c>
      <c r="P99" s="111"/>
      <c r="Q99" s="79"/>
      <c r="R99" s="79"/>
      <c r="S99" s="79"/>
    </row>
    <row r="100" spans="1:19" ht="16.5">
      <c r="A100" s="137" t="s">
        <v>29</v>
      </c>
      <c r="B100" s="2" t="s">
        <v>74</v>
      </c>
      <c r="D100" s="23">
        <f t="shared" ref="D100:I100" si="106">(D36*D62)/(D37)</f>
        <v>0</v>
      </c>
      <c r="E100" s="23">
        <f t="shared" si="106"/>
        <v>0</v>
      </c>
      <c r="F100" s="23">
        <f t="shared" si="106"/>
        <v>0</v>
      </c>
      <c r="G100" s="23">
        <f t="shared" si="106"/>
        <v>0</v>
      </c>
      <c r="H100" s="23">
        <f t="shared" si="106"/>
        <v>0</v>
      </c>
      <c r="I100" s="23">
        <f t="shared" si="106"/>
        <v>0</v>
      </c>
      <c r="J100" s="23">
        <f t="shared" ref="J100:K100" si="107">(J36*J62)/(J37)</f>
        <v>0</v>
      </c>
      <c r="K100" s="23">
        <f t="shared" si="107"/>
        <v>0</v>
      </c>
      <c r="L100" s="23">
        <f t="shared" ref="L100" si="108">(L36*L62)/(L37)</f>
        <v>0</v>
      </c>
      <c r="P100" s="111"/>
      <c r="Q100" s="79"/>
      <c r="R100" s="79"/>
      <c r="S100" s="79"/>
    </row>
    <row r="101" spans="1:19">
      <c r="A101" s="38" t="s">
        <v>30</v>
      </c>
      <c r="B101" s="2" t="s">
        <v>74</v>
      </c>
      <c r="D101" s="23">
        <f t="shared" ref="D101:I101" si="109">(D36*SUM(D63,D64,D65,D66,D67,D68,D69,D70,D71,D77))/(D37)</f>
        <v>14.183288970368546</v>
      </c>
      <c r="E101" s="23">
        <f t="shared" si="109"/>
        <v>12.245237024077866</v>
      </c>
      <c r="F101" s="23">
        <f t="shared" si="109"/>
        <v>12.207840169281186</v>
      </c>
      <c r="G101" s="23">
        <f t="shared" si="109"/>
        <v>12.217167558227558</v>
      </c>
      <c r="H101" s="23">
        <f t="shared" si="109"/>
        <v>12.877435200800962</v>
      </c>
      <c r="I101" s="23">
        <f t="shared" si="109"/>
        <v>12.796410422746</v>
      </c>
      <c r="J101" s="23">
        <f t="shared" ref="J101:K101" si="110">(J36*SUM(J63,J64,J65,J66,J67,J68,J69,J70,J71,J77))/(J37)</f>
        <v>13.251200312705626</v>
      </c>
      <c r="K101" s="23">
        <f t="shared" si="110"/>
        <v>13.242418385056503</v>
      </c>
      <c r="L101" s="23">
        <f t="shared" ref="L101" si="111">(L36*SUM(L63,L64,L65,L66,L67,L68,L69,L70,L71,L77))/(L37)</f>
        <v>13.695612759627808</v>
      </c>
      <c r="P101" s="111"/>
      <c r="Q101" s="79"/>
      <c r="R101" s="79"/>
      <c r="S101" s="79"/>
    </row>
    <row r="102" spans="1:19">
      <c r="A102" s="22" t="s">
        <v>76</v>
      </c>
      <c r="B102" s="2" t="s">
        <v>74</v>
      </c>
      <c r="D102" s="23">
        <f t="shared" ref="D102:I102" si="112">(D36*D72)/(D37)</f>
        <v>2.9009792157168399E-2</v>
      </c>
      <c r="E102" s="23">
        <f t="shared" si="112"/>
        <v>2.129312723242548E-2</v>
      </c>
      <c r="F102" s="23">
        <f t="shared" si="112"/>
        <v>2.0158475554991846E-2</v>
      </c>
      <c r="G102" s="23">
        <f t="shared" si="112"/>
        <v>1.9318606342484154E-2</v>
      </c>
      <c r="H102" s="23">
        <f t="shared" si="112"/>
        <v>1.456292055430171E-2</v>
      </c>
      <c r="I102" s="23">
        <f t="shared" si="112"/>
        <v>1.3886708250494602E-2</v>
      </c>
      <c r="J102" s="23">
        <f t="shared" ref="J102:K102" si="113">(J36*J72)/(J37)</f>
        <v>1.1739732081384362E-2</v>
      </c>
      <c r="K102" s="23">
        <f t="shared" si="113"/>
        <v>9.9997533483696232E-3</v>
      </c>
      <c r="L102" s="23">
        <f t="shared" ref="L102" si="114">(L36*L72)/(L37)</f>
        <v>7.6846488206395464E-3</v>
      </c>
      <c r="P102" s="111"/>
      <c r="Q102" s="79"/>
      <c r="R102" s="79"/>
      <c r="S102" s="79"/>
    </row>
    <row r="103" spans="1:19">
      <c r="A103" s="22" t="s">
        <v>77</v>
      </c>
      <c r="B103" s="2" t="s">
        <v>74</v>
      </c>
      <c r="D103" s="23">
        <f t="shared" ref="D103:I103" si="115">(D36*D73)/(D37)</f>
        <v>3.1109804024732381E-3</v>
      </c>
      <c r="E103" s="23">
        <f t="shared" si="115"/>
        <v>5.5293814895323251E-3</v>
      </c>
      <c r="F103" s="23">
        <f t="shared" si="115"/>
        <v>6.1525222052653513E-3</v>
      </c>
      <c r="G103" s="23">
        <f t="shared" si="115"/>
        <v>5.6264577327745013E-3</v>
      </c>
      <c r="H103" s="23">
        <f t="shared" si="115"/>
        <v>4.5352694975241822E-3</v>
      </c>
      <c r="I103" s="23">
        <f t="shared" si="115"/>
        <v>4.5264461427891919E-3</v>
      </c>
      <c r="J103" s="23">
        <f t="shared" ref="J103:K103" si="116">(J36*J73)/(J37)</f>
        <v>3.5738759725882298E-3</v>
      </c>
      <c r="K103" s="23">
        <f t="shared" si="116"/>
        <v>3.7910767774828073E-3</v>
      </c>
      <c r="L103" s="23">
        <f t="shared" ref="L103" si="117">(L36*L73)/(L37)</f>
        <v>2.9349212377380684E-3</v>
      </c>
      <c r="P103" s="111"/>
      <c r="Q103" s="79"/>
      <c r="R103" s="79"/>
      <c r="S103" s="79"/>
    </row>
    <row r="104" spans="1:19">
      <c r="A104" s="22" t="s">
        <v>78</v>
      </c>
      <c r="B104" s="2" t="s">
        <v>74</v>
      </c>
      <c r="D104" s="23">
        <f t="shared" ref="D104:I104" si="118">(D36*D74)/(D37)</f>
        <v>0</v>
      </c>
      <c r="E104" s="23">
        <f t="shared" si="118"/>
        <v>0</v>
      </c>
      <c r="F104" s="23">
        <f t="shared" si="118"/>
        <v>0</v>
      </c>
      <c r="G104" s="23">
        <f t="shared" si="118"/>
        <v>0</v>
      </c>
      <c r="H104" s="23">
        <f t="shared" si="118"/>
        <v>0</v>
      </c>
      <c r="I104" s="23">
        <f t="shared" si="118"/>
        <v>0</v>
      </c>
      <c r="J104" s="23">
        <f t="shared" ref="J104:K104" si="119">(J36*J74)/(J37)</f>
        <v>0</v>
      </c>
      <c r="K104" s="23">
        <f t="shared" si="119"/>
        <v>0</v>
      </c>
      <c r="L104" s="23">
        <f t="shared" ref="L104" si="120">(L36*L74)/(L37)</f>
        <v>0</v>
      </c>
      <c r="P104" s="111"/>
      <c r="Q104" s="79"/>
      <c r="R104" s="79"/>
      <c r="S104" s="79"/>
    </row>
    <row r="105" spans="1:19">
      <c r="A105" s="22" t="s">
        <v>79</v>
      </c>
      <c r="B105" s="2" t="s">
        <v>74</v>
      </c>
      <c r="D105" s="23">
        <f t="shared" ref="D105:I105" si="121">(D36*D75)/(D37)</f>
        <v>0.31664535472303379</v>
      </c>
      <c r="E105" s="23">
        <f t="shared" si="121"/>
        <v>7.7510509108427869E-2</v>
      </c>
      <c r="F105" s="23">
        <f t="shared" si="121"/>
        <v>8.0983500111474649E-2</v>
      </c>
      <c r="G105" s="23">
        <f t="shared" si="121"/>
        <v>8.1204634766829292E-2</v>
      </c>
      <c r="H105" s="23">
        <f t="shared" si="121"/>
        <v>8.0604653976858592E-2</v>
      </c>
      <c r="I105" s="23">
        <f t="shared" si="121"/>
        <v>8.1144631836902376E-2</v>
      </c>
      <c r="J105" s="23">
        <f t="shared" ref="J105:K105" si="122">(J36*J75)/(J37)</f>
        <v>7.5298663593884846E-2</v>
      </c>
      <c r="K105" s="23">
        <f t="shared" si="122"/>
        <v>7.6235981228525401E-2</v>
      </c>
      <c r="L105" s="23">
        <f t="shared" ref="L105" si="123">(L36*L75)/(L37)</f>
        <v>6.7396081860732066E-2</v>
      </c>
      <c r="P105" s="111"/>
      <c r="Q105" s="79"/>
      <c r="R105" s="79"/>
      <c r="S105" s="79"/>
    </row>
    <row r="106" spans="1:19">
      <c r="A106" s="22" t="s">
        <v>80</v>
      </c>
      <c r="B106" s="2" t="s">
        <v>74</v>
      </c>
      <c r="D106" s="23">
        <f t="shared" ref="D106:I106" si="124">(D36*D76)/(D37)</f>
        <v>0.1437166844294418</v>
      </c>
      <c r="E106" s="23">
        <f t="shared" si="124"/>
        <v>0.10760857534320645</v>
      </c>
      <c r="F106" s="23">
        <f t="shared" si="124"/>
        <v>0.10085147885117395</v>
      </c>
      <c r="G106" s="23">
        <f t="shared" si="124"/>
        <v>0.10108698834254926</v>
      </c>
      <c r="H106" s="23">
        <f t="shared" si="124"/>
        <v>9.1129883166145953E-2</v>
      </c>
      <c r="I106" s="23">
        <f t="shared" si="124"/>
        <v>8.5535915354326253E-2</v>
      </c>
      <c r="J106" s="23">
        <f t="shared" ref="J106:K106" si="125">(J36*J76)/(J37)</f>
        <v>7.3493706064871794E-2</v>
      </c>
      <c r="K106" s="23">
        <f t="shared" si="125"/>
        <v>7.2157595490087351E-2</v>
      </c>
      <c r="L106" s="23">
        <f t="shared" ref="L106" si="126">(L36*L76)/(L37)</f>
        <v>6.4691389778751066E-2</v>
      </c>
      <c r="P106" s="111"/>
      <c r="Q106" s="79"/>
      <c r="R106" s="79"/>
      <c r="S106" s="79"/>
    </row>
    <row r="107" spans="1:19">
      <c r="A107" s="22" t="s">
        <v>81</v>
      </c>
      <c r="B107" s="2" t="s">
        <v>74</v>
      </c>
      <c r="D107" s="23">
        <f t="shared" ref="D107:I107" si="127">SUM(D80:D106)</f>
        <v>100.09544711682237</v>
      </c>
      <c r="E107" s="23">
        <f t="shared" si="127"/>
        <v>100.13190496328852</v>
      </c>
      <c r="F107" s="23">
        <f t="shared" si="127"/>
        <v>100.13263847145355</v>
      </c>
      <c r="G107" s="23">
        <f t="shared" si="127"/>
        <v>100.13271247311179</v>
      </c>
      <c r="H107" s="23">
        <f t="shared" si="127"/>
        <v>100.11732561190195</v>
      </c>
      <c r="I107" s="23">
        <f t="shared" si="127"/>
        <v>100.11944801206155</v>
      </c>
      <c r="J107" s="23">
        <f t="shared" ref="J107" si="128">SUM(J80:J106)</f>
        <v>100.10857366399185</v>
      </c>
      <c r="K107" s="23">
        <f t="shared" ref="K107:L107" si="129">SUM(K80:K106)</f>
        <v>100.10867399991301</v>
      </c>
      <c r="L107" s="23">
        <f t="shared" si="129"/>
        <v>100.09961391893019</v>
      </c>
      <c r="P107" s="111"/>
      <c r="Q107" s="79"/>
      <c r="R107" s="79"/>
      <c r="S107" s="79"/>
    </row>
    <row r="108" spans="1:19" s="133" customFormat="1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M108" s="131"/>
      <c r="P108" s="134"/>
    </row>
    <row r="109" spans="1:19" s="85" customFormat="1">
      <c r="A109" s="153" t="s">
        <v>967</v>
      </c>
      <c r="B109" s="84" t="s">
        <v>74</v>
      </c>
      <c r="C109" s="84"/>
      <c r="D109" s="88">
        <f t="shared" ref="D109:I109" si="130">SUM(D102,D80,D81,D82,D83,D84)</f>
        <v>2.8274297533637736</v>
      </c>
      <c r="E109" s="88">
        <f t="shared" si="130"/>
        <v>4.3098403408323431</v>
      </c>
      <c r="F109" s="88">
        <f t="shared" si="130"/>
        <v>4.293289496595639</v>
      </c>
      <c r="G109" s="88">
        <f t="shared" si="130"/>
        <v>4.2835437329548185</v>
      </c>
      <c r="H109" s="88">
        <f t="shared" si="130"/>
        <v>3.5246222336225861</v>
      </c>
      <c r="I109" s="88">
        <f t="shared" si="130"/>
        <v>3.5670728411972177</v>
      </c>
      <c r="J109" s="88">
        <f t="shared" ref="J109:K109" si="131">SUM(J102,J80,J81,J82,J83,J84)</f>
        <v>3.0189471361016991</v>
      </c>
      <c r="K109" s="88">
        <f t="shared" si="131"/>
        <v>3.0097225393258982</v>
      </c>
      <c r="L109" s="88">
        <f t="shared" ref="L109" si="132">SUM(L102,L80,L81,L82,L83,L84)</f>
        <v>2.596075972272776</v>
      </c>
      <c r="M109" s="84"/>
      <c r="P109" s="243"/>
      <c r="Q109" s="243"/>
      <c r="R109" s="243"/>
      <c r="S109" s="243"/>
    </row>
    <row r="110" spans="1:19" s="85" customFormat="1">
      <c r="A110" s="153" t="s">
        <v>968</v>
      </c>
      <c r="B110" s="84" t="s">
        <v>74</v>
      </c>
      <c r="C110" s="84"/>
      <c r="D110" s="88">
        <f t="shared" ref="D110:I110" si="133">D107-D109</f>
        <v>97.268017363458597</v>
      </c>
      <c r="E110" s="88">
        <f t="shared" si="133"/>
        <v>95.822064622456182</v>
      </c>
      <c r="F110" s="88">
        <f t="shared" si="133"/>
        <v>95.839348974857913</v>
      </c>
      <c r="G110" s="88">
        <f t="shared" si="133"/>
        <v>95.849168740156983</v>
      </c>
      <c r="H110" s="88">
        <f t="shared" si="133"/>
        <v>96.592703378279367</v>
      </c>
      <c r="I110" s="88">
        <f t="shared" si="133"/>
        <v>96.552375170864337</v>
      </c>
      <c r="J110" s="88">
        <f t="shared" ref="J110" si="134">J107-J109</f>
        <v>97.089626527890147</v>
      </c>
      <c r="K110" s="88">
        <f t="shared" ref="K110:L110" si="135">K107-K109</f>
        <v>97.098951460587116</v>
      </c>
      <c r="L110" s="88">
        <f t="shared" si="135"/>
        <v>97.503537946657417</v>
      </c>
      <c r="M110" s="84"/>
      <c r="P110" s="153"/>
    </row>
    <row r="111" spans="1:19">
      <c r="A111" s="22" t="s">
        <v>41</v>
      </c>
      <c r="B111" s="2" t="s">
        <v>74</v>
      </c>
      <c r="D111" s="23">
        <f>D107-100</f>
        <v>9.5447116822370504E-2</v>
      </c>
      <c r="E111" s="23">
        <f t="shared" ref="E111:F111" si="136">E107-100</f>
        <v>0.13190496328851964</v>
      </c>
      <c r="F111" s="23">
        <f t="shared" si="136"/>
        <v>0.13263847145354646</v>
      </c>
      <c r="G111" s="23">
        <f t="shared" ref="G111:H111" si="137">G107-100</f>
        <v>0.13271247311179479</v>
      </c>
      <c r="H111" s="23">
        <f t="shared" si="137"/>
        <v>0.11732561190194701</v>
      </c>
      <c r="I111" s="23">
        <f t="shared" ref="I111:K111" si="138">I107-100</f>
        <v>0.11944801206155375</v>
      </c>
      <c r="J111" s="23">
        <f t="shared" si="138"/>
        <v>0.10857366399184798</v>
      </c>
      <c r="K111" s="23">
        <f t="shared" si="138"/>
        <v>0.10867399991300886</v>
      </c>
      <c r="L111" s="23">
        <f t="shared" ref="L111" si="139">L107-100</f>
        <v>9.9613918930188561E-2</v>
      </c>
    </row>
    <row r="112" spans="1:19" ht="15.75" customHeight="1">
      <c r="A112" s="22"/>
      <c r="D112" s="23"/>
      <c r="E112" s="23"/>
      <c r="F112" s="23"/>
      <c r="G112" s="23"/>
      <c r="H112" s="23"/>
      <c r="I112" s="23"/>
      <c r="J112" s="23"/>
      <c r="K112" s="23"/>
      <c r="L112" s="23"/>
    </row>
    <row r="113" spans="1:23">
      <c r="A113" s="22"/>
      <c r="D113" s="26"/>
      <c r="E113" s="26"/>
      <c r="F113" s="26"/>
      <c r="G113" s="26"/>
      <c r="H113" s="26"/>
      <c r="I113" s="26"/>
      <c r="J113" s="26"/>
      <c r="K113" s="26"/>
      <c r="L113" s="26"/>
    </row>
    <row r="114" spans="1:23" s="85" customFormat="1">
      <c r="A114" s="228" t="s">
        <v>990</v>
      </c>
      <c r="B114" s="84"/>
      <c r="C114" s="84"/>
      <c r="D114" s="90"/>
      <c r="E114" s="90">
        <v>47.8</v>
      </c>
      <c r="F114" s="90"/>
      <c r="G114" s="90"/>
      <c r="H114" s="90">
        <v>46.5</v>
      </c>
      <c r="I114" s="90"/>
      <c r="J114" s="90">
        <v>45.6</v>
      </c>
      <c r="K114" s="90"/>
      <c r="L114" s="90">
        <v>44.9</v>
      </c>
      <c r="M114" s="90"/>
      <c r="N114" s="84"/>
      <c r="O114" s="84"/>
      <c r="P114" s="153"/>
      <c r="Q114" s="84"/>
      <c r="R114" s="84"/>
      <c r="S114" s="84"/>
      <c r="T114" s="84"/>
      <c r="U114" s="84"/>
      <c r="V114" s="84"/>
      <c r="W114" s="84"/>
    </row>
    <row r="115" spans="1:23">
      <c r="A115" s="153" t="s">
        <v>969</v>
      </c>
      <c r="B115" s="84" t="s">
        <v>8</v>
      </c>
      <c r="D115" s="26"/>
      <c r="E115" s="26">
        <f t="shared" ref="E115:L115" si="140">100*(E37*$D$8-E36*E50)/(E37*$D$8)</f>
        <v>4.3678982438468861</v>
      </c>
      <c r="F115" s="26">
        <f t="shared" si="140"/>
        <v>4.2438089232574532</v>
      </c>
      <c r="G115" s="26">
        <f t="shared" si="140"/>
        <v>4.0979468949010416</v>
      </c>
      <c r="H115" s="26">
        <f t="shared" si="140"/>
        <v>2.9146156967131072</v>
      </c>
      <c r="I115" s="26">
        <f t="shared" si="140"/>
        <v>2.5784338892336778</v>
      </c>
      <c r="J115" s="26">
        <f t="shared" si="140"/>
        <v>1.6609568324803785</v>
      </c>
      <c r="K115" s="26">
        <f t="shared" si="140"/>
        <v>1.5688670466583028</v>
      </c>
      <c r="L115" s="26">
        <f t="shared" si="140"/>
        <v>1.026194577987956</v>
      </c>
    </row>
    <row r="116" spans="1:23">
      <c r="A116" s="153" t="s">
        <v>970</v>
      </c>
      <c r="B116" s="84" t="s">
        <v>8</v>
      </c>
    </row>
    <row r="117" spans="1:23">
      <c r="A117" s="153" t="s">
        <v>971</v>
      </c>
      <c r="B117" s="84" t="s">
        <v>8</v>
      </c>
      <c r="D117" s="26"/>
      <c r="E117" s="26"/>
      <c r="F117" s="26"/>
      <c r="G117" s="26"/>
      <c r="H117" s="26"/>
      <c r="I117" s="26"/>
      <c r="J117" s="26"/>
      <c r="K117" s="26"/>
      <c r="L117" s="26"/>
    </row>
    <row r="118" spans="1:23">
      <c r="A118" s="22"/>
      <c r="D118" s="26"/>
      <c r="E118" s="26"/>
      <c r="F118" s="26"/>
      <c r="G118" s="26"/>
      <c r="H118" s="26"/>
      <c r="I118" s="26"/>
      <c r="J118" s="26"/>
      <c r="K118" s="26"/>
      <c r="L118" s="26"/>
    </row>
    <row r="119" spans="1:23">
      <c r="A119" s="38" t="s">
        <v>18</v>
      </c>
      <c r="B119" s="2" t="s">
        <v>8</v>
      </c>
      <c r="D119" s="26"/>
      <c r="E119" s="26">
        <f>100*(E36*E51-E37*$D$9)/(E37*$D$8-E36*E50)</f>
        <v>-64.565481316615646</v>
      </c>
      <c r="F119" s="26">
        <f t="shared" ref="F119:L119" si="141">100*(F36*F51-F37*$D$9)/(F37*$D$8-F36*F50)</f>
        <v>-67.020124836064667</v>
      </c>
      <c r="G119" s="26">
        <f t="shared" si="141"/>
        <v>-71.534348568016114</v>
      </c>
      <c r="H119" s="26">
        <f t="shared" si="141"/>
        <v>-87.108418698772084</v>
      </c>
      <c r="I119" s="26">
        <f t="shared" si="141"/>
        <v>-97.464861626928197</v>
      </c>
      <c r="J119" s="26">
        <f t="shared" si="141"/>
        <v>-122.91493660552973</v>
      </c>
      <c r="K119" s="26">
        <f t="shared" si="141"/>
        <v>-133.06188321981125</v>
      </c>
      <c r="L119" s="26">
        <f t="shared" si="141"/>
        <v>-153.26169149755574</v>
      </c>
    </row>
    <row r="120" spans="1:23">
      <c r="A120" s="38" t="s">
        <v>19</v>
      </c>
      <c r="B120" s="2" t="s">
        <v>8</v>
      </c>
      <c r="D120" s="26"/>
      <c r="E120" s="26">
        <f>100*(E36*E52-E37*$D$10)/(E37*$D$8-E36*E50)</f>
        <v>65.020761132765514</v>
      </c>
      <c r="F120" s="26">
        <f t="shared" ref="F120:L120" si="142">100*(F36*F52-F37*$D$10)/(F37*$D$8-F36*F50)</f>
        <v>66.305904663613049</v>
      </c>
      <c r="G120" s="26">
        <f t="shared" si="142"/>
        <v>66.782158371832196</v>
      </c>
      <c r="H120" s="26">
        <f t="shared" si="142"/>
        <v>71.24255426673605</v>
      </c>
      <c r="I120" s="26">
        <f t="shared" si="142"/>
        <v>80.749691503520779</v>
      </c>
      <c r="J120" s="26">
        <f t="shared" si="142"/>
        <v>94.395994234447954</v>
      </c>
      <c r="K120" s="26">
        <f t="shared" si="142"/>
        <v>103.44378089357147</v>
      </c>
      <c r="L120" s="26">
        <f t="shared" si="142"/>
        <v>112.6883083038465</v>
      </c>
    </row>
    <row r="121" spans="1:23" s="80" customFormat="1">
      <c r="A121" s="38" t="s">
        <v>20</v>
      </c>
      <c r="B121" s="2" t="s">
        <v>8</v>
      </c>
      <c r="C121" s="81"/>
      <c r="D121" s="82"/>
      <c r="E121" s="26">
        <f>100*(E36*E53-E37*$D$11)/(E37*$D$8-E36*E50)</f>
        <v>68.916815998664376</v>
      </c>
      <c r="F121" s="26">
        <f t="shared" ref="F121:L121" si="143">100*(F36*F53-F37*$D$11)/(F37*$D$8-F36*F50)</f>
        <v>73.87411984800201</v>
      </c>
      <c r="G121" s="26">
        <f t="shared" si="143"/>
        <v>77.967290967179565</v>
      </c>
      <c r="H121" s="26">
        <f t="shared" si="143"/>
        <v>85.408836613737975</v>
      </c>
      <c r="I121" s="26">
        <f t="shared" si="143"/>
        <v>100.18892890311255</v>
      </c>
      <c r="J121" s="26">
        <f t="shared" si="143"/>
        <v>117.95339068442891</v>
      </c>
      <c r="K121" s="26">
        <f t="shared" si="143"/>
        <v>129.11509062767806</v>
      </c>
      <c r="L121" s="26">
        <f t="shared" si="143"/>
        <v>135.74730467257348</v>
      </c>
      <c r="M121" s="81"/>
      <c r="P121" s="83"/>
    </row>
    <row r="122" spans="1:23">
      <c r="A122" s="38" t="s">
        <v>75</v>
      </c>
      <c r="B122" s="2" t="s">
        <v>8</v>
      </c>
      <c r="E122" s="26">
        <f>100*(E36*E54-E37*$D$12)/(E37*$D$8-E36*E50)</f>
        <v>21.366163185321366</v>
      </c>
      <c r="F122" s="26">
        <f t="shared" ref="F122:L122" si="144">100*(F36*F54-F37*$D$12)/(F37*$D$8-F36*F50)</f>
        <v>21.226208861463004</v>
      </c>
      <c r="G122" s="26">
        <f t="shared" si="144"/>
        <v>21.059545764705941</v>
      </c>
      <c r="H122" s="26">
        <f t="shared" si="144"/>
        <v>20.228773021319348</v>
      </c>
      <c r="I122" s="26">
        <f t="shared" si="144"/>
        <v>22.100282257565311</v>
      </c>
      <c r="J122" s="26">
        <f t="shared" si="144"/>
        <v>23.07728971927466</v>
      </c>
      <c r="K122" s="26">
        <f t="shared" si="144"/>
        <v>24.842219223637613</v>
      </c>
      <c r="L122" s="26">
        <f t="shared" si="144"/>
        <v>25.064370083789452</v>
      </c>
    </row>
    <row r="123" spans="1:23" s="85" customFormat="1">
      <c r="A123" s="151" t="s">
        <v>972</v>
      </c>
      <c r="B123" s="84" t="s">
        <v>8</v>
      </c>
      <c r="C123" s="84"/>
      <c r="D123" s="90"/>
      <c r="E123" s="90">
        <f>SUM(E119:E122)</f>
        <v>90.738259000135614</v>
      </c>
      <c r="F123" s="90">
        <f t="shared" ref="F123:L123" si="145">SUM(F119:F122)</f>
        <v>94.386108537013399</v>
      </c>
      <c r="G123" s="90">
        <f t="shared" si="145"/>
        <v>94.274646535701592</v>
      </c>
      <c r="H123" s="90">
        <f t="shared" si="145"/>
        <v>89.771745203021283</v>
      </c>
      <c r="I123" s="90">
        <f t="shared" si="145"/>
        <v>105.57404103727045</v>
      </c>
      <c r="J123" s="90">
        <f t="shared" si="145"/>
        <v>112.51173803262179</v>
      </c>
      <c r="K123" s="90">
        <f t="shared" si="145"/>
        <v>124.33920752507589</v>
      </c>
      <c r="L123" s="90">
        <f t="shared" si="145"/>
        <v>120.23829156265369</v>
      </c>
      <c r="M123" s="84"/>
      <c r="P123" s="153"/>
    </row>
    <row r="124" spans="1:23">
      <c r="D124" s="26"/>
      <c r="E124" s="26"/>
      <c r="F124" s="26"/>
      <c r="G124" s="26"/>
      <c r="H124" s="26"/>
      <c r="I124" s="26"/>
      <c r="J124" s="26"/>
      <c r="K124" s="26"/>
      <c r="L124" s="26"/>
    </row>
    <row r="125" spans="1:23" s="80" customFormat="1">
      <c r="A125" s="77" t="s">
        <v>973</v>
      </c>
      <c r="B125" s="2" t="s">
        <v>8</v>
      </c>
      <c r="C125" s="81"/>
      <c r="D125" s="82"/>
      <c r="E125" s="82"/>
      <c r="F125" s="82"/>
      <c r="G125" s="82"/>
      <c r="H125" s="82"/>
      <c r="I125" s="82"/>
      <c r="J125" s="82"/>
      <c r="K125" s="82"/>
      <c r="L125" s="82"/>
      <c r="M125" s="81"/>
      <c r="P125" s="83"/>
    </row>
    <row r="126" spans="1:23">
      <c r="A126" s="77" t="s">
        <v>974</v>
      </c>
      <c r="B126" s="2" t="s">
        <v>8</v>
      </c>
      <c r="C126" s="81"/>
      <c r="D126" s="26"/>
      <c r="E126" s="26"/>
      <c r="F126" s="26"/>
      <c r="G126" s="26"/>
      <c r="H126" s="26"/>
      <c r="I126" s="26"/>
      <c r="J126" s="26"/>
      <c r="K126" s="26"/>
      <c r="L126" s="26"/>
    </row>
    <row r="127" spans="1:23">
      <c r="A127" s="22" t="s">
        <v>975</v>
      </c>
      <c r="B127" s="2" t="s">
        <v>8</v>
      </c>
      <c r="K127" s="2"/>
      <c r="L127" s="2"/>
    </row>
    <row r="128" spans="1:23" s="152" customFormat="1">
      <c r="A128" s="151" t="s">
        <v>976</v>
      </c>
      <c r="B128" s="84" t="s">
        <v>8</v>
      </c>
      <c r="C128" s="99"/>
      <c r="D128" s="232"/>
      <c r="E128" s="232"/>
      <c r="F128" s="232"/>
      <c r="G128" s="232"/>
      <c r="H128" s="232"/>
      <c r="I128" s="232"/>
      <c r="J128" s="232"/>
      <c r="K128" s="232"/>
      <c r="L128" s="232"/>
      <c r="M128" s="99"/>
      <c r="P128" s="151"/>
    </row>
    <row r="129" spans="1:23">
      <c r="A129" s="80"/>
      <c r="B129" s="81"/>
      <c r="D129" s="26"/>
      <c r="E129" s="26"/>
      <c r="F129" s="26"/>
      <c r="G129" s="26"/>
      <c r="H129" s="26"/>
      <c r="I129" s="26"/>
      <c r="J129" s="26"/>
      <c r="K129" s="26"/>
      <c r="L129" s="26"/>
    </row>
    <row r="130" spans="1:23">
      <c r="A130" s="22" t="s">
        <v>977</v>
      </c>
      <c r="B130" s="2" t="s">
        <v>8</v>
      </c>
    </row>
    <row r="131" spans="1:23" s="85" customFormat="1">
      <c r="A131" s="151" t="s">
        <v>978</v>
      </c>
      <c r="B131" s="84" t="s">
        <v>8</v>
      </c>
      <c r="C131" s="84"/>
      <c r="D131" s="84"/>
      <c r="E131" s="84"/>
      <c r="F131" s="84"/>
      <c r="G131" s="84"/>
      <c r="H131" s="84"/>
      <c r="I131" s="84"/>
      <c r="J131" s="84"/>
      <c r="M131" s="84"/>
      <c r="P131" s="153"/>
    </row>
    <row r="132" spans="1:23">
      <c r="K132" s="2"/>
      <c r="L132" s="2"/>
    </row>
    <row r="133" spans="1:23" s="85" customFormat="1">
      <c r="A133" s="151" t="s">
        <v>979</v>
      </c>
      <c r="B133" s="84" t="s">
        <v>980</v>
      </c>
      <c r="C133" s="84"/>
      <c r="D133" s="84"/>
      <c r="E133" s="92">
        <f>E114*E110</f>
        <v>4580.2946889534051</v>
      </c>
      <c r="F133" s="92"/>
      <c r="G133" s="92"/>
      <c r="H133" s="92">
        <f t="shared" ref="H133:L133" si="146">H114*H110</f>
        <v>4491.5607070899905</v>
      </c>
      <c r="I133" s="92"/>
      <c r="J133" s="92"/>
      <c r="K133" s="92"/>
      <c r="L133" s="92">
        <f t="shared" si="146"/>
        <v>4377.9088538049182</v>
      </c>
      <c r="M133" s="92"/>
      <c r="P133" s="153"/>
    </row>
    <row r="135" spans="1:23" s="151" customFormat="1">
      <c r="A135" s="151" t="s">
        <v>981</v>
      </c>
      <c r="B135" s="99" t="s">
        <v>8</v>
      </c>
      <c r="E135" s="92">
        <f>(E86)/(E86+E85)*100</f>
        <v>39.58259100357175</v>
      </c>
      <c r="F135" s="92">
        <f t="shared" ref="F135:L135" si="147">(F86)/(F86+F85)*100</f>
        <v>39.566366722207967</v>
      </c>
      <c r="G135" s="92">
        <f t="shared" si="147"/>
        <v>39.542334347496492</v>
      </c>
      <c r="H135" s="92">
        <f t="shared" si="147"/>
        <v>38.750323490352372</v>
      </c>
      <c r="I135" s="92">
        <f t="shared" si="147"/>
        <v>38.778963931200501</v>
      </c>
      <c r="J135" s="92">
        <f t="shared" si="147"/>
        <v>38.21460513642409</v>
      </c>
      <c r="K135" s="92">
        <f t="shared" si="147"/>
        <v>38.181740991092177</v>
      </c>
      <c r="L135" s="92">
        <f t="shared" si="147"/>
        <v>37.736484662790488</v>
      </c>
    </row>
    <row r="136" spans="1:23" s="151" customFormat="1">
      <c r="A136" s="151" t="s">
        <v>982</v>
      </c>
      <c r="B136" s="99" t="s">
        <v>8</v>
      </c>
      <c r="E136" s="92" cm="1">
        <f t="array" ref="E136">SUM(E89:E92)/SUM(E89:E92+E88)*100</f>
        <v>16.18658174948677</v>
      </c>
      <c r="F136" s="92" cm="1">
        <f t="array" ref="F136">SUM(F89:F92)/SUM(F89:F92+F88)*100</f>
        <v>16.176741455360148</v>
      </c>
      <c r="G136" s="92" cm="1">
        <f t="array" ref="G136">SUM(G89:G92)/SUM(G89:G92+G88)*100</f>
        <v>16.130038068414869</v>
      </c>
      <c r="H136" s="92" cm="1">
        <f t="array" ref="H136">SUM(H89:H92)/SUM(H89:H92+H88)*100</f>
        <v>15.737477566079395</v>
      </c>
      <c r="I136" s="92" cm="1">
        <f t="array" ref="I136">SUM(I89:I92)/SUM(I89:I92+I88)*100</f>
        <v>15.710959611322725</v>
      </c>
      <c r="J136" s="92" cm="1">
        <f t="array" ref="J136">SUM(J89:J92)/SUM(J89:J92+J88)*100</f>
        <v>15.432356606094155</v>
      </c>
      <c r="K136" s="92" cm="1">
        <f t="array" ref="K136">SUM(K89:K92)/SUM(K89:K92+K88)*100</f>
        <v>15.435031253167015</v>
      </c>
      <c r="L136" s="92" cm="1">
        <f t="array" ref="L136">SUM(L89:L92)/SUM(L89:L92+L88)*100</f>
        <v>15.233498977883213</v>
      </c>
    </row>
    <row r="137" spans="1:23" s="151" customFormat="1">
      <c r="A137" s="151" t="s">
        <v>983</v>
      </c>
      <c r="B137" s="99" t="s">
        <v>8</v>
      </c>
      <c r="E137" s="92">
        <f>SUM(E98,E97)/(SUM(E98,E97)+E96)*100</f>
        <v>52.899874554342183</v>
      </c>
      <c r="F137" s="92">
        <f t="shared" ref="F137:L137" si="148">SUM(F98,F97)/(SUM(F98,F97)+F96)*100</f>
        <v>52.805750748979122</v>
      </c>
      <c r="G137" s="92">
        <f t="shared" si="148"/>
        <v>52.628685916863461</v>
      </c>
      <c r="H137" s="92">
        <f t="shared" si="148"/>
        <v>50.964099377854687</v>
      </c>
      <c r="I137" s="92">
        <f t="shared" si="148"/>
        <v>50.968972084547438</v>
      </c>
      <c r="J137" s="92">
        <f t="shared" si="148"/>
        <v>49.949158169280544</v>
      </c>
      <c r="K137" s="92">
        <f t="shared" si="148"/>
        <v>49.944058104382918</v>
      </c>
      <c r="L137" s="92">
        <f t="shared" si="148"/>
        <v>49.290146547092434</v>
      </c>
    </row>
    <row r="138" spans="1:23">
      <c r="A138" s="22"/>
    </row>
    <row r="139" spans="1:23" s="85" customFormat="1">
      <c r="A139" s="245" t="s">
        <v>984</v>
      </c>
      <c r="B139" s="84" t="s">
        <v>74</v>
      </c>
      <c r="C139" s="84"/>
      <c r="D139" s="84"/>
      <c r="E139" s="92">
        <f>E137*SUM(E96:E101,E105,E106)</f>
        <v>2301.2097619742267</v>
      </c>
      <c r="F139" s="92">
        <f t="shared" ref="F139:L139" si="149">F137*SUM(F96:F101,F105,F106)</f>
        <v>2293.9313884724334</v>
      </c>
      <c r="G139" s="92">
        <f t="shared" si="149"/>
        <v>2289.3105895937697</v>
      </c>
      <c r="H139" s="92">
        <f t="shared" si="149"/>
        <v>2268.7659540396671</v>
      </c>
      <c r="I139" s="92">
        <f t="shared" si="149"/>
        <v>2260.9979511725114</v>
      </c>
      <c r="J139" s="92">
        <f t="shared" si="149"/>
        <v>2252.050552131629</v>
      </c>
      <c r="K139" s="92">
        <f t="shared" si="149"/>
        <v>2252.5972551433147</v>
      </c>
      <c r="L139" s="92">
        <f t="shared" si="149"/>
        <v>2251.3435799022068</v>
      </c>
      <c r="M139" s="84"/>
      <c r="P139" s="153"/>
    </row>
    <row r="140" spans="1:23" s="85" customFormat="1">
      <c r="A140" s="245" t="s">
        <v>985</v>
      </c>
      <c r="B140" s="99" t="s">
        <v>74</v>
      </c>
      <c r="C140" s="84"/>
      <c r="D140" s="84"/>
      <c r="E140" s="88">
        <f>SUM(E96,E97,E98,E99,E100,E101,E105,E106)</f>
        <v>43.501232873629498</v>
      </c>
      <c r="F140" s="88">
        <f t="shared" ref="F140:L140" si="150">SUM(F96,F97,F98,F99,F100,F101,F105,F106)</f>
        <v>43.440938835942625</v>
      </c>
      <c r="G140" s="88">
        <f t="shared" si="150"/>
        <v>43.499292253090843</v>
      </c>
      <c r="H140" s="88">
        <f t="shared" si="150"/>
        <v>44.516943922009318</v>
      </c>
      <c r="I140" s="88">
        <f t="shared" si="150"/>
        <v>44.360281534066708</v>
      </c>
      <c r="J140" s="88">
        <f t="shared" si="150"/>
        <v>45.086857009667739</v>
      </c>
      <c r="K140" s="88">
        <f t="shared" si="150"/>
        <v>45.102407386187835</v>
      </c>
      <c r="L140" s="88">
        <f t="shared" si="150"/>
        <v>45.675327375041263</v>
      </c>
      <c r="M140" s="84"/>
      <c r="P140" s="153"/>
    </row>
    <row r="141" spans="1:23" s="85" customFormat="1">
      <c r="A141" s="245" t="s">
        <v>991</v>
      </c>
      <c r="B141" s="99" t="s">
        <v>74</v>
      </c>
      <c r="C141" s="84"/>
      <c r="D141" s="90"/>
      <c r="E141" s="88">
        <f>SUM(E86,E89:E92,E97,E98,E104,E105,E106)/(E110)*(100)</f>
        <v>39.231874617935176</v>
      </c>
      <c r="F141" s="88">
        <f>SUM(F86,F89:F92,F97,F98,F104,F105,F106)/(F110)*(100)</f>
        <v>39.203091426533454</v>
      </c>
      <c r="G141" s="88">
        <f t="shared" ref="G141:L141" si="151">SUM(G86,G89:G92,G97,G98,G104,G105,G106)/(G110)*(100)</f>
        <v>39.116743158736668</v>
      </c>
      <c r="H141" s="88">
        <f t="shared" si="151"/>
        <v>37.955642070701693</v>
      </c>
      <c r="I141" s="88">
        <f t="shared" si="151"/>
        <v>37.973333770237026</v>
      </c>
      <c r="J141" s="88">
        <f t="shared" si="151"/>
        <v>37.2059094494956</v>
      </c>
      <c r="K141" s="88">
        <f t="shared" si="151"/>
        <v>37.206832323078821</v>
      </c>
      <c r="L141" s="88">
        <f t="shared" si="151"/>
        <v>36.60989464469867</v>
      </c>
      <c r="M141" s="88">
        <f t="shared" ref="M141:U141" si="152">SUM(M86,M89:M92,M97,M98,M104,M105,M106)*M110*(1/100)</f>
        <v>0</v>
      </c>
      <c r="N141" s="88">
        <f t="shared" si="152"/>
        <v>0</v>
      </c>
      <c r="O141" s="88">
        <f t="shared" si="152"/>
        <v>0</v>
      </c>
      <c r="P141" s="88">
        <f t="shared" si="152"/>
        <v>0</v>
      </c>
      <c r="Q141" s="88">
        <f t="shared" si="152"/>
        <v>0</v>
      </c>
      <c r="R141" s="88">
        <f t="shared" si="152"/>
        <v>0</v>
      </c>
      <c r="S141" s="88">
        <f t="shared" si="152"/>
        <v>0</v>
      </c>
      <c r="T141" s="88">
        <f t="shared" si="152"/>
        <v>0</v>
      </c>
      <c r="U141" s="88">
        <f t="shared" si="152"/>
        <v>0</v>
      </c>
      <c r="V141" s="84"/>
      <c r="W141" s="84"/>
    </row>
    <row r="142" spans="1:23" s="2" customFormat="1">
      <c r="A142" s="77"/>
      <c r="K142" s="1"/>
      <c r="L142" s="1"/>
      <c r="P142" s="22"/>
    </row>
    <row r="143" spans="1:23" s="2" customFormat="1">
      <c r="A143" s="77"/>
      <c r="K143" s="1"/>
      <c r="L143" s="1"/>
      <c r="P143" s="22"/>
    </row>
    <row r="144" spans="1:23" s="2" customFormat="1">
      <c r="A144" s="77"/>
      <c r="K144" s="1"/>
      <c r="L144" s="1"/>
      <c r="P144" s="22"/>
    </row>
    <row r="145" spans="1:16" s="2" customFormat="1">
      <c r="A145" s="77"/>
      <c r="K145" s="1"/>
      <c r="L145" s="1"/>
      <c r="P145" s="22"/>
    </row>
    <row r="146" spans="1:16" s="2" customFormat="1">
      <c r="A146" s="77"/>
      <c r="K146" s="1"/>
      <c r="L146" s="1"/>
      <c r="P146" s="22"/>
    </row>
    <row r="147" spans="1:16" s="2" customFormat="1">
      <c r="A147" s="77"/>
      <c r="K147" s="1"/>
      <c r="L147" s="1"/>
      <c r="P147" s="22"/>
    </row>
    <row r="148" spans="1:16" s="2" customFormat="1">
      <c r="A148" s="77"/>
      <c r="K148" s="1"/>
      <c r="L148" s="1"/>
      <c r="P148" s="22"/>
    </row>
    <row r="149" spans="1:16" s="2" customFormat="1">
      <c r="A149" s="77"/>
      <c r="F149" s="22" t="s">
        <v>992</v>
      </c>
      <c r="G149" s="39">
        <f>G24</f>
        <v>220</v>
      </c>
      <c r="H149" s="39"/>
      <c r="I149" s="39">
        <f t="shared" ref="I149" si="153">I24</f>
        <v>215</v>
      </c>
      <c r="J149" s="39"/>
      <c r="K149" s="39">
        <f>K24</f>
        <v>210</v>
      </c>
      <c r="L149" s="39">
        <f>L24</f>
        <v>205</v>
      </c>
      <c r="P149" s="22"/>
    </row>
    <row r="150" spans="1:16" s="2" customFormat="1">
      <c r="A150" s="77"/>
      <c r="F150" s="22" t="s">
        <v>993</v>
      </c>
      <c r="G150" s="23">
        <f>G109</f>
        <v>4.2835437329548185</v>
      </c>
      <c r="H150" s="23"/>
      <c r="I150" s="23">
        <f t="shared" ref="I150" si="154">I109</f>
        <v>3.5670728411972177</v>
      </c>
      <c r="J150" s="23"/>
      <c r="K150" s="23">
        <f t="shared" ref="K150:L152" si="155">K109</f>
        <v>3.0097225393258982</v>
      </c>
      <c r="L150" s="23">
        <f t="shared" si="155"/>
        <v>2.596075972272776</v>
      </c>
      <c r="P150" s="22"/>
    </row>
    <row r="151" spans="1:16" s="2" customFormat="1">
      <c r="A151" s="77"/>
      <c r="F151" s="22" t="s">
        <v>994</v>
      </c>
      <c r="G151" s="23">
        <f>G110</f>
        <v>95.849168740156983</v>
      </c>
      <c r="H151" s="23"/>
      <c r="I151" s="23">
        <f t="shared" ref="I151" si="156">I110</f>
        <v>96.552375170864337</v>
      </c>
      <c r="J151" s="23"/>
      <c r="K151" s="23">
        <f t="shared" si="155"/>
        <v>97.098951460587116</v>
      </c>
      <c r="L151" s="23">
        <f t="shared" si="155"/>
        <v>97.503537946657417</v>
      </c>
      <c r="P151" s="22"/>
    </row>
    <row r="152" spans="1:16" s="2" customFormat="1">
      <c r="A152" s="77"/>
      <c r="F152" s="22" t="s">
        <v>995</v>
      </c>
      <c r="G152" s="23">
        <f>G111</f>
        <v>0.13271247311179479</v>
      </c>
      <c r="H152" s="23"/>
      <c r="I152" s="23">
        <f t="shared" ref="I152" si="157">I111</f>
        <v>0.11944801206155375</v>
      </c>
      <c r="J152" s="23"/>
      <c r="K152" s="23">
        <f t="shared" si="155"/>
        <v>0.10867399991300886</v>
      </c>
      <c r="L152" s="23">
        <f t="shared" si="155"/>
        <v>9.9613918930188561E-2</v>
      </c>
      <c r="P152" s="22"/>
    </row>
    <row r="153" spans="1:16" s="2" customFormat="1">
      <c r="A153" s="77"/>
      <c r="K153" s="1"/>
      <c r="L153" s="1"/>
      <c r="P153" s="22"/>
    </row>
    <row r="154" spans="1:16" s="2" customFormat="1">
      <c r="A154" s="77"/>
      <c r="K154" s="1"/>
      <c r="L154" s="1"/>
      <c r="P154" s="22"/>
    </row>
    <row r="155" spans="1:16" s="2" customFormat="1">
      <c r="A155" s="77"/>
      <c r="K155" s="1"/>
      <c r="L155" s="1"/>
      <c r="P155" s="22"/>
    </row>
    <row r="156" spans="1:16" s="2" customFormat="1">
      <c r="A156" s="77"/>
      <c r="K156" s="1"/>
      <c r="L156" s="1"/>
      <c r="P156" s="22"/>
    </row>
    <row r="157" spans="1:16" s="2" customFormat="1">
      <c r="A157" s="77"/>
      <c r="K157" s="1"/>
      <c r="L157" s="1"/>
      <c r="P157" s="22"/>
    </row>
    <row r="158" spans="1:16" s="2" customFormat="1">
      <c r="A158" s="22"/>
      <c r="K158" s="1"/>
      <c r="L158" s="1"/>
      <c r="P158" s="22"/>
    </row>
    <row r="159" spans="1:16" s="2" customFormat="1">
      <c r="A159" s="22"/>
      <c r="K159" s="1"/>
      <c r="L159" s="1"/>
      <c r="P159" s="22"/>
    </row>
    <row r="160" spans="1:16" s="2" customFormat="1">
      <c r="A160" s="22"/>
      <c r="K160" s="1"/>
      <c r="L160" s="1"/>
      <c r="P160" s="22"/>
    </row>
    <row r="161" spans="1:16" s="2" customFormat="1">
      <c r="A161" s="22"/>
      <c r="K161" s="1"/>
      <c r="L161" s="1"/>
      <c r="P161" s="22"/>
    </row>
  </sheetData>
  <mergeCells count="1"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A4371-CC62-44CB-BE24-6BB2AF5A8652}">
  <dimension ref="A1:W156"/>
  <sheetViews>
    <sheetView topLeftCell="A120" zoomScale="90" zoomScaleNormal="90" workbookViewId="0">
      <selection activeCell="F148" sqref="F148"/>
    </sheetView>
  </sheetViews>
  <sheetFormatPr defaultColWidth="9.140625" defaultRowHeight="15"/>
  <cols>
    <col min="1" max="1" width="29.7109375" style="2" bestFit="1" customWidth="1"/>
    <col min="2" max="2" width="11.7109375" style="2" bestFit="1" customWidth="1"/>
    <col min="3" max="3" width="14.85546875" style="2" bestFit="1" customWidth="1"/>
    <col min="4" max="4" width="25.42578125" style="2" customWidth="1"/>
    <col min="5" max="5" width="27" style="2" bestFit="1" customWidth="1"/>
    <col min="6" max="10" width="16.42578125" style="2" bestFit="1" customWidth="1"/>
    <col min="11" max="11" width="16.42578125" style="1" bestFit="1" customWidth="1"/>
    <col min="12" max="12" width="15.85546875" style="1" bestFit="1" customWidth="1"/>
    <col min="13" max="13" width="15.85546875" style="2" bestFit="1" customWidth="1"/>
    <col min="14" max="16384" width="9.140625" style="1"/>
  </cols>
  <sheetData>
    <row r="1" spans="1:12" s="2" customFormat="1">
      <c r="A1" s="246" t="s">
        <v>939</v>
      </c>
      <c r="B1" s="246"/>
      <c r="C1" s="246"/>
      <c r="D1" s="246"/>
      <c r="K1" s="1"/>
      <c r="L1" s="1"/>
    </row>
    <row r="2" spans="1:12" s="2" customFormat="1">
      <c r="A2" s="31" t="s">
        <v>940</v>
      </c>
      <c r="B2" s="16" t="s">
        <v>8</v>
      </c>
      <c r="C2" s="16"/>
      <c r="D2" s="105">
        <f>Reactor1!D2</f>
        <v>83.84</v>
      </c>
      <c r="G2" s="1"/>
      <c r="K2" s="1"/>
      <c r="L2" s="1"/>
    </row>
    <row r="3" spans="1:12" s="2" customFormat="1">
      <c r="A3" s="31" t="s">
        <v>941</v>
      </c>
      <c r="B3" s="16" t="s">
        <v>8</v>
      </c>
      <c r="C3" s="16"/>
      <c r="D3" s="105">
        <f>Reactor1!D3</f>
        <v>16.159999999999997</v>
      </c>
      <c r="K3" s="1"/>
      <c r="L3" s="1"/>
    </row>
    <row r="4" spans="1:12" s="2" customFormat="1">
      <c r="A4" s="31" t="s">
        <v>942</v>
      </c>
      <c r="B4" s="16" t="s">
        <v>8</v>
      </c>
      <c r="C4" s="16"/>
      <c r="D4" s="105">
        <f>Reactor1!D4</f>
        <v>100</v>
      </c>
      <c r="K4" s="1"/>
      <c r="L4" s="1"/>
    </row>
    <row r="5" spans="1:12" s="2" customFormat="1">
      <c r="A5" s="31" t="s">
        <v>943</v>
      </c>
      <c r="B5" s="114" t="s">
        <v>89</v>
      </c>
      <c r="C5" s="114"/>
      <c r="D5" s="105">
        <f>Reactor1!D5</f>
        <v>0</v>
      </c>
      <c r="K5" s="1"/>
      <c r="L5" s="1"/>
    </row>
    <row r="6" spans="1:12" s="2" customFormat="1">
      <c r="A6" s="31" t="s">
        <v>944</v>
      </c>
      <c r="B6" s="114" t="s">
        <v>89</v>
      </c>
      <c r="C6" s="114"/>
      <c r="D6" s="105">
        <f>Reactor1!D6</f>
        <v>89</v>
      </c>
      <c r="F6" s="2" t="s">
        <v>945</v>
      </c>
      <c r="G6" s="102">
        <v>46247</v>
      </c>
      <c r="K6" s="1"/>
      <c r="L6" s="1"/>
    </row>
    <row r="7" spans="1:12" s="2" customFormat="1">
      <c r="A7" s="31" t="s">
        <v>946</v>
      </c>
      <c r="B7" s="16" t="s">
        <v>102</v>
      </c>
      <c r="C7" s="16"/>
      <c r="D7" s="105">
        <f>Reactor1!D7</f>
        <v>0.66500000000000004</v>
      </c>
      <c r="G7" s="138">
        <v>0.66666666666666663</v>
      </c>
      <c r="K7" s="1"/>
      <c r="L7" s="1"/>
    </row>
    <row r="8" spans="1:12">
      <c r="A8" s="29" t="str">
        <f>Reactor1!A8</f>
        <v>n-Hexane</v>
      </c>
      <c r="B8" s="28" t="str">
        <f>Reactor1!B8</f>
        <v>wt%</v>
      </c>
      <c r="C8" s="29"/>
      <c r="D8" s="227">
        <f>Reactor1!D8</f>
        <v>17.808794750000001</v>
      </c>
      <c r="E8" s="1"/>
      <c r="F8" s="1"/>
      <c r="G8" s="1"/>
    </row>
    <row r="9" spans="1:12">
      <c r="A9" s="229" t="s">
        <v>18</v>
      </c>
      <c r="B9" s="28" t="s">
        <v>8</v>
      </c>
      <c r="C9" s="16"/>
      <c r="D9" s="227">
        <f>Reactor1!D9</f>
        <v>8.024783750000001</v>
      </c>
      <c r="E9" s="1"/>
      <c r="F9" s="1"/>
      <c r="G9" s="1"/>
    </row>
    <row r="10" spans="1:12">
      <c r="A10" s="229" t="s">
        <v>19</v>
      </c>
      <c r="B10" s="230" t="s">
        <v>8</v>
      </c>
      <c r="C10" s="16"/>
      <c r="D10" s="227">
        <f>Reactor1!D10</f>
        <v>3.6883509999999999</v>
      </c>
      <c r="E10" s="1"/>
      <c r="F10" s="1"/>
      <c r="G10" s="1"/>
    </row>
    <row r="11" spans="1:12">
      <c r="A11" s="229" t="s">
        <v>20</v>
      </c>
      <c r="B11" s="230" t="s">
        <v>8</v>
      </c>
      <c r="C11" s="16"/>
      <c r="D11" s="227">
        <f>Reactor1!D11</f>
        <v>0.72080225000000009</v>
      </c>
      <c r="E11" s="1"/>
      <c r="F11" s="1"/>
      <c r="G11" s="1"/>
    </row>
    <row r="12" spans="1:12">
      <c r="A12" s="229" t="s">
        <v>75</v>
      </c>
      <c r="B12" s="230" t="s">
        <v>8</v>
      </c>
      <c r="C12" s="16"/>
      <c r="D12" s="227">
        <f>Reactor1!D12</f>
        <v>1.6720374999999999E-2</v>
      </c>
      <c r="E12" s="1"/>
      <c r="F12" s="1"/>
      <c r="G12" s="1"/>
    </row>
    <row r="13" spans="1:12">
      <c r="A13" s="229" t="s">
        <v>25</v>
      </c>
      <c r="B13" s="230" t="s">
        <v>8</v>
      </c>
      <c r="C13" s="229"/>
      <c r="D13" s="227">
        <f>Reactor1!D13</f>
        <v>16.071277625</v>
      </c>
      <c r="E13" s="1"/>
      <c r="F13" s="1"/>
      <c r="G13" s="1"/>
    </row>
    <row r="14" spans="1:12">
      <c r="A14" s="229" t="s">
        <v>26</v>
      </c>
      <c r="B14" s="230" t="s">
        <v>8</v>
      </c>
      <c r="C14" s="229"/>
      <c r="D14" s="227">
        <f>Reactor1!D14</f>
        <v>13.769736375000001</v>
      </c>
      <c r="E14" s="1"/>
      <c r="F14" s="1"/>
      <c r="G14" s="1"/>
    </row>
    <row r="15" spans="1:12">
      <c r="A15" s="229" t="s">
        <v>27</v>
      </c>
      <c r="B15" s="230" t="s">
        <v>8</v>
      </c>
      <c r="C15" s="229"/>
      <c r="D15" s="227">
        <f>Reactor1!D15</f>
        <v>0.99247037500000013</v>
      </c>
      <c r="E15" s="1"/>
      <c r="F15" s="1"/>
      <c r="G15" s="1"/>
    </row>
    <row r="16" spans="1:12">
      <c r="A16" s="22"/>
      <c r="D16" s="95"/>
      <c r="E16" s="1"/>
      <c r="F16" s="1"/>
      <c r="G16" s="1"/>
    </row>
    <row r="17" spans="1:13">
      <c r="A17" s="129" t="s">
        <v>986</v>
      </c>
      <c r="D17" s="95"/>
      <c r="E17" s="1"/>
      <c r="F17" s="1"/>
      <c r="G17" s="1"/>
    </row>
    <row r="18" spans="1:13" s="133" customFormat="1">
      <c r="A18" s="134"/>
      <c r="B18" s="131"/>
      <c r="C18" s="131"/>
      <c r="D18" s="132"/>
      <c r="H18" s="131"/>
      <c r="I18" s="131"/>
      <c r="J18" s="131"/>
      <c r="M18" s="131"/>
    </row>
    <row r="19" spans="1:13" s="101" customFormat="1">
      <c r="A19" s="103" t="s">
        <v>227</v>
      </c>
      <c r="B19" s="104" t="s">
        <v>89</v>
      </c>
      <c r="C19" s="104"/>
      <c r="D19" s="102" cm="1">
        <f t="array" ref="D19:M19">TRANSPOSE(_xlfn._xlws.FILTER('Raw Data'!AU2:AU505,('Raw Data'!B2:B505=6)*('Raw Data'!AU2:AU505&lt;&gt;"")))</f>
        <v>46249</v>
      </c>
      <c r="E19" s="102">
        <v>46252</v>
      </c>
      <c r="F19" s="102">
        <v>46252</v>
      </c>
      <c r="G19" s="102">
        <v>46253</v>
      </c>
      <c r="H19" s="102">
        <v>46254</v>
      </c>
      <c r="I19" s="102">
        <v>46254</v>
      </c>
      <c r="J19" s="102">
        <v>46255</v>
      </c>
      <c r="K19" s="102">
        <v>46256</v>
      </c>
      <c r="L19" s="102">
        <v>46257</v>
      </c>
      <c r="M19" s="102">
        <v>46257</v>
      </c>
    </row>
    <row r="20" spans="1:13" s="101" customFormat="1">
      <c r="A20" s="103" t="s">
        <v>950</v>
      </c>
      <c r="B20" s="104" t="s">
        <v>89</v>
      </c>
      <c r="C20" s="104"/>
      <c r="D20" s="108" cm="1">
        <f t="array" ref="D20:M20">TRANSPOSE(_xlfn._xlws.FILTER('Raw Data'!AV2:AV505,('Raw Data'!B2:B505=6)*('Raw Data'!AV2:AV505&lt;&gt;"")))</f>
        <v>0.3178009259259259</v>
      </c>
      <c r="E20" s="108">
        <v>1.9282407407407408E-2</v>
      </c>
      <c r="F20" s="108">
        <v>0.90640046296296295</v>
      </c>
      <c r="G20" s="108">
        <v>0.59542824074074074</v>
      </c>
      <c r="H20" s="108">
        <v>0.28443287037037035</v>
      </c>
      <c r="I20" s="108">
        <v>0.97344907407407411</v>
      </c>
      <c r="J20" s="108">
        <v>0.66248842592592594</v>
      </c>
      <c r="K20" s="108">
        <v>0.35151620370370368</v>
      </c>
      <c r="L20" s="108">
        <v>4.0520833333333332E-2</v>
      </c>
      <c r="M20" s="108">
        <v>0.72954861111111113</v>
      </c>
    </row>
    <row r="21" spans="1:13" s="101" customFormat="1">
      <c r="A21" s="103" t="s">
        <v>121</v>
      </c>
      <c r="B21" s="102" t="s">
        <v>122</v>
      </c>
      <c r="C21" s="102"/>
      <c r="D21" s="39">
        <f>((D19+D20)-(G6+G7))*24</f>
        <v>39.62722222233424</v>
      </c>
      <c r="E21" s="23">
        <f t="shared" ref="E21:I21" si="0">((E19+E20)-(D19+D20))*24</f>
        <v>64.83555555541534</v>
      </c>
      <c r="F21" s="23">
        <f t="shared" si="0"/>
        <v>21.290833333390765</v>
      </c>
      <c r="G21" s="23">
        <f t="shared" si="0"/>
        <v>16.536666666681413</v>
      </c>
      <c r="H21" s="23">
        <f t="shared" si="0"/>
        <v>16.536111111170612</v>
      </c>
      <c r="I21" s="23">
        <f t="shared" si="0"/>
        <v>16.536388888838701</v>
      </c>
      <c r="J21" s="23">
        <f t="shared" ref="J21" si="1">((J19+J20)-(I19+I20))*24</f>
        <v>16.536944444524124</v>
      </c>
      <c r="K21" s="23">
        <f t="shared" ref="K21:M21" si="2">((K19+K20)-(J19+J20))*24</f>
        <v>16.53666666650679</v>
      </c>
      <c r="L21" s="23">
        <f t="shared" si="2"/>
        <v>16.536111111170612</v>
      </c>
      <c r="M21" s="23">
        <f t="shared" si="2"/>
        <v>16.536666666681413</v>
      </c>
    </row>
    <row r="22" spans="1:13" s="39" customFormat="1">
      <c r="A22" s="94" t="s">
        <v>951</v>
      </c>
      <c r="B22" s="39" t="s">
        <v>952</v>
      </c>
      <c r="D22" s="39">
        <f>D21</f>
        <v>39.62722222233424</v>
      </c>
      <c r="E22" s="39">
        <f>E21+D22-40</f>
        <v>64.462777777749579</v>
      </c>
      <c r="F22" s="39">
        <f t="shared" ref="F22:I22" si="3">F21+E22</f>
        <v>85.753611111140344</v>
      </c>
      <c r="G22" s="39">
        <f t="shared" si="3"/>
        <v>102.29027777782176</v>
      </c>
      <c r="H22" s="39">
        <f t="shared" si="3"/>
        <v>118.82638888899237</v>
      </c>
      <c r="I22" s="39">
        <f t="shared" si="3"/>
        <v>135.36277777783107</v>
      </c>
      <c r="J22" s="39">
        <f t="shared" ref="J22" si="4">J21+I22</f>
        <v>151.89972222235519</v>
      </c>
      <c r="K22" s="39">
        <f t="shared" ref="K22:M22" si="5">K21+J22</f>
        <v>168.43638888886198</v>
      </c>
      <c r="L22" s="39">
        <f t="shared" si="5"/>
        <v>184.9725000000326</v>
      </c>
      <c r="M22" s="39">
        <f t="shared" si="5"/>
        <v>201.50916666671401</v>
      </c>
    </row>
    <row r="23" spans="1:13" s="85" customFormat="1">
      <c r="A23" s="153" t="s">
        <v>114</v>
      </c>
      <c r="B23" s="84" t="s">
        <v>115</v>
      </c>
      <c r="C23" s="84"/>
      <c r="D23" s="88" cm="1">
        <f t="array" ref="D23:M23">TRANSPOSE(_xlfn._xlws.FILTER('Raw Data'!F2:F505,('Raw Data'!B2:B505=6)*('Raw Data'!F2:F505&lt;&gt;"")))</f>
        <v>25.044799999999999</v>
      </c>
      <c r="E23" s="92">
        <v>24.9986</v>
      </c>
      <c r="F23" s="92">
        <v>25.050599999999999</v>
      </c>
      <c r="G23" s="92">
        <v>25.0029</v>
      </c>
      <c r="H23" s="92">
        <v>25.015899999999998</v>
      </c>
      <c r="I23" s="92">
        <v>25.005800000000001</v>
      </c>
      <c r="J23" s="92">
        <v>25.0593</v>
      </c>
      <c r="K23" s="92">
        <v>25.078099999999999</v>
      </c>
      <c r="L23" s="92">
        <v>25.050599999999999</v>
      </c>
      <c r="M23" s="84">
        <v>25.062200000000001</v>
      </c>
    </row>
    <row r="24" spans="1:13" s="85" customFormat="1">
      <c r="A24" s="153" t="s">
        <v>953</v>
      </c>
      <c r="B24" s="84" t="s">
        <v>954</v>
      </c>
      <c r="C24" s="84"/>
      <c r="D24" s="92" cm="1">
        <f t="array" ref="D24:M24">TRANSPOSE(_xlfn._xlws.FILTER('Raw Data'!D2:D505,('Raw Data'!B2:B505=6)*('Raw Data'!D2:D505&lt;&gt;"")))</f>
        <v>210</v>
      </c>
      <c r="E24" s="92">
        <v>220</v>
      </c>
      <c r="F24" s="92">
        <v>220</v>
      </c>
      <c r="G24" s="92">
        <v>215</v>
      </c>
      <c r="H24" s="92">
        <v>215</v>
      </c>
      <c r="I24" s="92">
        <v>215</v>
      </c>
      <c r="J24" s="92">
        <v>209.9</v>
      </c>
      <c r="K24" s="92">
        <v>210</v>
      </c>
      <c r="L24" s="92">
        <v>205</v>
      </c>
      <c r="M24" s="84">
        <v>200</v>
      </c>
    </row>
    <row r="25" spans="1:13" s="85" customFormat="1">
      <c r="A25" s="153" t="s">
        <v>56</v>
      </c>
      <c r="B25" s="84" t="s">
        <v>118</v>
      </c>
      <c r="C25" s="84"/>
      <c r="D25" s="90">
        <f t="shared" ref="D25:I25" si="6">D37/$D$7/2</f>
        <v>1.5760222761587706</v>
      </c>
      <c r="E25" s="90">
        <f t="shared" si="6"/>
        <v>1.5105173044937152</v>
      </c>
      <c r="F25" s="88">
        <f t="shared" si="6"/>
        <v>1.5014881936406654</v>
      </c>
      <c r="G25" s="88">
        <f t="shared" si="6"/>
        <v>1.5184273369600012</v>
      </c>
      <c r="H25" s="88">
        <f t="shared" si="6"/>
        <v>1.4888438235768022</v>
      </c>
      <c r="I25" s="88">
        <f t="shared" si="6"/>
        <v>1.4704341783120178</v>
      </c>
      <c r="J25" s="88">
        <f t="shared" ref="J25:K25" si="7">J37/$D$7/2</f>
        <v>1.5252533536529989</v>
      </c>
      <c r="K25" s="88">
        <f t="shared" si="7"/>
        <v>1.4635778513227673</v>
      </c>
      <c r="L25" s="88">
        <f t="shared" ref="L25:M25" si="8">L37/$D$7/2</f>
        <v>1.4462321362219202</v>
      </c>
      <c r="M25" s="90">
        <f t="shared" si="8"/>
        <v>1.4916035318548673</v>
      </c>
    </row>
    <row r="26" spans="1:13" s="85" customFormat="1">
      <c r="A26" s="153" t="s">
        <v>119</v>
      </c>
      <c r="B26" s="84" t="s">
        <v>955</v>
      </c>
      <c r="C26" s="84"/>
      <c r="D26" s="88">
        <f>(D35/2)/(D37/$D$6)</f>
        <v>3.7074169504274819</v>
      </c>
      <c r="E26" s="88">
        <f t="shared" ref="E26:F26" si="9">(E35/2)/(E37/$D$6)</f>
        <v>3.0933350616381623</v>
      </c>
      <c r="F26" s="88">
        <f t="shared" si="9"/>
        <v>3.1225222547147693</v>
      </c>
      <c r="G26" s="88">
        <f t="shared" ref="G26:H26" si="10">(G35/2)/(G37/$D$6)</f>
        <v>3.1790698149755778</v>
      </c>
      <c r="H26" s="88">
        <f t="shared" si="10"/>
        <v>3.2529627404761681</v>
      </c>
      <c r="I26" s="88">
        <f t="shared" ref="I26:K26" si="11">(I35/2)/(I37/$D$6)</f>
        <v>3.2759579468197915</v>
      </c>
      <c r="J26" s="88">
        <f t="shared" si="11"/>
        <v>3.1881165910237064</v>
      </c>
      <c r="K26" s="88">
        <f t="shared" si="11"/>
        <v>3.3336531314286542</v>
      </c>
      <c r="L26" s="88">
        <f t="shared" ref="L26:M26" si="12">(L35/2)/(L37/$D$6)</f>
        <v>4.1021117546952279</v>
      </c>
      <c r="M26" s="88">
        <f t="shared" si="12"/>
        <v>3.3240642643451146</v>
      </c>
    </row>
    <row r="27" spans="1:13">
      <c r="A27" s="22" t="s">
        <v>956</v>
      </c>
      <c r="B27" s="2" t="s">
        <v>130</v>
      </c>
      <c r="D27" s="2">
        <v>3.2</v>
      </c>
      <c r="E27" s="2">
        <v>3.2</v>
      </c>
      <c r="F27" s="2">
        <v>3.2</v>
      </c>
      <c r="G27" s="2">
        <v>3.2</v>
      </c>
      <c r="H27" s="2">
        <v>3.2</v>
      </c>
      <c r="I27" s="2">
        <v>3.2</v>
      </c>
      <c r="J27" s="2">
        <v>3.2</v>
      </c>
      <c r="K27" s="2">
        <v>3.2</v>
      </c>
      <c r="L27" s="2">
        <v>3.2</v>
      </c>
      <c r="M27" s="2">
        <v>3.2</v>
      </c>
    </row>
    <row r="28" spans="1:13" s="79" customFormat="1">
      <c r="A28" s="111" t="s">
        <v>957</v>
      </c>
      <c r="B28" s="23" t="s">
        <v>958</v>
      </c>
      <c r="C28" s="23"/>
      <c r="D28" s="23" cm="1">
        <f t="array" ref="D28:M28">TRANSPOSE(_xlfn._xlws.FILTER('Raw Data'!AJ2:AJ505,('Raw Data'!B2:B505=6)*('Raw Data'!AJ2:AJ505&lt;&gt;"")))</f>
        <v>35.785111999999998</v>
      </c>
      <c r="E28" s="23">
        <v>30.596661000000001</v>
      </c>
      <c r="F28" s="23">
        <v>30.667587999999999</v>
      </c>
      <c r="G28" s="23">
        <v>31.353853999999998</v>
      </c>
      <c r="H28" s="23">
        <v>31.477014</v>
      </c>
      <c r="I28" s="23">
        <v>31.397466999999999</v>
      </c>
      <c r="J28" s="23">
        <v>31.566082000000002</v>
      </c>
      <c r="K28" s="23">
        <v>31.770630000000001</v>
      </c>
      <c r="L28" s="23">
        <v>36.269893000000003</v>
      </c>
      <c r="M28" s="23">
        <v>32.178263000000001</v>
      </c>
    </row>
    <row r="29" spans="1:13" s="97" customFormat="1">
      <c r="A29" s="112" t="s">
        <v>956</v>
      </c>
      <c r="B29" s="26" t="s">
        <v>958</v>
      </c>
      <c r="C29" s="26"/>
      <c r="D29" s="23" cm="1">
        <f t="array" ref="D29:M29">TRANSPOSE(_xlfn._xlws.FILTER('Raw Data'!AN2:AN505,('Raw Data'!B2:B505=6)*('Raw Data'!AN2:AN505&lt;&gt;"")))</f>
        <v>54.551155000000001</v>
      </c>
      <c r="E29" s="26">
        <v>58.331485999999998</v>
      </c>
      <c r="F29" s="26">
        <v>58.268498999999998</v>
      </c>
      <c r="G29" s="26">
        <v>57.860013000000002</v>
      </c>
      <c r="H29" s="26">
        <v>57.895788000000003</v>
      </c>
      <c r="I29" s="26">
        <v>58.062052000000001</v>
      </c>
      <c r="J29" s="26">
        <v>57.826402000000002</v>
      </c>
      <c r="K29" s="26">
        <v>58.005778999999997</v>
      </c>
      <c r="L29" s="26">
        <v>54.460603999999996</v>
      </c>
      <c r="M29" s="26">
        <v>57.812460999999999</v>
      </c>
    </row>
    <row r="30" spans="1:13">
      <c r="A30" s="22" t="s">
        <v>959</v>
      </c>
      <c r="B30" s="2" t="s">
        <v>958</v>
      </c>
      <c r="D30" s="26">
        <f t="shared" ref="D30:F30" si="13">100-D29-D28</f>
        <v>9.6637330000000006</v>
      </c>
      <c r="E30" s="26">
        <f t="shared" si="13"/>
        <v>11.071853000000001</v>
      </c>
      <c r="F30" s="26">
        <f t="shared" si="13"/>
        <v>11.063913000000003</v>
      </c>
      <c r="G30" s="26">
        <f t="shared" ref="G30:H30" si="14">100-G29-G28</f>
        <v>10.786133</v>
      </c>
      <c r="H30" s="26">
        <f t="shared" si="14"/>
        <v>10.627197999999996</v>
      </c>
      <c r="I30" s="26">
        <f t="shared" ref="I30:K30" si="15">100-I29-I28</f>
        <v>10.540481</v>
      </c>
      <c r="J30" s="26">
        <f t="shared" si="15"/>
        <v>10.607515999999997</v>
      </c>
      <c r="K30" s="26">
        <f t="shared" si="15"/>
        <v>10.223591000000003</v>
      </c>
      <c r="L30" s="26">
        <f t="shared" ref="L30:M30" si="16">100-L29-L28</f>
        <v>9.2695030000000003</v>
      </c>
      <c r="M30" s="26">
        <f t="shared" si="16"/>
        <v>10.009276</v>
      </c>
    </row>
    <row r="31" spans="1:13">
      <c r="A31" s="22" t="s">
        <v>81</v>
      </c>
      <c r="B31" s="2" t="s">
        <v>958</v>
      </c>
      <c r="D31" s="2">
        <f t="shared" ref="D31:F31" si="17">SUM(D28:D30)</f>
        <v>100</v>
      </c>
      <c r="E31" s="2">
        <f t="shared" si="17"/>
        <v>100</v>
      </c>
      <c r="F31" s="2">
        <f t="shared" si="17"/>
        <v>100</v>
      </c>
      <c r="G31" s="2">
        <f t="shared" ref="G31:H31" si="18">SUM(G28:G30)</f>
        <v>100</v>
      </c>
      <c r="H31" s="2">
        <f t="shared" si="18"/>
        <v>100</v>
      </c>
      <c r="I31" s="2">
        <f t="shared" ref="I31:K31" si="19">SUM(I28:I30)</f>
        <v>100</v>
      </c>
      <c r="J31" s="2">
        <f t="shared" si="19"/>
        <v>100</v>
      </c>
      <c r="K31" s="2">
        <f t="shared" si="19"/>
        <v>100</v>
      </c>
      <c r="L31" s="2">
        <f t="shared" ref="L31:M31" si="20">SUM(L28:L30)</f>
        <v>100</v>
      </c>
      <c r="M31" s="2">
        <f t="shared" si="20"/>
        <v>100</v>
      </c>
    </row>
    <row r="32" spans="1:13" s="26" customFormat="1">
      <c r="A32" s="112" t="s">
        <v>650</v>
      </c>
      <c r="B32" s="96" t="s">
        <v>89</v>
      </c>
      <c r="C32" s="96"/>
      <c r="D32" s="23" cm="1">
        <f t="array" ref="D32:M32">TRANSPOSE(_xlfn._xlws.FILTER('Raw Data'!CP2:CP505,('Raw Data'!B2:B505=6)*('Raw Data'!CP2:CP505&lt;&gt;"")))</f>
        <v>88.948279999999997</v>
      </c>
      <c r="E32" s="26">
        <v>79.787711999999999</v>
      </c>
      <c r="F32" s="26">
        <v>79.298385999999994</v>
      </c>
      <c r="G32" s="26">
        <v>81.618729000000002</v>
      </c>
      <c r="H32" s="26">
        <v>81.284949999999995</v>
      </c>
      <c r="I32" s="26">
        <v>81.175690000000003</v>
      </c>
      <c r="J32" s="26">
        <v>83.251746999999995</v>
      </c>
      <c r="K32" s="26">
        <v>83.168921999999995</v>
      </c>
      <c r="L32" s="26">
        <v>85.055137999999999</v>
      </c>
      <c r="M32" s="26">
        <v>86.212204</v>
      </c>
    </row>
    <row r="33" spans="1:17" s="23" customFormat="1">
      <c r="A33" s="111" t="s">
        <v>960</v>
      </c>
      <c r="B33" s="23" t="s">
        <v>8</v>
      </c>
      <c r="D33" s="23">
        <f t="shared" ref="D33:I33" si="21">SUMPRODUCT($C$42:$C$77,D42:D77)</f>
        <v>83.789528983799997</v>
      </c>
      <c r="E33" s="23">
        <f t="shared" si="21"/>
        <v>83.547224020700014</v>
      </c>
      <c r="F33" s="23">
        <f t="shared" si="21"/>
        <v>83.529956264299983</v>
      </c>
      <c r="G33" s="23">
        <f t="shared" si="21"/>
        <v>83.594276607799969</v>
      </c>
      <c r="H33" s="23">
        <f t="shared" si="21"/>
        <v>83.584702205999974</v>
      </c>
      <c r="I33" s="23">
        <f t="shared" si="21"/>
        <v>83.581690768700014</v>
      </c>
      <c r="J33" s="23">
        <f t="shared" ref="J33:K33" si="22">SUMPRODUCT($C$42:$C$77,J42:J77)</f>
        <v>83.660548962999982</v>
      </c>
      <c r="K33" s="23">
        <f t="shared" si="22"/>
        <v>83.633862503700001</v>
      </c>
      <c r="L33" s="23">
        <f t="shared" ref="L33:M33" si="23">SUMPRODUCT($C$42:$C$77,L42:L77)</f>
        <v>83.680267531899972</v>
      </c>
      <c r="M33" s="23">
        <f t="shared" si="23"/>
        <v>83.707245103799977</v>
      </c>
    </row>
    <row r="34" spans="1:17" s="23" customFormat="1">
      <c r="A34" s="111" t="s">
        <v>961</v>
      </c>
      <c r="B34" s="23" t="s">
        <v>8</v>
      </c>
      <c r="D34" s="23">
        <f>100-D33</f>
        <v>16.210471016200003</v>
      </c>
      <c r="E34" s="23">
        <f t="shared" ref="E34:F34" si="24">100-E33</f>
        <v>16.452775979299986</v>
      </c>
      <c r="F34" s="23">
        <f t="shared" si="24"/>
        <v>16.470043735700017</v>
      </c>
      <c r="G34" s="23">
        <f t="shared" ref="G34:H34" si="25">100-G33</f>
        <v>16.405723392200031</v>
      </c>
      <c r="H34" s="23">
        <f t="shared" si="25"/>
        <v>16.415297794000026</v>
      </c>
      <c r="I34" s="23">
        <f t="shared" ref="I34:K34" si="26">100-I33</f>
        <v>16.418309231299986</v>
      </c>
      <c r="J34" s="23">
        <f t="shared" si="26"/>
        <v>16.339451037000018</v>
      </c>
      <c r="K34" s="23">
        <f t="shared" si="26"/>
        <v>16.366137496299999</v>
      </c>
      <c r="L34" s="23">
        <f t="shared" ref="L34:M34" si="27">100-L33</f>
        <v>16.319732468100028</v>
      </c>
      <c r="M34" s="23">
        <f t="shared" si="27"/>
        <v>16.292754896200023</v>
      </c>
    </row>
    <row r="35" spans="1:17">
      <c r="A35" s="22" t="s">
        <v>957</v>
      </c>
      <c r="B35" s="2" t="s">
        <v>110</v>
      </c>
      <c r="D35" s="95">
        <f>(D27/(D29/100))*(D28/100)*(273/293)*(2/22.4)</f>
        <v>0.1746326373522134</v>
      </c>
      <c r="E35" s="95">
        <f t="shared" ref="E35:F35" si="28">(E27/(E29/100))*(E28/100)*(0.0416)*2</f>
        <v>0.13965108011546287</v>
      </c>
      <c r="F35" s="95">
        <f t="shared" si="28"/>
        <v>0.14012611907370398</v>
      </c>
      <c r="G35" s="95">
        <f t="shared" ref="G35:H35" si="29">(G27/(G29/100))*(G28/100)*(0.0416)*2</f>
        <v>0.1442732148878017</v>
      </c>
      <c r="H35" s="95">
        <f t="shared" si="29"/>
        <v>0.14475042998568396</v>
      </c>
      <c r="I35" s="95">
        <f t="shared" ref="I35:K35" si="30">(I27/(I29/100))*(I28/100)*(0.0416)*2</f>
        <v>0.14397117094793688</v>
      </c>
      <c r="J35" s="95">
        <f t="shared" si="30"/>
        <v>0.14533419650906174</v>
      </c>
      <c r="K35" s="95">
        <f t="shared" si="30"/>
        <v>0.14582361752610892</v>
      </c>
      <c r="L35" s="95">
        <f t="shared" ref="L35:M35" si="31">(L27/(L29/100))*(L28/100)*(0.0416)*2</f>
        <v>0.17731159045389949</v>
      </c>
      <c r="M35" s="95">
        <f t="shared" si="31"/>
        <v>0.14818848035408838</v>
      </c>
    </row>
    <row r="36" spans="1:17">
      <c r="A36" s="22" t="s">
        <v>959</v>
      </c>
      <c r="B36" s="2" t="s">
        <v>110</v>
      </c>
      <c r="D36" s="23">
        <f>(D27/(D29/100))*(D30/100)*(273/293)*(D32/22.4)</f>
        <v>2.0973722287670182</v>
      </c>
      <c r="E36" s="23">
        <f t="shared" ref="E36:F36" si="32">(E27/(E29/100))*(E30/100)*(0.0416)*(E32)</f>
        <v>2.0160281463560032</v>
      </c>
      <c r="F36" s="23">
        <f t="shared" si="32"/>
        <v>2.0043916194109781</v>
      </c>
      <c r="G36" s="23">
        <f t="shared" ref="G36:H36" si="33">(G27/(G29/100))*(G30/100)*(0.0416)*(G32)</f>
        <v>2.025444655047925</v>
      </c>
      <c r="H36" s="23">
        <f t="shared" si="33"/>
        <v>1.9862104143792234</v>
      </c>
      <c r="I36" s="23">
        <f t="shared" ref="I36:K36" si="34">(I27/(I29/100))*(I30/100)*(0.0416)*(I32)</f>
        <v>1.9617214787102117</v>
      </c>
      <c r="J36" s="23">
        <f t="shared" si="34"/>
        <v>2.0329382590075333</v>
      </c>
      <c r="K36" s="23">
        <f t="shared" si="34"/>
        <v>1.9513563441578234</v>
      </c>
      <c r="L36" s="23">
        <f t="shared" ref="L36:M36" si="35">(L27/(L29/100))*(L30/100)*(0.0416)*(L32)</f>
        <v>1.9271603786238918</v>
      </c>
      <c r="M36" s="23">
        <f t="shared" si="35"/>
        <v>1.9869789423961892</v>
      </c>
    </row>
    <row r="37" spans="1:17">
      <c r="A37" s="22" t="s">
        <v>962</v>
      </c>
      <c r="B37" s="2" t="s">
        <v>110</v>
      </c>
      <c r="D37" s="23">
        <f t="shared" ref="D37:I37" si="36">(D36*D33)/($D$2)</f>
        <v>2.096109627291165</v>
      </c>
      <c r="E37" s="23">
        <f t="shared" si="36"/>
        <v>2.0089880149766413</v>
      </c>
      <c r="F37" s="23">
        <f t="shared" si="36"/>
        <v>1.996979297542085</v>
      </c>
      <c r="G37" s="23">
        <f t="shared" si="36"/>
        <v>2.0195083581568016</v>
      </c>
      <c r="H37" s="23">
        <f t="shared" si="36"/>
        <v>1.980162285357147</v>
      </c>
      <c r="I37" s="23">
        <f t="shared" si="36"/>
        <v>1.9556774571549838</v>
      </c>
      <c r="J37" s="23">
        <f t="shared" ref="J37:K37" si="37">(J36*J33)/($D$2)</f>
        <v>2.0285869603584885</v>
      </c>
      <c r="K37" s="23">
        <f t="shared" si="37"/>
        <v>1.9465585422592806</v>
      </c>
      <c r="L37" s="23">
        <f t="shared" ref="L37:M37" si="38">(L36*L33)/($D$2)</f>
        <v>1.923488741175154</v>
      </c>
      <c r="M37" s="23">
        <f t="shared" si="38"/>
        <v>1.9838326973669735</v>
      </c>
    </row>
    <row r="38" spans="1:17">
      <c r="A38" s="22" t="s">
        <v>963</v>
      </c>
      <c r="B38" s="2" t="s">
        <v>964</v>
      </c>
      <c r="D38" s="23">
        <f>D36/D35</f>
        <v>12.010196149857521</v>
      </c>
      <c r="E38" s="23">
        <f t="shared" ref="E38:F38" si="39">(E30*E32)/(E28*2)</f>
        <v>14.436180118973374</v>
      </c>
      <c r="F38" s="23">
        <f t="shared" si="39"/>
        <v>14.304197052347551</v>
      </c>
      <c r="G38" s="23">
        <f t="shared" ref="G38:H38" si="40">(G30*G32)/(G28*2)</f>
        <v>14.038951420213875</v>
      </c>
      <c r="H38" s="23">
        <f t="shared" si="40"/>
        <v>13.721620133188296</v>
      </c>
      <c r="I38" s="23">
        <f t="shared" ref="I38:K38" si="41">(I30*I32)/(I28*2)</f>
        <v>13.625793732132756</v>
      </c>
      <c r="J38" s="23">
        <f t="shared" si="41"/>
        <v>13.988024207921207</v>
      </c>
      <c r="K38" s="23">
        <f t="shared" si="41"/>
        <v>13.38162073649314</v>
      </c>
      <c r="L38" s="23">
        <f t="shared" ref="L38:M38" si="42">(L30*L32)/(L28*2)</f>
        <v>10.868778367452228</v>
      </c>
      <c r="M38" s="23">
        <f t="shared" si="42"/>
        <v>13.40845751065407</v>
      </c>
    </row>
    <row r="39" spans="1:17" s="91" customFormat="1">
      <c r="A39" s="94" t="s">
        <v>965</v>
      </c>
      <c r="B39" s="93" t="s">
        <v>89</v>
      </c>
      <c r="C39" s="93"/>
      <c r="D39" s="23" cm="1">
        <f t="array" ref="D39:M39">TRANSPOSE(_xlfn._xlws.FILTER('Raw Data'!CO2:CO512,('Raw Data'!B2:B512=6)*('Raw Data'!CO2:CO512&lt;&gt;"")))</f>
        <v>46.194629999999997</v>
      </c>
      <c r="E39" s="39">
        <v>60.303908999999997</v>
      </c>
      <c r="F39" s="39">
        <v>60.305832000000002</v>
      </c>
      <c r="G39" s="39">
        <v>55.147860999999999</v>
      </c>
      <c r="H39" s="39">
        <v>55.036212999999996</v>
      </c>
      <c r="I39" s="39">
        <v>55.221187999999998</v>
      </c>
      <c r="J39" s="39">
        <v>51.406573999999999</v>
      </c>
      <c r="K39" s="39">
        <v>51.551124999999999</v>
      </c>
      <c r="L39" s="39">
        <v>48.165343999999997</v>
      </c>
      <c r="M39" s="39">
        <v>46.067920999999998</v>
      </c>
    </row>
    <row r="40" spans="1:17" s="91" customFormat="1">
      <c r="A40" s="94" t="s">
        <v>966</v>
      </c>
      <c r="B40" s="93" t="s">
        <v>89</v>
      </c>
      <c r="C40" s="93"/>
      <c r="D40" s="73" cm="1">
        <f t="array" ref="D40:M40">TRANSPOSE(_xlfn._xlws.FILTER('Raw Data'!CQ2:CQ506,('Raw Data'!B2:B506=6)*('Raw Data'!CQ2:CQ506&lt;&gt;"")))</f>
        <v>0.64920199999999995</v>
      </c>
      <c r="E40" s="73">
        <v>0.63362600000000002</v>
      </c>
      <c r="F40" s="73">
        <v>0.63179099999999999</v>
      </c>
      <c r="G40" s="73">
        <v>0.612869</v>
      </c>
      <c r="H40" s="73">
        <v>0.60817500000000002</v>
      </c>
      <c r="I40" s="73">
        <v>0.60829299999999997</v>
      </c>
      <c r="J40" s="73">
        <v>0.65032500000000004</v>
      </c>
      <c r="K40" s="73">
        <v>0.64800599999999997</v>
      </c>
      <c r="L40" s="73">
        <v>0.65556400000000004</v>
      </c>
      <c r="M40" s="73">
        <v>0.65130999999999994</v>
      </c>
    </row>
    <row r="41" spans="1:17" s="133" customFormat="1">
      <c r="A41" s="134"/>
      <c r="B41" s="131"/>
      <c r="C41" s="131" t="s">
        <v>651</v>
      </c>
      <c r="D41" s="135"/>
      <c r="E41" s="135"/>
      <c r="F41" s="135"/>
      <c r="G41" s="135"/>
      <c r="H41" s="135"/>
      <c r="I41" s="135"/>
      <c r="J41" s="135"/>
      <c r="K41" s="135"/>
      <c r="L41" s="135"/>
      <c r="M41" s="131"/>
    </row>
    <row r="42" spans="1:17" s="2" customFormat="1">
      <c r="A42" s="38" t="s">
        <v>9</v>
      </c>
      <c r="B42" s="2" t="s">
        <v>8</v>
      </c>
      <c r="C42" s="95">
        <f>Reactor1!C42</f>
        <v>0.749</v>
      </c>
      <c r="D42" s="23" cm="1">
        <f t="array" ref="D42:M42">TRANSPOSE(_xlfn._xlws.FILTER('Raw Data'!BB2:BB505,('Raw Data'!B2:B505=6)*('Raw Data'!BB2:BB505&lt;&gt;"")))</f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">
        <v>0</v>
      </c>
      <c r="P42" s="23"/>
    </row>
    <row r="43" spans="1:17" s="2" customFormat="1">
      <c r="A43" s="38" t="s">
        <v>10</v>
      </c>
      <c r="B43" s="2" t="s">
        <v>8</v>
      </c>
      <c r="C43" s="95">
        <f>Reactor1!C43</f>
        <v>0.79900000000000004</v>
      </c>
      <c r="D43" s="23" cm="1">
        <f t="array" ref="D43:M43">TRANSPOSE(_xlfn._xlws.FILTER('Raw Data'!BC2:BC505,('Raw Data'!B2:B505=6)*('Raw Data'!BC2:BC505&lt;&gt;"")))</f>
        <v>0</v>
      </c>
      <c r="E43" s="26">
        <v>0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P43" s="23"/>
    </row>
    <row r="44" spans="1:17" s="2" customFormat="1">
      <c r="A44" s="38" t="s">
        <v>11</v>
      </c>
      <c r="B44" s="2" t="s">
        <v>8</v>
      </c>
      <c r="C44" s="95">
        <f>Reactor1!C44</f>
        <v>0.81699999999999995</v>
      </c>
      <c r="D44" s="23" cm="1">
        <f t="array" ref="D44:M44">TRANSPOSE(_xlfn._xlws.FILTER('Raw Data'!BD2:BD505,('Raw Data'!B2:B505=6)*('Raw Data'!BD2:BD505&lt;&gt;"")))</f>
        <v>1.1567430000000001</v>
      </c>
      <c r="E44" s="26">
        <v>3.5257879999999999</v>
      </c>
      <c r="F44" s="26">
        <v>3.7819970000000001</v>
      </c>
      <c r="G44" s="26">
        <v>2.6516359999999999</v>
      </c>
      <c r="H44" s="26">
        <v>2.822444</v>
      </c>
      <c r="I44" s="26">
        <v>2.8740269999999999</v>
      </c>
      <c r="J44" s="26">
        <v>1.965883</v>
      </c>
      <c r="K44" s="26">
        <v>1.9908459999999999</v>
      </c>
      <c r="L44" s="26">
        <v>1.246432</v>
      </c>
      <c r="M44" s="26">
        <v>0.83715099999999998</v>
      </c>
      <c r="P44" s="23"/>
    </row>
    <row r="45" spans="1:17" s="2" customFormat="1">
      <c r="A45" s="38" t="s">
        <v>12</v>
      </c>
      <c r="B45" s="2" t="s">
        <v>8</v>
      </c>
      <c r="C45" s="95">
        <f>Reactor1!C45</f>
        <v>0.82599999999999996</v>
      </c>
      <c r="D45" s="23" cm="1">
        <f t="array" ref="D45:M45">TRANSPOSE(_xlfn._xlws.FILTER('Raw Data'!BE2:BE505,('Raw Data'!B2:B505=6)*('Raw Data'!BE2:BE505&lt;&gt;"")))</f>
        <v>2.1001150000000002</v>
      </c>
      <c r="E45" s="26">
        <v>3.1664919999999999</v>
      </c>
      <c r="F45" s="26">
        <v>3.2143440000000001</v>
      </c>
      <c r="G45" s="26">
        <v>2.8289399999999998</v>
      </c>
      <c r="H45" s="26">
        <v>2.8619859999999999</v>
      </c>
      <c r="I45" s="26">
        <v>2.8730220000000002</v>
      </c>
      <c r="J45" s="26">
        <v>2.5307819999999999</v>
      </c>
      <c r="K45" s="26">
        <v>2.5370300000000001</v>
      </c>
      <c r="L45" s="26">
        <v>2.2326410000000001</v>
      </c>
      <c r="M45" s="26">
        <v>2.0325920000000002</v>
      </c>
      <c r="P45" s="23"/>
    </row>
    <row r="46" spans="1:17" s="2" customFormat="1">
      <c r="A46" s="38" t="s">
        <v>13</v>
      </c>
      <c r="B46" s="2" t="s">
        <v>8</v>
      </c>
      <c r="C46" s="95">
        <f>Reactor1!C46</f>
        <v>0.82599999999999996</v>
      </c>
      <c r="D46" s="23" cm="1">
        <f t="array" ref="D46:M46">TRANSPOSE(_xlfn._xlws.FILTER('Raw Data'!BF2:BF505,('Raw Data'!B2:B505=6)*('Raw Data'!BF2:BF505&lt;&gt;"")))</f>
        <v>3.2061169999999999</v>
      </c>
      <c r="E46" s="26">
        <v>7.8659249999999998</v>
      </c>
      <c r="F46" s="26">
        <v>8.3008670000000002</v>
      </c>
      <c r="G46" s="26">
        <v>6.2252520000000002</v>
      </c>
      <c r="H46" s="26">
        <v>6.5347200000000001</v>
      </c>
      <c r="I46" s="26">
        <v>6.6302430000000001</v>
      </c>
      <c r="J46" s="26">
        <v>4.8979309999999998</v>
      </c>
      <c r="K46" s="26">
        <v>4.9482229999999996</v>
      </c>
      <c r="L46" s="26">
        <v>3.3800500000000002</v>
      </c>
      <c r="M46" s="26">
        <v>2.472451</v>
      </c>
      <c r="P46" s="23"/>
    </row>
    <row r="47" spans="1:17" s="2" customFormat="1">
      <c r="A47" s="38" t="s">
        <v>14</v>
      </c>
      <c r="B47" s="2" t="s">
        <v>8</v>
      </c>
      <c r="C47" s="95">
        <f>Reactor1!C47</f>
        <v>0.83299999999999996</v>
      </c>
      <c r="D47" s="23" cm="1">
        <f t="array" ref="D47:M47">TRANSPOSE(_xlfn._xlws.FILTER('Raw Data'!BG2:BG505,('Raw Data'!B2:B505=6)*('Raw Data'!BG2:BG505&lt;&gt;"")))</f>
        <v>11.205260000000001</v>
      </c>
      <c r="E47" s="26">
        <v>12.428846999999999</v>
      </c>
      <c r="F47" s="26">
        <v>12.490660999999999</v>
      </c>
      <c r="G47" s="26">
        <v>12.634853</v>
      </c>
      <c r="H47" s="26">
        <v>12.658607999999999</v>
      </c>
      <c r="I47" s="26">
        <v>12.649039</v>
      </c>
      <c r="J47" s="26">
        <v>12.646138000000001</v>
      </c>
      <c r="K47" s="26">
        <v>12.671756999999999</v>
      </c>
      <c r="L47" s="26">
        <v>12.73418</v>
      </c>
      <c r="M47" s="26">
        <v>12.748485000000001</v>
      </c>
      <c r="P47" s="23"/>
      <c r="Q47" s="23"/>
    </row>
    <row r="48" spans="1:17" s="2" customFormat="1">
      <c r="A48" s="38" t="s">
        <v>15</v>
      </c>
      <c r="B48" s="2" t="s">
        <v>8</v>
      </c>
      <c r="C48" s="95">
        <f>Reactor1!C48</f>
        <v>0.83299999999999996</v>
      </c>
      <c r="D48" s="23" cm="1">
        <f t="array" ref="D48:M48">TRANSPOSE(_xlfn._xlws.FILTER('Raw Data'!BH2:BH505,('Raw Data'!B2:B505=6)*('Raw Data'!BH2:BH505&lt;&gt;"")))</f>
        <v>7.8337190000000003</v>
      </c>
      <c r="E48" s="26">
        <v>9.9942360000000008</v>
      </c>
      <c r="F48" s="26">
        <v>10.013178999999999</v>
      </c>
      <c r="G48" s="26">
        <v>9.4006519999999991</v>
      </c>
      <c r="H48" s="26">
        <v>9.4149030000000007</v>
      </c>
      <c r="I48" s="26">
        <v>9.4313090000000006</v>
      </c>
      <c r="J48" s="26">
        <v>8.9254660000000001</v>
      </c>
      <c r="K48" s="26">
        <v>8.9522840000000006</v>
      </c>
      <c r="L48" s="26">
        <v>8.5126209999999993</v>
      </c>
      <c r="M48" s="26">
        <v>8.2295359999999995</v>
      </c>
      <c r="P48" s="23"/>
      <c r="Q48" s="23"/>
    </row>
    <row r="49" spans="1:17" s="2" customFormat="1">
      <c r="A49" s="38" t="s">
        <v>16</v>
      </c>
      <c r="B49" s="2" t="s">
        <v>8</v>
      </c>
      <c r="C49" s="95">
        <f>Reactor1!C49</f>
        <v>0.85699999999999998</v>
      </c>
      <c r="D49" s="23" cm="1">
        <f t="array" ref="D49:M49">TRANSPOSE(_xlfn._xlws.FILTER('Raw Data'!BI2:BI505,('Raw Data'!B2:B505=6)*('Raw Data'!BI2:BI505&lt;&gt;"")))</f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P49" s="23"/>
      <c r="Q49" s="23"/>
    </row>
    <row r="50" spans="1:17" s="2" customFormat="1">
      <c r="A50" s="38" t="s">
        <v>17</v>
      </c>
      <c r="B50" s="2" t="s">
        <v>8</v>
      </c>
      <c r="C50" s="95">
        <f>Reactor1!C50</f>
        <v>0.83699999999999997</v>
      </c>
      <c r="D50" s="23" cm="1">
        <f t="array" ref="D50:M50">TRANSPOSE(_xlfn._xlws.FILTER('Raw Data'!BJ2:BJ505,('Raw Data'!B2:B505=6)*('Raw Data'!BJ2:BJ505&lt;&gt;"")))</f>
        <v>14.211055999999999</v>
      </c>
      <c r="E50" s="26">
        <v>13.796656</v>
      </c>
      <c r="F50" s="26">
        <v>14.215861</v>
      </c>
      <c r="G50" s="26">
        <v>15.616561000000001</v>
      </c>
      <c r="H50" s="26">
        <v>15.890819</v>
      </c>
      <c r="I50" s="26">
        <v>15.875432</v>
      </c>
      <c r="J50" s="26">
        <v>16.479835999999999</v>
      </c>
      <c r="K50" s="26">
        <v>16.490480000000002</v>
      </c>
      <c r="L50" s="26">
        <v>16.965429</v>
      </c>
      <c r="M50" s="26">
        <v>17.230744999999999</v>
      </c>
      <c r="P50" s="23"/>
      <c r="Q50" s="23"/>
    </row>
    <row r="51" spans="1:17" s="2" customFormat="1">
      <c r="A51" s="38" t="s">
        <v>18</v>
      </c>
      <c r="B51" s="2" t="s">
        <v>8</v>
      </c>
      <c r="C51" s="95">
        <f>Reactor1!C51</f>
        <v>0.83699999999999997</v>
      </c>
      <c r="D51" s="23" cm="1">
        <f t="array" ref="D51:M51">TRANSPOSE(_xlfn._xlws.FILTER('Raw Data'!BK2:BK505,('Raw Data'!B2:B505=6)*('Raw Data'!BK2:BK505&lt;&gt;"")))</f>
        <v>7.3242609999999999</v>
      </c>
      <c r="E51" s="26">
        <v>8.7503589999999996</v>
      </c>
      <c r="F51" s="26">
        <v>8.5557429999999997</v>
      </c>
      <c r="G51" s="26">
        <v>8.1467709999999993</v>
      </c>
      <c r="H51" s="26">
        <v>8.0035690000000006</v>
      </c>
      <c r="I51" s="26">
        <v>8.0058089999999993</v>
      </c>
      <c r="J51" s="26">
        <v>7.8819540000000003</v>
      </c>
      <c r="K51" s="26">
        <v>7.8985240000000001</v>
      </c>
      <c r="L51" s="26">
        <v>7.9067930000000004</v>
      </c>
      <c r="M51" s="26">
        <v>7.865685</v>
      </c>
      <c r="P51" s="23"/>
      <c r="Q51" s="23"/>
    </row>
    <row r="52" spans="1:17" s="2" customFormat="1">
      <c r="A52" s="38" t="s">
        <v>19</v>
      </c>
      <c r="B52" s="2" t="s">
        <v>8</v>
      </c>
      <c r="C52" s="95">
        <f>Reactor1!C52</f>
        <v>0.83699999999999997</v>
      </c>
      <c r="D52" s="23" cm="1">
        <f t="array" ref="D52:M52">TRANSPOSE(_xlfn._xlws.FILTER('Raw Data'!BL2:BL505,('Raw Data'!B2:B505=6)*('Raw Data'!BL2:BL505&lt;&gt;"")))</f>
        <v>4.1389699999999996</v>
      </c>
      <c r="E52" s="26">
        <v>5.339118</v>
      </c>
      <c r="F52" s="26">
        <v>5.1630760000000002</v>
      </c>
      <c r="G52" s="26">
        <v>4.6680219999999997</v>
      </c>
      <c r="H52" s="26">
        <v>4.5317280000000002</v>
      </c>
      <c r="I52" s="26">
        <v>4.5428709999999999</v>
      </c>
      <c r="J52" s="26">
        <v>4.317126</v>
      </c>
      <c r="K52" s="26">
        <v>4.3314620000000001</v>
      </c>
      <c r="L52" s="26">
        <v>4.1364660000000004</v>
      </c>
      <c r="M52" s="26">
        <v>4.0220700000000003</v>
      </c>
      <c r="P52" s="23"/>
      <c r="Q52" s="23"/>
    </row>
    <row r="53" spans="1:17" s="2" customFormat="1">
      <c r="A53" s="38" t="s">
        <v>20</v>
      </c>
      <c r="B53" s="2" t="s">
        <v>8</v>
      </c>
      <c r="C53" s="95">
        <f>Reactor1!C53</f>
        <v>0.83699999999999997</v>
      </c>
      <c r="D53" s="23" cm="1">
        <f t="array" ref="D53:M53">TRANSPOSE(_xlfn._xlws.FILTER('Raw Data'!BM2:BM505,('Raw Data'!B2:B505=6)*('Raw Data'!BM2:BM505&lt;&gt;"")))</f>
        <v>1.130574</v>
      </c>
      <c r="E53" s="26">
        <v>1.81507</v>
      </c>
      <c r="F53" s="26">
        <v>1.8676999999999999</v>
      </c>
      <c r="G53" s="26">
        <v>1.6652340000000001</v>
      </c>
      <c r="H53" s="26">
        <v>1.719462</v>
      </c>
      <c r="I53" s="26">
        <v>1.732472</v>
      </c>
      <c r="J53" s="26">
        <v>1.5082059999999999</v>
      </c>
      <c r="K53" s="26">
        <v>1.5189330000000001</v>
      </c>
      <c r="L53" s="26">
        <v>1.272038</v>
      </c>
      <c r="M53" s="26">
        <v>1.151851</v>
      </c>
      <c r="P53" s="23"/>
      <c r="Q53" s="23"/>
    </row>
    <row r="54" spans="1:17" s="2" customFormat="1">
      <c r="A54" s="38" t="s">
        <v>75</v>
      </c>
      <c r="B54" s="2" t="s">
        <v>8</v>
      </c>
      <c r="C54" s="95">
        <f>Reactor1!C54</f>
        <v>0.83699999999999997</v>
      </c>
      <c r="D54" s="23" cm="1">
        <f t="array" ref="D54:M54">TRANSPOSE(_xlfn._xlws.FILTER('Raw Data'!BN2:BN505,('Raw Data'!B2:B505=6)*('Raw Data'!BN2:BN505&lt;&gt;"")))</f>
        <v>0.181862</v>
      </c>
      <c r="E54" s="26">
        <v>0.48736299999999999</v>
      </c>
      <c r="F54" s="26">
        <v>0.38768799999999998</v>
      </c>
      <c r="G54" s="26">
        <v>0.18654499999999999</v>
      </c>
      <c r="H54" s="26">
        <v>0.13513600000000001</v>
      </c>
      <c r="I54" s="26">
        <v>0.13725599999999999</v>
      </c>
      <c r="J54" s="26">
        <v>9.3865000000000004E-2</v>
      </c>
      <c r="K54" s="26">
        <v>9.5418000000000003E-2</v>
      </c>
      <c r="L54" s="26">
        <v>6.1783999999999999E-2</v>
      </c>
      <c r="M54" s="26">
        <v>4.5943999999999999E-2</v>
      </c>
      <c r="P54" s="23"/>
      <c r="Q54" s="23"/>
    </row>
    <row r="55" spans="1:17" s="2" customFormat="1">
      <c r="A55" s="38" t="s">
        <v>22</v>
      </c>
      <c r="B55" s="2" t="s">
        <v>8</v>
      </c>
      <c r="C55" s="95">
        <f>Reactor1!C55</f>
        <v>0.85699999999999998</v>
      </c>
      <c r="D55" s="23" cm="1">
        <f t="array" ref="D55:M55">TRANSPOSE(_xlfn._xlws.FILTER('Raw Data'!BO2:BO505,('Raw Data'!B2:B505=6)*('Raw Data'!BO2:BO505&lt;&gt;"")))</f>
        <v>0.30902800000000002</v>
      </c>
      <c r="E55" s="26">
        <v>0.30860500000000002</v>
      </c>
      <c r="F55" s="26">
        <v>0.32079200000000002</v>
      </c>
      <c r="G55" s="26">
        <v>0.35736499999999999</v>
      </c>
      <c r="H55" s="26">
        <v>0.37496099999999999</v>
      </c>
      <c r="I55" s="26">
        <v>0.37529200000000001</v>
      </c>
      <c r="J55" s="26">
        <v>0.38471100000000003</v>
      </c>
      <c r="K55" s="26">
        <v>0.38506699999999999</v>
      </c>
      <c r="L55" s="26">
        <v>0.38350400000000001</v>
      </c>
      <c r="M55" s="26">
        <v>0.383606</v>
      </c>
      <c r="P55" s="23"/>
      <c r="Q55" s="23"/>
    </row>
    <row r="56" spans="1:17" s="2" customFormat="1">
      <c r="A56" s="38" t="s">
        <v>23</v>
      </c>
      <c r="B56" s="2" t="s">
        <v>8</v>
      </c>
      <c r="C56" s="95">
        <f>Reactor1!C56</f>
        <v>0.85699999999999998</v>
      </c>
      <c r="D56" s="23" cm="1">
        <f t="array" ref="D56:M56">TRANSPOSE(_xlfn._xlws.FILTER('Raw Data'!BP2:BP506,('Raw Data'!B2:B506=6)*('Raw Data'!BP2:BP506&lt;&gt;"")))</f>
        <v>0.61808099999999999</v>
      </c>
      <c r="E56" s="26">
        <v>0.70042599999999999</v>
      </c>
      <c r="F56" s="26">
        <v>0.68680200000000002</v>
      </c>
      <c r="G56" s="26">
        <v>0.66201900000000002</v>
      </c>
      <c r="H56" s="26">
        <v>0.643038</v>
      </c>
      <c r="I56" s="26">
        <v>0.64320500000000003</v>
      </c>
      <c r="J56" s="26">
        <v>0.64280800000000005</v>
      </c>
      <c r="K56" s="26">
        <v>0.64236300000000002</v>
      </c>
      <c r="L56" s="26">
        <v>0.648613</v>
      </c>
      <c r="M56" s="26">
        <v>0.65131399999999995</v>
      </c>
      <c r="P56" s="23"/>
      <c r="Q56" s="23"/>
    </row>
    <row r="57" spans="1:17" s="2" customFormat="1">
      <c r="A57" s="38" t="s">
        <v>24</v>
      </c>
      <c r="B57" s="2" t="s">
        <v>8</v>
      </c>
      <c r="C57" s="95">
        <f>Reactor1!C57</f>
        <v>0.92300000000000004</v>
      </c>
      <c r="D57" s="23" cm="1">
        <f t="array" ref="D57:M57">TRANSPOSE(_xlfn._xlws.FILTER('Raw Data'!BQ2:BQ505,('Raw Data'!B2:B505=6)*('Raw Data'!BQ2:BQ505&lt;&gt;"")))</f>
        <v>0</v>
      </c>
      <c r="E57" s="26">
        <v>0</v>
      </c>
      <c r="F57" s="26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P57" s="23"/>
      <c r="Q57" s="23"/>
    </row>
    <row r="58" spans="1:17">
      <c r="A58" s="38" t="s">
        <v>25</v>
      </c>
      <c r="B58" s="2" t="s">
        <v>8</v>
      </c>
      <c r="C58" s="95">
        <f>Reactor1!C58</f>
        <v>0.83899999999999997</v>
      </c>
      <c r="D58" s="23" cm="1">
        <f t="array" ref="D58:M58">TRANSPOSE(_xlfn._xlws.FILTER('Raw Data'!BR2:BR505,('Raw Data'!B2:B505=6)*('Raw Data'!BR2:BR505&lt;&gt;"")))</f>
        <v>9.6298139999999997</v>
      </c>
      <c r="E58" s="26">
        <v>6.7792599999999998</v>
      </c>
      <c r="F58" s="26">
        <v>7.4726749999999997</v>
      </c>
      <c r="G58" s="26">
        <v>10.202904999999999</v>
      </c>
      <c r="H58" s="26">
        <v>10.943372999999999</v>
      </c>
      <c r="I58" s="26">
        <v>10.899596000000001</v>
      </c>
      <c r="J58" s="26">
        <v>12.392016999999999</v>
      </c>
      <c r="K58" s="26">
        <v>12.326718</v>
      </c>
      <c r="L58" s="26">
        <v>13.521152000000001</v>
      </c>
      <c r="M58" s="26">
        <v>14.331469999999999</v>
      </c>
      <c r="P58" s="23"/>
      <c r="Q58" s="23"/>
    </row>
    <row r="59" spans="1:17">
      <c r="A59" s="38" t="s">
        <v>26</v>
      </c>
      <c r="B59" s="2" t="s">
        <v>8</v>
      </c>
      <c r="C59" s="95">
        <f>Reactor1!C59</f>
        <v>0.83899999999999997</v>
      </c>
      <c r="D59" s="23" cm="1">
        <f t="array" ref="D59:M59">TRANSPOSE(_xlfn._xlws.FILTER('Raw Data'!BS2:BS505,('Raw Data'!B2:B505=6)*('Raw Data'!BS2:BS505&lt;&gt;"")))</f>
        <v>13.640889</v>
      </c>
      <c r="E59" s="26">
        <v>13.977055</v>
      </c>
      <c r="F59" s="26">
        <v>13.26511</v>
      </c>
      <c r="G59" s="26">
        <v>13.174683999999999</v>
      </c>
      <c r="H59" s="26">
        <v>12.346534999999999</v>
      </c>
      <c r="I59" s="26">
        <v>12.318794</v>
      </c>
      <c r="J59" s="26">
        <v>12.693038</v>
      </c>
      <c r="K59" s="26">
        <v>12.654619</v>
      </c>
      <c r="L59" s="26">
        <v>12.996149000000001</v>
      </c>
      <c r="M59" s="26">
        <v>13.051890999999999</v>
      </c>
      <c r="P59" s="23"/>
      <c r="Q59" s="23"/>
    </row>
    <row r="60" spans="1:17">
      <c r="A60" s="38" t="s">
        <v>27</v>
      </c>
      <c r="B60" s="2" t="s">
        <v>8</v>
      </c>
      <c r="C60" s="95">
        <f>Reactor1!C60</f>
        <v>0.83899999999999997</v>
      </c>
      <c r="D60" s="23" cm="1">
        <f t="array" ref="D60:M60">TRANSPOSE(_xlfn._xlws.FILTER('Raw Data'!BT2:BT505,('Raw Data'!B2:B505=6)*('Raw Data'!BT2:BT505&lt;&gt;"")))</f>
        <v>2.7094450000000001</v>
      </c>
      <c r="E60" s="26">
        <v>4.6755120000000003</v>
      </c>
      <c r="F60" s="26">
        <v>4.1864790000000003</v>
      </c>
      <c r="G60" s="26">
        <v>3.635011</v>
      </c>
      <c r="H60" s="26">
        <v>3.3913449999999998</v>
      </c>
      <c r="I60" s="26">
        <v>3.399095</v>
      </c>
      <c r="J60" s="26">
        <v>3.2208320000000001</v>
      </c>
      <c r="K60" s="26">
        <v>3.2275450000000001</v>
      </c>
      <c r="L60" s="26">
        <v>2.876722</v>
      </c>
      <c r="M60" s="26">
        <v>2.626814</v>
      </c>
      <c r="P60" s="23"/>
      <c r="Q60" s="23"/>
    </row>
    <row r="61" spans="1:17">
      <c r="A61" s="38" t="s">
        <v>28</v>
      </c>
      <c r="B61" s="2" t="s">
        <v>8</v>
      </c>
      <c r="C61" s="95">
        <f>Reactor1!C61</f>
        <v>0.85619999999999996</v>
      </c>
      <c r="D61" s="23" cm="1">
        <f t="array" ref="D61:M61">TRANSPOSE(_xlfn._xlws.FILTER('Raw Data'!BU2:BU505,('Raw Data'!B2:B505=6)*('Raw Data'!BU2:BU505&lt;&gt;"")))</f>
        <v>1.0145770000000001</v>
      </c>
      <c r="E61" s="26">
        <v>1.0766709999999999</v>
      </c>
      <c r="F61" s="26">
        <v>1.0656969999999999</v>
      </c>
      <c r="G61" s="26">
        <v>1.0928329999999999</v>
      </c>
      <c r="H61" s="26">
        <v>1.0901209999999999</v>
      </c>
      <c r="I61" s="26">
        <v>1.0812870000000001</v>
      </c>
      <c r="J61" s="26">
        <v>1.105272</v>
      </c>
      <c r="K61" s="26">
        <v>1.107378</v>
      </c>
      <c r="L61" s="26">
        <v>1.1115710000000001</v>
      </c>
      <c r="M61" s="26">
        <v>1.1161479999999999</v>
      </c>
      <c r="P61" s="23"/>
      <c r="Q61" s="23"/>
    </row>
    <row r="62" spans="1:17">
      <c r="A62" s="38" t="s">
        <v>29</v>
      </c>
      <c r="B62" s="2" t="s">
        <v>8</v>
      </c>
      <c r="C62" s="95">
        <f>Reactor1!C62</f>
        <v>0.91300000000000003</v>
      </c>
      <c r="D62" s="23" cm="1">
        <f t="array" ref="D62:M62">TRANSPOSE(_xlfn._xlws.FILTER('Raw Data'!BV2:BV505,('Raw Data'!B2:B505=6)*('Raw Data'!BV2:BV505&lt;&gt;"")))</f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P62" s="23"/>
      <c r="Q62" s="23"/>
    </row>
    <row r="63" spans="1:17">
      <c r="A63" s="38" t="s">
        <v>30</v>
      </c>
      <c r="B63" s="2" t="s">
        <v>8</v>
      </c>
      <c r="C63" s="95">
        <f>Reactor1!C63</f>
        <v>0.84099999999999997</v>
      </c>
      <c r="D63" s="23" cm="1">
        <f t="array" ref="D63:M63">TRANSPOSE(_xlfn._xlws.FILTER('Raw Data'!BW2:BW505,('Raw Data'!B2:B505=6)*('Raw Data'!BW2:BW505&lt;&gt;"")))</f>
        <v>7.7984499999999999</v>
      </c>
      <c r="E63" s="26">
        <v>4.0057539999999996</v>
      </c>
      <c r="F63" s="26">
        <v>3.900868</v>
      </c>
      <c r="G63" s="26">
        <v>5.7934650000000003</v>
      </c>
      <c r="H63" s="26">
        <v>5.625165</v>
      </c>
      <c r="I63" s="26">
        <v>5.5414019999999997</v>
      </c>
      <c r="J63" s="26">
        <v>7.3452140000000004</v>
      </c>
      <c r="K63" s="26">
        <v>7.2568099999999998</v>
      </c>
      <c r="L63" s="26">
        <v>9.0607330000000008</v>
      </c>
      <c r="M63" s="26">
        <v>10.27619</v>
      </c>
      <c r="P63" s="23"/>
      <c r="Q63" s="23"/>
    </row>
    <row r="64" spans="1:17">
      <c r="A64" s="22" t="s">
        <v>636</v>
      </c>
      <c r="B64" s="2" t="s">
        <v>8</v>
      </c>
      <c r="C64" s="95">
        <f>Reactor1!C64</f>
        <v>0.85629999999999995</v>
      </c>
      <c r="D64" s="23" cm="1">
        <f t="array" ref="D64:M64">TRANSPOSE(_xlfn._xlws.FILTER('Raw Data'!BX2:BX505,('Raw Data'!B2:B505=6)*('Raw Data'!BX2:BX505&lt;&gt;"")))</f>
        <v>0.92594900000000002</v>
      </c>
      <c r="E64" s="26">
        <v>0.82234099999999999</v>
      </c>
      <c r="F64" s="26">
        <v>0.77670099999999997</v>
      </c>
      <c r="G64" s="26">
        <v>0.80417000000000005</v>
      </c>
      <c r="H64" s="26">
        <v>0.75644599999999995</v>
      </c>
      <c r="I64" s="26">
        <v>0.75966699999999998</v>
      </c>
      <c r="J64" s="26">
        <v>0.74582999999999999</v>
      </c>
      <c r="K64" s="26">
        <v>0.74454900000000002</v>
      </c>
      <c r="L64" s="26">
        <v>0.70911500000000005</v>
      </c>
      <c r="M64" s="26">
        <v>0.65749000000000002</v>
      </c>
      <c r="P64" s="23"/>
      <c r="Q64" s="23"/>
    </row>
    <row r="65" spans="1:17">
      <c r="A65" s="22" t="s">
        <v>637</v>
      </c>
      <c r="B65" s="2" t="s">
        <v>8</v>
      </c>
      <c r="C65" s="95">
        <f>Reactor1!C65</f>
        <v>0.90600000000000003</v>
      </c>
      <c r="D65" s="23" cm="1">
        <f t="array" ref="D65:M65">TRANSPOSE(_xlfn._xlws.FILTER('Raw Data'!BY2:BY505,('Raw Data'!B2:B505=6)*('Raw Data'!BY2:BY505&lt;&gt;"")))</f>
        <v>0</v>
      </c>
      <c r="E65" s="26">
        <v>0</v>
      </c>
      <c r="F65" s="26">
        <v>0</v>
      </c>
      <c r="G65" s="26">
        <v>0</v>
      </c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P65" s="23"/>
      <c r="Q65" s="23"/>
    </row>
    <row r="66" spans="1:17">
      <c r="A66" s="22" t="s">
        <v>638</v>
      </c>
      <c r="B66" s="2" t="s">
        <v>8</v>
      </c>
      <c r="C66" s="95">
        <f>Reactor1!C66</f>
        <v>0.84299999999999997</v>
      </c>
      <c r="D66" s="23" cm="1">
        <f t="array" ref="D66:M66">TRANSPOSE(_xlfn._xlws.FILTER('Raw Data'!BZ2:BZ505,('Raw Data'!B2:B505=6)*('Raw Data'!BZ2:BZ505&lt;&gt;"")))</f>
        <v>0.101372</v>
      </c>
      <c r="E66" s="26">
        <v>9.2548000000000005E-2</v>
      </c>
      <c r="F66" s="26">
        <v>9.1782000000000002E-2</v>
      </c>
      <c r="G66" s="26">
        <v>9.2945E-2</v>
      </c>
      <c r="H66" s="26">
        <v>9.1699000000000003E-2</v>
      </c>
      <c r="I66" s="26">
        <v>9.1963000000000003E-2</v>
      </c>
      <c r="J66" s="26">
        <v>9.5912999999999998E-2</v>
      </c>
      <c r="K66" s="26">
        <v>9.4504000000000005E-2</v>
      </c>
      <c r="L66" s="26">
        <v>0.101619</v>
      </c>
      <c r="M66" s="26">
        <v>0.110847</v>
      </c>
      <c r="P66" s="23"/>
      <c r="Q66" s="23"/>
    </row>
    <row r="67" spans="1:17">
      <c r="A67" s="22" t="s">
        <v>639</v>
      </c>
      <c r="B67" s="2" t="s">
        <v>8</v>
      </c>
      <c r="C67" s="95">
        <f>Reactor1!C67</f>
        <v>0.85699999999999998</v>
      </c>
      <c r="D67" s="23" cm="1">
        <f t="array" ref="D67:M67">TRANSPOSE(_xlfn._xlws.FILTER('Raw Data'!CA2:CA505,('Raw Data'!B2:B505=6)*('Raw Data'!CA2:CA505&lt;&gt;"")))</f>
        <v>6.8970000000000004E-3</v>
      </c>
      <c r="E67" s="26">
        <v>0</v>
      </c>
      <c r="F67" s="26">
        <v>0</v>
      </c>
      <c r="G67" s="26">
        <v>2.153E-3</v>
      </c>
      <c r="H67" s="26">
        <v>1.542E-3</v>
      </c>
      <c r="I67" s="26">
        <v>1.609E-3</v>
      </c>
      <c r="J67" s="26">
        <v>3.565E-3</v>
      </c>
      <c r="K67" s="26">
        <v>3.2599999999999999E-3</v>
      </c>
      <c r="L67" s="26">
        <v>6.2490000000000002E-3</v>
      </c>
      <c r="M67" s="26">
        <v>9.8289999999999992E-3</v>
      </c>
      <c r="P67" s="23"/>
      <c r="Q67" s="23"/>
    </row>
    <row r="68" spans="1:17">
      <c r="A68" s="22" t="s">
        <v>640</v>
      </c>
      <c r="B68" s="2" t="s">
        <v>8</v>
      </c>
      <c r="C68" s="95">
        <f>Reactor1!C68</f>
        <v>0.9</v>
      </c>
      <c r="D68" s="23" cm="1">
        <f t="array" ref="D68:M68">TRANSPOSE(_xlfn._xlws.FILTER('Raw Data'!CB2:CB505,('Raw Data'!B2:B505=6)*('Raw Data'!CB2:CB505&lt;&gt;"")))</f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P68" s="23"/>
      <c r="Q68" s="23"/>
    </row>
    <row r="69" spans="1:17">
      <c r="A69" s="22" t="s">
        <v>641</v>
      </c>
      <c r="B69" s="2" t="s">
        <v>8</v>
      </c>
      <c r="C69" s="95">
        <f>Reactor1!C69</f>
        <v>0.84399999999999997</v>
      </c>
      <c r="D69" s="23" cm="1">
        <f t="array" ref="D69:M69">TRANSPOSE(_xlfn._xlws.FILTER('Raw Data'!CC2:CC505,('Raw Data'!B2:B505=6)*('Raw Data'!CC2:CC505&lt;&gt;"")))</f>
        <v>0</v>
      </c>
      <c r="E69" s="26">
        <v>0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P69" s="23"/>
      <c r="Q69" s="23"/>
    </row>
    <row r="70" spans="1:17">
      <c r="A70" s="22" t="s">
        <v>642</v>
      </c>
      <c r="B70" s="2" t="s">
        <v>8</v>
      </c>
      <c r="C70" s="95">
        <f>Reactor1!C70</f>
        <v>0.85709999999999997</v>
      </c>
      <c r="D70" s="23" cm="1">
        <f t="array" ref="D70:M70">TRANSPOSE(_xlfn._xlws.FILTER('Raw Data'!CD2:CD505,('Raw Data'!B2:B505=6)*('Raw Data'!CD2:CD505&lt;&gt;"")))</f>
        <v>5.6290000000000003E-3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P70" s="23"/>
      <c r="Q70" s="23"/>
    </row>
    <row r="71" spans="1:17">
      <c r="A71" s="22" t="s">
        <v>643</v>
      </c>
      <c r="B71" s="2" t="s">
        <v>8</v>
      </c>
      <c r="C71" s="95">
        <f>Reactor1!C71</f>
        <v>0.89600000000000002</v>
      </c>
      <c r="D71" s="23" cm="1">
        <f t="array" ref="D71:M71">TRANSPOSE(_xlfn._xlws.FILTER('Raw Data'!CE2:CE505,('Raw Data'!B2:B505=6)*('Raw Data'!CE2:CE505&lt;&gt;"")))</f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P71" s="23"/>
      <c r="Q71" s="23"/>
    </row>
    <row r="72" spans="1:17">
      <c r="A72" s="22" t="s">
        <v>76</v>
      </c>
      <c r="B72" s="2" t="s">
        <v>8</v>
      </c>
      <c r="C72" s="95">
        <f>Reactor1!C72</f>
        <v>0.79</v>
      </c>
      <c r="D72" s="23" cm="1">
        <f t="array" ref="D72:M72">TRANSPOSE(_xlfn._xlws.FILTER('Raw Data'!CF2:CF505,('Raw Data'!B2:B505=6)*('Raw Data'!CF2:CF505&lt;&gt;"")))</f>
        <v>2.0705000000000001E-2</v>
      </c>
      <c r="E72" s="26">
        <v>1.7391E-2</v>
      </c>
      <c r="F72" s="26">
        <v>1.7590999999999999E-2</v>
      </c>
      <c r="G72" s="26">
        <v>1.3528999999999999E-2</v>
      </c>
      <c r="H72" s="26">
        <v>1.2992999999999999E-2</v>
      </c>
      <c r="I72" s="26">
        <v>1.2671999999999999E-2</v>
      </c>
      <c r="J72" s="26">
        <v>1.0135999999999999E-2</v>
      </c>
      <c r="K72" s="26">
        <v>9.2230000000000003E-3</v>
      </c>
      <c r="L72" s="26">
        <v>7.6429999999999996E-3</v>
      </c>
      <c r="M72" s="26">
        <v>6.8269999999999997E-3</v>
      </c>
      <c r="P72" s="23"/>
      <c r="Q72" s="23"/>
    </row>
    <row r="73" spans="1:17">
      <c r="A73" s="22" t="s">
        <v>77</v>
      </c>
      <c r="B73" s="2" t="s">
        <v>8</v>
      </c>
      <c r="C73" s="95">
        <f>Reactor1!C73</f>
        <v>0.83</v>
      </c>
      <c r="D73" s="23" cm="1">
        <f t="array" ref="D73:M73">TRANSPOSE(_xlfn._xlws.FILTER('Raw Data'!CG2:CG505,('Raw Data'!B2:B505=6)*('Raw Data'!CG2:CG505&lt;&gt;"")))</f>
        <v>0</v>
      </c>
      <c r="E73" s="26">
        <v>0</v>
      </c>
      <c r="F73" s="26">
        <v>0</v>
      </c>
      <c r="G73" s="26">
        <v>0</v>
      </c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P73" s="23"/>
      <c r="Q73" s="23"/>
    </row>
    <row r="74" spans="1:17">
      <c r="A74" s="22" t="s">
        <v>78</v>
      </c>
      <c r="B74" s="2" t="s">
        <v>8</v>
      </c>
      <c r="C74" s="95">
        <f>Reactor1!C74</f>
        <v>0.83499999999999996</v>
      </c>
      <c r="D74" s="23" cm="1">
        <f t="array" ref="D74:M74">TRANSPOSE(_xlfn._xlws.FILTER('Raw Data'!CH2:CH505,('Raw Data'!B2:B505=6)*('Raw Data'!CH2:CH505&lt;&gt;"")))</f>
        <v>0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P74" s="23"/>
      <c r="Q74" s="23"/>
    </row>
    <row r="75" spans="1:17">
      <c r="A75" s="22" t="s">
        <v>79</v>
      </c>
      <c r="B75" s="2" t="s">
        <v>8</v>
      </c>
      <c r="C75" s="95">
        <f>Reactor1!C75</f>
        <v>0.83860000000000001</v>
      </c>
      <c r="D75" s="23" cm="1">
        <f t="array" ref="D75:M75">TRANSPOSE(_xlfn._xlws.FILTER('Raw Data'!CI2:CI505,('Raw Data'!B2:B505=6)*('Raw Data'!CI2:CI505&lt;&gt;"")))</f>
        <v>0.936365</v>
      </c>
      <c r="E75" s="26">
        <v>3.8409999999999998E-3</v>
      </c>
      <c r="F75" s="26">
        <v>0</v>
      </c>
      <c r="G75" s="26">
        <v>4.47E-3</v>
      </c>
      <c r="H75" s="26">
        <v>4.0169999999999997E-3</v>
      </c>
      <c r="I75" s="26">
        <v>0</v>
      </c>
      <c r="J75" s="26">
        <v>6.7419999999999997E-3</v>
      </c>
      <c r="K75" s="26">
        <v>6.1240000000000001E-3</v>
      </c>
      <c r="L75" s="26">
        <v>5.7559999999999998E-3</v>
      </c>
      <c r="M75" s="26">
        <v>7.4819999999999999E-3</v>
      </c>
      <c r="P75" s="23"/>
      <c r="Q75" s="23"/>
    </row>
    <row r="76" spans="1:17">
      <c r="A76" s="22" t="s">
        <v>80</v>
      </c>
      <c r="B76" s="2" t="s">
        <v>8</v>
      </c>
      <c r="C76" s="95">
        <f>Reactor1!C76</f>
        <v>0.84060000000000001</v>
      </c>
      <c r="D76" s="23" cm="1">
        <f t="array" ref="D76:M76">TRANSPOSE(_xlfn._xlws.FILTER('Raw Data'!CJ2:CJ505,('Raw Data'!B2:B505=6)*('Raw Data'!CJ2:CJ505&lt;&gt;"")))</f>
        <v>0.13175300000000001</v>
      </c>
      <c r="E76" s="26">
        <v>6.0051E-2</v>
      </c>
      <c r="F76" s="26">
        <v>5.7015999999999997E-2</v>
      </c>
      <c r="G76" s="26">
        <v>7.1772000000000002E-2</v>
      </c>
      <c r="H76" s="26">
        <v>6.4778000000000002E-2</v>
      </c>
      <c r="I76" s="26">
        <v>6.5817000000000001E-2</v>
      </c>
      <c r="J76" s="26">
        <v>7.1693999999999994E-2</v>
      </c>
      <c r="K76" s="26">
        <v>6.8165000000000003E-2</v>
      </c>
      <c r="L76" s="26">
        <v>6.9816000000000003E-2</v>
      </c>
      <c r="M76" s="26">
        <v>6.5769999999999995E-2</v>
      </c>
      <c r="P76" s="23"/>
      <c r="Q76" s="23"/>
    </row>
    <row r="77" spans="1:17">
      <c r="A77" s="22" t="s">
        <v>644</v>
      </c>
      <c r="B77" s="2" t="s">
        <v>8</v>
      </c>
      <c r="C77" s="95">
        <f>Reactor1!C77</f>
        <v>0.84799999999999998</v>
      </c>
      <c r="D77" s="23" cm="1">
        <f t="array" ref="D77:M77">TRANSPOSE(_xlfn._xlws.FILTER('Raw Data'!CK2:CK505,('Raw Data'!B2:B505=6)*('Raw Data'!CK2:CK505&lt;&gt;"")))</f>
        <v>9.6623649999999994</v>
      </c>
      <c r="E77" s="26">
        <v>0.31281399999999998</v>
      </c>
      <c r="F77" s="26">
        <v>0.16672600000000001</v>
      </c>
      <c r="G77" s="26">
        <v>6.8185999999999997E-2</v>
      </c>
      <c r="H77" s="26">
        <v>8.0563999999999997E-2</v>
      </c>
      <c r="I77" s="26">
        <v>5.8087E-2</v>
      </c>
      <c r="J77" s="26">
        <v>6.4387E-2</v>
      </c>
      <c r="K77" s="26">
        <v>3.8727999999999999E-2</v>
      </c>
      <c r="L77" s="26">
        <v>5.2928000000000003E-2</v>
      </c>
      <c r="M77" s="26">
        <v>6.7784999999999998E-2</v>
      </c>
      <c r="P77" s="23"/>
      <c r="Q77" s="23"/>
    </row>
    <row r="78" spans="1:17">
      <c r="A78" s="22" t="s">
        <v>81</v>
      </c>
      <c r="B78" s="2" t="s">
        <v>8</v>
      </c>
      <c r="D78" s="39">
        <f t="shared" ref="D78:M78" si="43">SUM(D42:D77)</f>
        <v>99.99999600000001</v>
      </c>
      <c r="E78" s="39">
        <f t="shared" si="43"/>
        <v>100.00212299999997</v>
      </c>
      <c r="F78" s="39">
        <f t="shared" si="43"/>
        <v>99.999354999999994</v>
      </c>
      <c r="G78" s="39">
        <f t="shared" si="43"/>
        <v>99.999973000000011</v>
      </c>
      <c r="H78" s="39">
        <f t="shared" si="43"/>
        <v>99.999952000000008</v>
      </c>
      <c r="I78" s="39">
        <f t="shared" si="43"/>
        <v>99.999965999999986</v>
      </c>
      <c r="J78" s="39">
        <f t="shared" si="43"/>
        <v>100.02934599999999</v>
      </c>
      <c r="K78" s="39">
        <f t="shared" si="43"/>
        <v>100.00001000000002</v>
      </c>
      <c r="L78" s="39">
        <f t="shared" si="43"/>
        <v>100.000004</v>
      </c>
      <c r="M78" s="39">
        <f t="shared" si="43"/>
        <v>99.999972999999983</v>
      </c>
      <c r="N78" s="91"/>
      <c r="P78" s="23"/>
      <c r="Q78" s="39"/>
    </row>
    <row r="79" spans="1:17" s="133" customFormat="1">
      <c r="A79" s="131"/>
      <c r="B79" s="131"/>
      <c r="C79" s="131"/>
      <c r="D79" s="136"/>
      <c r="E79" s="136"/>
      <c r="F79" s="136"/>
      <c r="G79" s="136"/>
      <c r="H79" s="136"/>
      <c r="I79" s="136"/>
      <c r="J79" s="136"/>
      <c r="K79" s="136"/>
      <c r="L79" s="136"/>
      <c r="M79" s="131"/>
    </row>
    <row r="80" spans="1:17">
      <c r="A80" s="38" t="s">
        <v>9</v>
      </c>
      <c r="B80" s="2" t="s">
        <v>74</v>
      </c>
      <c r="D80" s="23">
        <f t="shared" ref="D80:I80" si="44">(D36*D42)/(D37)</f>
        <v>0</v>
      </c>
      <c r="E80" s="23">
        <f t="shared" si="44"/>
        <v>0</v>
      </c>
      <c r="F80" s="23">
        <f t="shared" si="44"/>
        <v>0</v>
      </c>
      <c r="G80" s="23">
        <f t="shared" si="44"/>
        <v>0</v>
      </c>
      <c r="H80" s="23">
        <f t="shared" si="44"/>
        <v>0</v>
      </c>
      <c r="I80" s="23">
        <f t="shared" si="44"/>
        <v>0</v>
      </c>
      <c r="J80" s="23">
        <f t="shared" ref="J80:L80" si="45">(J36*J42)/(J37)</f>
        <v>0</v>
      </c>
      <c r="K80" s="23">
        <f t="shared" si="45"/>
        <v>0</v>
      </c>
      <c r="L80" s="23">
        <f t="shared" si="45"/>
        <v>0</v>
      </c>
      <c r="M80" s="23">
        <f t="shared" ref="M80" si="46">(M36*M42)/(M37)</f>
        <v>0</v>
      </c>
      <c r="P80" s="79"/>
    </row>
    <row r="81" spans="1:17">
      <c r="A81" s="38" t="s">
        <v>10</v>
      </c>
      <c r="B81" s="2" t="s">
        <v>74</v>
      </c>
      <c r="D81" s="23">
        <f t="shared" ref="D81:I81" si="47">(D36*D43)/(D37)</f>
        <v>0</v>
      </c>
      <c r="E81" s="23">
        <f t="shared" si="47"/>
        <v>0</v>
      </c>
      <c r="F81" s="23">
        <f t="shared" si="47"/>
        <v>0</v>
      </c>
      <c r="G81" s="23">
        <f t="shared" si="47"/>
        <v>0</v>
      </c>
      <c r="H81" s="23">
        <f t="shared" si="47"/>
        <v>0</v>
      </c>
      <c r="I81" s="23">
        <f t="shared" si="47"/>
        <v>0</v>
      </c>
      <c r="J81" s="23">
        <f t="shared" ref="J81:L81" si="48">(J36*J43)/(J37)</f>
        <v>0</v>
      </c>
      <c r="K81" s="23">
        <f t="shared" si="48"/>
        <v>0</v>
      </c>
      <c r="L81" s="23">
        <f t="shared" si="48"/>
        <v>0</v>
      </c>
      <c r="M81" s="23">
        <f t="shared" ref="M81" si="49">(M36*M43)/(M37)</f>
        <v>0</v>
      </c>
      <c r="P81" s="79"/>
    </row>
    <row r="82" spans="1:17">
      <c r="A82" s="38" t="s">
        <v>11</v>
      </c>
      <c r="B82" s="2" t="s">
        <v>74</v>
      </c>
      <c r="D82" s="23">
        <f t="shared" ref="D82:I82" si="50">(D36*D44)/(D37)</f>
        <v>1.1574397695773004</v>
      </c>
      <c r="E82" s="23">
        <f t="shared" si="50"/>
        <v>3.5381434797493734</v>
      </c>
      <c r="F82" s="23">
        <f t="shared" si="50"/>
        <v>3.7960348916825488</v>
      </c>
      <c r="G82" s="23">
        <f t="shared" si="50"/>
        <v>2.6594304210924471</v>
      </c>
      <c r="H82" s="23">
        <f t="shared" si="50"/>
        <v>2.8310647608314823</v>
      </c>
      <c r="I82" s="23">
        <f t="shared" si="50"/>
        <v>2.8829091809929626</v>
      </c>
      <c r="J82" s="23">
        <f t="shared" ref="J82:L82" si="51">(J36*J44)/(J37)</f>
        <v>1.9700997992840537</v>
      </c>
      <c r="K82" s="23">
        <f t="shared" si="51"/>
        <v>1.9957529599044372</v>
      </c>
      <c r="L82" s="23">
        <f t="shared" si="51"/>
        <v>1.2488112426285318</v>
      </c>
      <c r="M82" s="23">
        <f t="shared" ref="M82" si="52">(M36*M44)/(M37)</f>
        <v>0.83847867353615491</v>
      </c>
      <c r="P82" s="79"/>
    </row>
    <row r="83" spans="1:17">
      <c r="A83" s="38" t="s">
        <v>12</v>
      </c>
      <c r="B83" s="2" t="s">
        <v>74</v>
      </c>
      <c r="D83" s="23">
        <f t="shared" ref="D83:I83" si="53">(D36*D45)/(D37)</f>
        <v>2.1013800141309109</v>
      </c>
      <c r="E83" s="23">
        <f t="shared" si="53"/>
        <v>3.1775883925745263</v>
      </c>
      <c r="F83" s="23">
        <f t="shared" si="53"/>
        <v>3.2262748960061183</v>
      </c>
      <c r="G83" s="23">
        <f t="shared" si="53"/>
        <v>2.8372556019926063</v>
      </c>
      <c r="H83" s="23">
        <f t="shared" si="53"/>
        <v>2.870727536345469</v>
      </c>
      <c r="I83" s="23">
        <f t="shared" si="53"/>
        <v>2.8819010750402705</v>
      </c>
      <c r="J83" s="23">
        <f t="shared" ref="J83:L83" si="54">(J36*J45)/(J37)</f>
        <v>2.5362105019635934</v>
      </c>
      <c r="K83" s="23">
        <f t="shared" si="54"/>
        <v>2.5432831730160719</v>
      </c>
      <c r="L83" s="23">
        <f t="shared" si="54"/>
        <v>2.2369027604822471</v>
      </c>
      <c r="M83" s="23">
        <f t="shared" ref="M83" si="55">(M36*M45)/(M37)</f>
        <v>2.0358155744903854</v>
      </c>
      <c r="P83" s="79"/>
    </row>
    <row r="84" spans="1:17">
      <c r="A84" s="38" t="s">
        <v>13</v>
      </c>
      <c r="B84" s="2" t="s">
        <v>74</v>
      </c>
      <c r="D84" s="23">
        <f t="shared" ref="D84:I84" si="56">(D36*D46)/(D37)</f>
        <v>3.2080482196286169</v>
      </c>
      <c r="E84" s="23">
        <f t="shared" si="56"/>
        <v>7.8934896967564665</v>
      </c>
      <c r="F84" s="23">
        <f t="shared" si="56"/>
        <v>8.3316778842543346</v>
      </c>
      <c r="G84" s="23">
        <f t="shared" si="56"/>
        <v>6.2435509805141427</v>
      </c>
      <c r="H84" s="23">
        <f t="shared" si="56"/>
        <v>6.5546793891750212</v>
      </c>
      <c r="I84" s="23">
        <f t="shared" si="56"/>
        <v>6.6507337672590845</v>
      </c>
      <c r="J84" s="23">
        <f t="shared" ref="J84:L84" si="57">(J36*J46)/(J37)</f>
        <v>4.9084370127861847</v>
      </c>
      <c r="K84" s="23">
        <f t="shared" si="57"/>
        <v>4.9604191878815413</v>
      </c>
      <c r="L84" s="23">
        <f t="shared" si="57"/>
        <v>3.3865019837797563</v>
      </c>
      <c r="M84" s="23">
        <f t="shared" ref="M84" si="58">(M36*M46)/(M37)</f>
        <v>2.4763721656703983</v>
      </c>
      <c r="P84" s="79"/>
    </row>
    <row r="85" spans="1:17">
      <c r="A85" s="38" t="s">
        <v>14</v>
      </c>
      <c r="B85" s="2" t="s">
        <v>74</v>
      </c>
      <c r="D85" s="23">
        <f t="shared" ref="D85:I85" si="59">(D36*D47)/(D37)</f>
        <v>11.212009540973009</v>
      </c>
      <c r="E85" s="23">
        <f t="shared" si="59"/>
        <v>12.472401623084702</v>
      </c>
      <c r="F85" s="23">
        <f t="shared" si="59"/>
        <v>12.537023423386755</v>
      </c>
      <c r="G85" s="23">
        <f t="shared" si="59"/>
        <v>12.671992850538752</v>
      </c>
      <c r="H85" s="23">
        <f t="shared" si="59"/>
        <v>12.69727194940962</v>
      </c>
      <c r="I85" s="23">
        <f t="shared" si="59"/>
        <v>12.688130857447771</v>
      </c>
      <c r="J85" s="23">
        <f t="shared" ref="J85:L85" si="60">(J36*J47)/(J37)</f>
        <v>12.673263838956053</v>
      </c>
      <c r="K85" s="23">
        <f t="shared" si="60"/>
        <v>12.70298985453409</v>
      </c>
      <c r="L85" s="23">
        <f t="shared" si="60"/>
        <v>12.758487546577269</v>
      </c>
      <c r="M85" s="23">
        <f t="shared" ref="M85" si="61">(M36*M47)/(M37)</f>
        <v>12.768703367009737</v>
      </c>
      <c r="P85" s="79"/>
      <c r="Q85" s="79"/>
    </row>
    <row r="86" spans="1:17">
      <c r="A86" s="38" t="s">
        <v>15</v>
      </c>
      <c r="B86" s="2" t="s">
        <v>74</v>
      </c>
      <c r="D86" s="23">
        <f t="shared" ref="D86:I86" si="62">(D36*D48)/(D37)</f>
        <v>7.8384376774212772</v>
      </c>
      <c r="E86" s="23">
        <f t="shared" si="62"/>
        <v>10.02925897373196</v>
      </c>
      <c r="F86" s="23">
        <f t="shared" si="62"/>
        <v>10.050345587440438</v>
      </c>
      <c r="G86" s="23">
        <f t="shared" si="62"/>
        <v>9.4282849934544384</v>
      </c>
      <c r="H86" s="23">
        <f t="shared" si="62"/>
        <v>9.443659505714411</v>
      </c>
      <c r="I86" s="23">
        <f t="shared" si="62"/>
        <v>9.4604564622675973</v>
      </c>
      <c r="J86" s="23">
        <f t="shared" ref="J86:L86" si="63">(J36*J48)/(J37)</f>
        <v>8.9446110348971164</v>
      </c>
      <c r="K86" s="23">
        <f t="shared" si="63"/>
        <v>8.974349241932897</v>
      </c>
      <c r="L86" s="23">
        <f t="shared" si="63"/>
        <v>8.5288702544829853</v>
      </c>
      <c r="M86" s="23">
        <f t="shared" ref="M86" si="64">(M36*M48)/(M37)</f>
        <v>8.2425875727294518</v>
      </c>
      <c r="P86" s="79"/>
      <c r="Q86" s="79"/>
    </row>
    <row r="87" spans="1:17">
      <c r="A87" s="38" t="s">
        <v>16</v>
      </c>
      <c r="B87" s="2" t="s">
        <v>74</v>
      </c>
      <c r="D87" s="23">
        <f t="shared" ref="D87:I87" si="65">(D36*D49)/(D37)</f>
        <v>0</v>
      </c>
      <c r="E87" s="23">
        <f t="shared" si="65"/>
        <v>0</v>
      </c>
      <c r="F87" s="23">
        <f t="shared" si="65"/>
        <v>0</v>
      </c>
      <c r="G87" s="23">
        <f t="shared" si="65"/>
        <v>0</v>
      </c>
      <c r="H87" s="23">
        <f t="shared" si="65"/>
        <v>0</v>
      </c>
      <c r="I87" s="23">
        <f t="shared" si="65"/>
        <v>0</v>
      </c>
      <c r="J87" s="23">
        <f t="shared" ref="J87:L87" si="66">(J36*J49)/(J37)</f>
        <v>0</v>
      </c>
      <c r="K87" s="23">
        <f t="shared" si="66"/>
        <v>0</v>
      </c>
      <c r="L87" s="23">
        <f t="shared" si="66"/>
        <v>0</v>
      </c>
      <c r="M87" s="23">
        <f t="shared" ref="M87" si="67">(M36*M49)/(M37)</f>
        <v>0</v>
      </c>
      <c r="P87" s="79"/>
      <c r="Q87" s="79"/>
    </row>
    <row r="88" spans="1:17">
      <c r="A88" s="38" t="s">
        <v>17</v>
      </c>
      <c r="B88" s="2" t="s">
        <v>74</v>
      </c>
      <c r="D88" s="23">
        <f t="shared" ref="D88:I88" si="68">(D36*D50)/(D37)</f>
        <v>14.219616096306709</v>
      </c>
      <c r="E88" s="23">
        <f t="shared" si="68"/>
        <v>13.845003859774064</v>
      </c>
      <c r="F88" s="23">
        <f t="shared" si="68"/>
        <v>14.268626963826033</v>
      </c>
      <c r="G88" s="23">
        <f t="shared" si="68"/>
        <v>15.662465510441814</v>
      </c>
      <c r="H88" s="23">
        <f t="shared" si="68"/>
        <v>15.939355286287833</v>
      </c>
      <c r="I88" s="23">
        <f t="shared" si="68"/>
        <v>15.924495025631098</v>
      </c>
      <c r="J88" s="23">
        <f t="shared" ref="J88:L88" si="69">(J36*J50)/(J37)</f>
        <v>16.515185082649435</v>
      </c>
      <c r="K88" s="23">
        <f t="shared" si="69"/>
        <v>16.531125094680821</v>
      </c>
      <c r="L88" s="23">
        <f t="shared" si="69"/>
        <v>16.99781333535735</v>
      </c>
      <c r="M88" s="23">
        <f t="shared" ref="M88" si="70">(M36*M50)/(M37)</f>
        <v>17.258071974637467</v>
      </c>
      <c r="P88" s="79"/>
      <c r="Q88" s="79"/>
    </row>
    <row r="89" spans="1:17">
      <c r="A89" s="38" t="s">
        <v>18</v>
      </c>
      <c r="B89" s="2" t="s">
        <v>74</v>
      </c>
      <c r="D89" s="23">
        <f t="shared" ref="D89:I89" si="71">(D36*D51)/(D37)</f>
        <v>7.3286728030029211</v>
      </c>
      <c r="E89" s="23">
        <f t="shared" si="71"/>
        <v>8.7810230340894702</v>
      </c>
      <c r="F89" s="23">
        <f t="shared" si="71"/>
        <v>8.5874999245818344</v>
      </c>
      <c r="G89" s="23">
        <f t="shared" si="71"/>
        <v>8.17071824001248</v>
      </c>
      <c r="H89" s="23">
        <f t="shared" si="71"/>
        <v>8.0280147832103204</v>
      </c>
      <c r="I89" s="23">
        <f t="shared" si="71"/>
        <v>8.0305509542450668</v>
      </c>
      <c r="J89" s="23">
        <f t="shared" ref="J89:L89" si="72">(J36*J51)/(J37)</f>
        <v>7.8988607121411309</v>
      </c>
      <c r="K89" s="23">
        <f t="shared" si="72"/>
        <v>7.9179919752086478</v>
      </c>
      <c r="L89" s="23">
        <f t="shared" si="72"/>
        <v>7.9218858241256473</v>
      </c>
      <c r="M89" s="23">
        <f t="shared" ref="M89" si="73">(M36*M51)/(M37)</f>
        <v>7.8781595258838975</v>
      </c>
      <c r="P89" s="79"/>
      <c r="Q89" s="79"/>
    </row>
    <row r="90" spans="1:17">
      <c r="A90" s="38" t="s">
        <v>19</v>
      </c>
      <c r="B90" s="2" t="s">
        <v>74</v>
      </c>
      <c r="D90" s="23">
        <f t="shared" ref="D90:I90" si="74">(D36*D52)/(D37)</f>
        <v>4.1414631280131875</v>
      </c>
      <c r="E90" s="23">
        <f t="shared" si="74"/>
        <v>5.3578279633694699</v>
      </c>
      <c r="F90" s="23">
        <f t="shared" si="74"/>
        <v>5.1822401351478513</v>
      </c>
      <c r="G90" s="23">
        <f t="shared" si="74"/>
        <v>4.6817435398858693</v>
      </c>
      <c r="H90" s="23">
        <f t="shared" si="74"/>
        <v>4.5455695299794545</v>
      </c>
      <c r="I90" s="23">
        <f t="shared" si="74"/>
        <v>4.5569107436940151</v>
      </c>
      <c r="J90" s="23">
        <f t="shared" ref="J90:L90" si="75">(J36*J52)/(J37)</f>
        <v>4.3263861918964501</v>
      </c>
      <c r="K90" s="23">
        <f t="shared" si="75"/>
        <v>4.3421380193212302</v>
      </c>
      <c r="L90" s="23">
        <f t="shared" si="75"/>
        <v>4.1443618629421204</v>
      </c>
      <c r="M90" s="23">
        <f t="shared" ref="M90" si="76">(M36*M52)/(M37)</f>
        <v>4.0284487726462279</v>
      </c>
      <c r="P90" s="79"/>
      <c r="Q90" s="79"/>
    </row>
    <row r="91" spans="1:17">
      <c r="A91" s="38" t="s">
        <v>20</v>
      </c>
      <c r="B91" s="2" t="s">
        <v>74</v>
      </c>
      <c r="D91" s="23">
        <f t="shared" ref="D91:I91" si="77">(D36*D53)/(D37)</f>
        <v>1.1312550065572791</v>
      </c>
      <c r="E91" s="23">
        <f t="shared" si="77"/>
        <v>1.8214305811321312</v>
      </c>
      <c r="F91" s="23">
        <f t="shared" si="77"/>
        <v>1.874632467237678</v>
      </c>
      <c r="G91" s="23">
        <f t="shared" si="77"/>
        <v>1.6701289158230845</v>
      </c>
      <c r="H91" s="23">
        <f t="shared" si="77"/>
        <v>1.7247138564268494</v>
      </c>
      <c r="I91" s="23">
        <f t="shared" si="77"/>
        <v>1.7378262050472177</v>
      </c>
      <c r="J91" s="23">
        <f t="shared" ref="J91:L91" si="78">(J36*J53)/(J37)</f>
        <v>1.511441086717269</v>
      </c>
      <c r="K91" s="23">
        <f t="shared" si="78"/>
        <v>1.5226768070692194</v>
      </c>
      <c r="L91" s="23">
        <f t="shared" si="78"/>
        <v>1.2744661204547962</v>
      </c>
      <c r="M91" s="23">
        <f t="shared" ref="M91" si="79">(M36*M53)/(M37)</f>
        <v>1.1536777697109524</v>
      </c>
      <c r="P91" s="79"/>
      <c r="Q91" s="79"/>
    </row>
    <row r="92" spans="1:17">
      <c r="A92" s="38" t="s">
        <v>75</v>
      </c>
      <c r="B92" s="2" t="s">
        <v>74</v>
      </c>
      <c r="D92" s="23">
        <f t="shared" ref="D92:I92" si="80">(D36*D54)/(D37)</f>
        <v>0.18197154542959587</v>
      </c>
      <c r="E92" s="23">
        <f t="shared" si="80"/>
        <v>0.48907087457359716</v>
      </c>
      <c r="F92" s="23">
        <f t="shared" si="80"/>
        <v>0.38912700752714074</v>
      </c>
      <c r="G92" s="23">
        <f t="shared" si="80"/>
        <v>0.18709334460034882</v>
      </c>
      <c r="H92" s="23">
        <f t="shared" si="80"/>
        <v>0.13554875403009706</v>
      </c>
      <c r="I92" s="23">
        <f t="shared" si="80"/>
        <v>0.1376801896942409</v>
      </c>
      <c r="J92" s="23">
        <f t="shared" ref="J92:L92" si="81">(J36*J54)/(J37)</f>
        <v>9.4066339481951727E-2</v>
      </c>
      <c r="K92" s="23">
        <f t="shared" si="81"/>
        <v>9.5653182580752921E-2</v>
      </c>
      <c r="L92" s="23">
        <f t="shared" si="81"/>
        <v>6.1901935937589227E-2</v>
      </c>
      <c r="M92" s="23">
        <f t="shared" ref="M92" si="82">(M36*M54)/(M37)</f>
        <v>4.6016864552446447E-2</v>
      </c>
      <c r="P92" s="79"/>
      <c r="Q92" s="79"/>
    </row>
    <row r="93" spans="1:17">
      <c r="A93" s="38" t="s">
        <v>22</v>
      </c>
      <c r="B93" s="2" t="s">
        <v>74</v>
      </c>
      <c r="D93" s="23">
        <f t="shared" ref="D93:I93" si="83">(D36*D55)/(D37)</f>
        <v>0.30921414446677781</v>
      </c>
      <c r="E93" s="23">
        <f t="shared" si="83"/>
        <v>0.30968644982853633</v>
      </c>
      <c r="F93" s="23">
        <f t="shared" si="83"/>
        <v>0.32198270516148697</v>
      </c>
      <c r="G93" s="23">
        <f t="shared" si="83"/>
        <v>0.35841546593638884</v>
      </c>
      <c r="H93" s="23">
        <f t="shared" si="83"/>
        <v>0.37610626598300384</v>
      </c>
      <c r="I93" s="23">
        <f t="shared" si="83"/>
        <v>0.37645183999774912</v>
      </c>
      <c r="J93" s="23">
        <f t="shared" ref="J93:L93" si="84">(J36*J55)/(J37)</f>
        <v>0.38553620122986343</v>
      </c>
      <c r="K93" s="23">
        <f t="shared" si="84"/>
        <v>0.38601609818716359</v>
      </c>
      <c r="L93" s="23">
        <f t="shared" si="84"/>
        <v>0.38423604881213941</v>
      </c>
      <c r="M93" s="23">
        <f t="shared" ref="M93" si="85">(M36*M55)/(M37)</f>
        <v>0.38421437714404</v>
      </c>
      <c r="P93" s="79"/>
      <c r="Q93" s="79"/>
    </row>
    <row r="94" spans="1:17">
      <c r="A94" s="38" t="s">
        <v>23</v>
      </c>
      <c r="B94" s="2" t="s">
        <v>74</v>
      </c>
      <c r="D94" s="23">
        <f t="shared" ref="D94:I94" si="86">(D36*D56)/(D37)</f>
        <v>0.61845330399242304</v>
      </c>
      <c r="E94" s="23">
        <f t="shared" si="86"/>
        <v>0.7028805149223194</v>
      </c>
      <c r="F94" s="23">
        <f t="shared" si="86"/>
        <v>0.68935124900346501</v>
      </c>
      <c r="G94" s="23">
        <f t="shared" si="86"/>
        <v>0.66396498913923363</v>
      </c>
      <c r="H94" s="23">
        <f t="shared" si="86"/>
        <v>0.64500206972239471</v>
      </c>
      <c r="I94" s="23">
        <f t="shared" si="86"/>
        <v>0.64519282517546928</v>
      </c>
      <c r="J94" s="23">
        <f t="shared" ref="J94:L94" si="87">(J36*J56)/(J37)</f>
        <v>0.64418681670179967</v>
      </c>
      <c r="K94" s="23">
        <f t="shared" si="87"/>
        <v>0.64394627137563332</v>
      </c>
      <c r="L94" s="23">
        <f t="shared" si="87"/>
        <v>0.64985110019240511</v>
      </c>
      <c r="M94" s="23">
        <f t="shared" ref="M94" si="88">(M36*M56)/(M37)</f>
        <v>0.65234694669841786</v>
      </c>
      <c r="P94" s="79"/>
      <c r="Q94" s="79"/>
    </row>
    <row r="95" spans="1:17">
      <c r="A95" s="38" t="s">
        <v>24</v>
      </c>
      <c r="B95" s="2" t="s">
        <v>74</v>
      </c>
      <c r="D95" s="23">
        <f t="shared" ref="D95:I95" si="89">(D36*D57)/(D37)</f>
        <v>0</v>
      </c>
      <c r="E95" s="23">
        <f t="shared" si="89"/>
        <v>0</v>
      </c>
      <c r="F95" s="23">
        <f t="shared" si="89"/>
        <v>0</v>
      </c>
      <c r="G95" s="23">
        <f t="shared" si="89"/>
        <v>0</v>
      </c>
      <c r="H95" s="23">
        <f t="shared" si="89"/>
        <v>0</v>
      </c>
      <c r="I95" s="23">
        <f t="shared" si="89"/>
        <v>0</v>
      </c>
      <c r="J95" s="23">
        <f t="shared" ref="J95:L95" si="90">(J36*J57)/(J37)</f>
        <v>0</v>
      </c>
      <c r="K95" s="23">
        <f t="shared" si="90"/>
        <v>0</v>
      </c>
      <c r="L95" s="23">
        <f t="shared" si="90"/>
        <v>0</v>
      </c>
      <c r="M95" s="23">
        <f t="shared" ref="M95" si="91">(M36*M57)/(M37)</f>
        <v>0</v>
      </c>
      <c r="P95" s="79"/>
      <c r="Q95" s="79"/>
    </row>
    <row r="96" spans="1:17">
      <c r="A96" s="38" t="s">
        <v>25</v>
      </c>
      <c r="B96" s="2" t="s">
        <v>74</v>
      </c>
      <c r="D96" s="23">
        <f t="shared" ref="D96:I96" si="92">(D36*D58)/(D37)</f>
        <v>9.6356145636777235</v>
      </c>
      <c r="E96" s="23">
        <f t="shared" si="92"/>
        <v>6.8030166778393193</v>
      </c>
      <c r="F96" s="23">
        <f t="shared" si="92"/>
        <v>7.5004118285138484</v>
      </c>
      <c r="G96" s="23">
        <f t="shared" si="92"/>
        <v>10.232896197108591</v>
      </c>
      <c r="H96" s="23">
        <f t="shared" si="92"/>
        <v>10.976798003763653</v>
      </c>
      <c r="I96" s="23">
        <f t="shared" si="92"/>
        <v>10.933281203521808</v>
      </c>
      <c r="J96" s="23">
        <f t="shared" ref="J96:L96" si="93">(J36*J58)/(J37)</f>
        <v>12.418597751964169</v>
      </c>
      <c r="K96" s="23">
        <f t="shared" si="93"/>
        <v>12.3571004158068</v>
      </c>
      <c r="L96" s="23">
        <f t="shared" si="93"/>
        <v>13.54696175233728</v>
      </c>
      <c r="M96" s="23">
        <f t="shared" ref="M96" si="94">(M36*M58)/(M37)</f>
        <v>14.354198890550448</v>
      </c>
      <c r="P96" s="79"/>
      <c r="Q96" s="79"/>
    </row>
    <row r="97" spans="1:17">
      <c r="A97" s="38" t="s">
        <v>26</v>
      </c>
      <c r="B97" s="2" t="s">
        <v>74</v>
      </c>
      <c r="D97" s="23">
        <f t="shared" ref="D97:I97" si="95">(D36*D59)/(D37)</f>
        <v>13.649105653537157</v>
      </c>
      <c r="E97" s="23">
        <f t="shared" si="95"/>
        <v>14.026035035103749</v>
      </c>
      <c r="F97" s="23">
        <f t="shared" si="95"/>
        <v>13.314346997633022</v>
      </c>
      <c r="G97" s="23">
        <f t="shared" si="95"/>
        <v>13.213410670951792</v>
      </c>
      <c r="H97" s="23">
        <f t="shared" si="95"/>
        <v>12.384245766035578</v>
      </c>
      <c r="I97" s="23">
        <f t="shared" si="95"/>
        <v>12.356865235212133</v>
      </c>
      <c r="J97" s="23">
        <f t="shared" ref="J97:L97" si="96">(J36*J59)/(J37)</f>
        <v>12.720264438984854</v>
      </c>
      <c r="K97" s="23">
        <f t="shared" si="96"/>
        <v>12.685809613457259</v>
      </c>
      <c r="L97" s="23">
        <f t="shared" si="96"/>
        <v>13.020956604191447</v>
      </c>
      <c r="M97" s="23">
        <f t="shared" ref="M97" si="97">(M36*M59)/(M37)</f>
        <v>13.072590551547425</v>
      </c>
      <c r="P97" s="79"/>
      <c r="Q97" s="79"/>
    </row>
    <row r="98" spans="1:17">
      <c r="A98" s="38" t="s">
        <v>27</v>
      </c>
      <c r="B98" s="2" t="s">
        <v>74</v>
      </c>
      <c r="D98" s="23">
        <f t="shared" ref="D98:I98" si="98">(D36*D60)/(D37)</f>
        <v>2.7110770469173953</v>
      </c>
      <c r="E98" s="23">
        <f t="shared" si="98"/>
        <v>4.6918964774087248</v>
      </c>
      <c r="F98" s="23">
        <f t="shared" si="98"/>
        <v>4.2020182346247941</v>
      </c>
      <c r="G98" s="23">
        <f t="shared" si="98"/>
        <v>3.6456960285671478</v>
      </c>
      <c r="H98" s="23">
        <f t="shared" si="98"/>
        <v>3.4017033894461832</v>
      </c>
      <c r="I98" s="23">
        <f t="shared" si="98"/>
        <v>3.4095999037473459</v>
      </c>
      <c r="J98" s="23">
        <f t="shared" ref="J98:L98" si="99">(J36*J60)/(J37)</f>
        <v>3.2277406522807599</v>
      </c>
      <c r="K98" s="23">
        <f t="shared" si="99"/>
        <v>3.2355001275712776</v>
      </c>
      <c r="L98" s="23">
        <f t="shared" si="99"/>
        <v>2.8822132097995201</v>
      </c>
      <c r="M98" s="23">
        <f t="shared" ref="M98" si="100">(M36*M60)/(M37)</f>
        <v>2.6309799765468851</v>
      </c>
      <c r="P98" s="79"/>
      <c r="Q98" s="79"/>
    </row>
    <row r="99" spans="1:17">
      <c r="A99" s="38" t="s">
        <v>28</v>
      </c>
      <c r="B99" s="2" t="s">
        <v>74</v>
      </c>
      <c r="D99" s="23">
        <f t="shared" ref="D99:I99" si="101">(D36*D61)/(D37)</f>
        <v>1.015188135219689</v>
      </c>
      <c r="E99" s="23">
        <f t="shared" si="101"/>
        <v>1.0804439967704347</v>
      </c>
      <c r="F99" s="23">
        <f t="shared" si="101"/>
        <v>1.0696526189633193</v>
      </c>
      <c r="G99" s="23">
        <f t="shared" si="101"/>
        <v>1.0960453566680051</v>
      </c>
      <c r="H99" s="23">
        <f t="shared" si="101"/>
        <v>1.0934506222771385</v>
      </c>
      <c r="I99" s="23">
        <f t="shared" si="101"/>
        <v>1.0846287176802227</v>
      </c>
      <c r="J99" s="23">
        <f t="shared" ref="J99:L99" si="102">(J36*J61)/(J37)</f>
        <v>1.1076427973354896</v>
      </c>
      <c r="K99" s="23">
        <f t="shared" si="102"/>
        <v>1.1101074222883418</v>
      </c>
      <c r="L99" s="23">
        <f t="shared" si="102"/>
        <v>1.1136928141927036</v>
      </c>
      <c r="M99" s="23">
        <f t="shared" ref="M99" si="103">(M36*M61)/(M37)</f>
        <v>1.117918146797928</v>
      </c>
      <c r="P99" s="79"/>
      <c r="Q99" s="79"/>
    </row>
    <row r="100" spans="1:17" ht="16.5">
      <c r="A100" s="137" t="s">
        <v>29</v>
      </c>
      <c r="B100" s="2" t="s">
        <v>74</v>
      </c>
      <c r="D100" s="23">
        <f t="shared" ref="D100:I100" si="104">(D36*D62)/(D37)</f>
        <v>0</v>
      </c>
      <c r="E100" s="23">
        <f t="shared" si="104"/>
        <v>0</v>
      </c>
      <c r="F100" s="23">
        <f t="shared" si="104"/>
        <v>0</v>
      </c>
      <c r="G100" s="23">
        <f t="shared" si="104"/>
        <v>0</v>
      </c>
      <c r="H100" s="23">
        <f t="shared" si="104"/>
        <v>0</v>
      </c>
      <c r="I100" s="23">
        <f t="shared" si="104"/>
        <v>0</v>
      </c>
      <c r="J100" s="23">
        <f t="shared" ref="J100:L100" si="105">(J36*J62)/(J37)</f>
        <v>0</v>
      </c>
      <c r="K100" s="23">
        <f t="shared" si="105"/>
        <v>0</v>
      </c>
      <c r="L100" s="23">
        <f t="shared" si="105"/>
        <v>0</v>
      </c>
      <c r="M100" s="23">
        <f t="shared" ref="M100" si="106">(M36*M62)/(M37)</f>
        <v>0</v>
      </c>
      <c r="P100" s="79"/>
      <c r="Q100" s="79"/>
    </row>
    <row r="101" spans="1:17">
      <c r="A101" s="38" t="s">
        <v>30</v>
      </c>
      <c r="B101" s="2" t="s">
        <v>74</v>
      </c>
      <c r="D101" s="23">
        <f t="shared" ref="D101:I101" si="107">(D36*SUM(D63,D64,D65,D66,D67,D68,D69,D70,D71,D77))/(D37)</f>
        <v>18.511805960621775</v>
      </c>
      <c r="E101" s="23">
        <f t="shared" si="107"/>
        <v>5.2517966937032847</v>
      </c>
      <c r="F101" s="23">
        <f t="shared" si="107"/>
        <v>4.9543985677491866</v>
      </c>
      <c r="G101" s="23">
        <f t="shared" si="107"/>
        <v>6.7807925609480071</v>
      </c>
      <c r="H101" s="23">
        <f t="shared" si="107"/>
        <v>6.575438602215268</v>
      </c>
      <c r="I101" s="23">
        <f t="shared" si="107"/>
        <v>6.4726701571176468</v>
      </c>
      <c r="J101" s="23">
        <f t="shared" ref="J101:L101" si="108">(J36*SUM(J63,J64,J65,J66,J67,J68,J69,J70,J71,J77))/(J37)</f>
        <v>8.2726156968691047</v>
      </c>
      <c r="K101" s="23">
        <f t="shared" si="108"/>
        <v>8.1579088591037614</v>
      </c>
      <c r="L101" s="23">
        <f t="shared" si="108"/>
        <v>9.9496000373398434</v>
      </c>
      <c r="M101" s="23">
        <f t="shared" ref="M101" si="109">(M36*SUM(M63,M64,M65,M66,M67,M68,M69,M70,M71,M77))/(M37)</f>
        <v>11.139780078578516</v>
      </c>
      <c r="P101" s="79"/>
      <c r="Q101" s="79"/>
    </row>
    <row r="102" spans="1:17">
      <c r="A102" s="22" t="s">
        <v>76</v>
      </c>
      <c r="B102" s="2" t="s">
        <v>74</v>
      </c>
      <c r="D102" s="23">
        <f t="shared" ref="D102:I102" si="110">(D36*D72)/(D37)</f>
        <v>2.0717471753966096E-2</v>
      </c>
      <c r="E102" s="23">
        <f t="shared" si="110"/>
        <v>1.7451943581497625E-2</v>
      </c>
      <c r="F102" s="23">
        <f t="shared" si="110"/>
        <v>1.7656293693407932E-2</v>
      </c>
      <c r="G102" s="23">
        <f t="shared" si="110"/>
        <v>1.3568768174425041E-2</v>
      </c>
      <c r="H102" s="23">
        <f t="shared" si="110"/>
        <v>1.3032685303050635E-2</v>
      </c>
      <c r="I102" s="23">
        <f t="shared" si="110"/>
        <v>1.2711162818422658E-2</v>
      </c>
      <c r="J102" s="23">
        <f t="shared" ref="J102:L102" si="111">(J36*J72)/(J37)</f>
        <v>1.0157741618165052E-2</v>
      </c>
      <c r="K102" s="23">
        <f t="shared" si="111"/>
        <v>9.2457324922161858E-3</v>
      </c>
      <c r="L102" s="23">
        <f t="shared" si="111"/>
        <v>7.6575892847823785E-3</v>
      </c>
      <c r="M102" s="23">
        <f t="shared" ref="M102" si="112">(M36*M72)/(M37)</f>
        <v>6.8378272309670887E-3</v>
      </c>
      <c r="P102" s="79"/>
      <c r="Q102" s="79"/>
    </row>
    <row r="103" spans="1:17">
      <c r="A103" s="22" t="s">
        <v>77</v>
      </c>
      <c r="B103" s="2" t="s">
        <v>74</v>
      </c>
      <c r="D103" s="23">
        <f t="shared" ref="D103:I103" si="113">(D36*D73)/(D37)</f>
        <v>0</v>
      </c>
      <c r="E103" s="23">
        <f t="shared" si="113"/>
        <v>0</v>
      </c>
      <c r="F103" s="23">
        <f t="shared" si="113"/>
        <v>0</v>
      </c>
      <c r="G103" s="23">
        <f t="shared" si="113"/>
        <v>0</v>
      </c>
      <c r="H103" s="23">
        <f t="shared" si="113"/>
        <v>0</v>
      </c>
      <c r="I103" s="23">
        <f t="shared" si="113"/>
        <v>0</v>
      </c>
      <c r="J103" s="23">
        <f t="shared" ref="J103:L103" si="114">(J36*J73)/(J37)</f>
        <v>0</v>
      </c>
      <c r="K103" s="23">
        <f t="shared" si="114"/>
        <v>0</v>
      </c>
      <c r="L103" s="23">
        <f t="shared" si="114"/>
        <v>0</v>
      </c>
      <c r="M103" s="23">
        <f t="shared" ref="M103" si="115">(M36*M73)/(M37)</f>
        <v>0</v>
      </c>
      <c r="P103" s="79"/>
      <c r="Q103" s="79"/>
    </row>
    <row r="104" spans="1:17">
      <c r="A104" s="22" t="s">
        <v>78</v>
      </c>
      <c r="B104" s="2" t="s">
        <v>74</v>
      </c>
      <c r="D104" s="23">
        <f t="shared" ref="D104:I104" si="116">(D36*D74)/(D37)</f>
        <v>0</v>
      </c>
      <c r="E104" s="23">
        <f t="shared" si="116"/>
        <v>0</v>
      </c>
      <c r="F104" s="23">
        <f t="shared" si="116"/>
        <v>0</v>
      </c>
      <c r="G104" s="23">
        <f t="shared" si="116"/>
        <v>0</v>
      </c>
      <c r="H104" s="23">
        <f t="shared" si="116"/>
        <v>0</v>
      </c>
      <c r="I104" s="23">
        <f t="shared" si="116"/>
        <v>0</v>
      </c>
      <c r="J104" s="23">
        <f t="shared" ref="J104:L104" si="117">(J36*J74)/(J37)</f>
        <v>0</v>
      </c>
      <c r="K104" s="23">
        <f t="shared" si="117"/>
        <v>0</v>
      </c>
      <c r="L104" s="23">
        <f t="shared" si="117"/>
        <v>0</v>
      </c>
      <c r="M104" s="23">
        <f t="shared" ref="M104" si="118">(M36*M74)/(M37)</f>
        <v>0</v>
      </c>
      <c r="P104" s="79"/>
      <c r="Q104" s="79"/>
    </row>
    <row r="105" spans="1:17">
      <c r="A105" s="22" t="s">
        <v>79</v>
      </c>
      <c r="B105" s="2" t="s">
        <v>74</v>
      </c>
      <c r="D105" s="23">
        <f t="shared" ref="D105:I105" si="119">(D36*D75)/(D37)</f>
        <v>0.93692902385426058</v>
      </c>
      <c r="E105" s="23">
        <f t="shared" si="119"/>
        <v>3.8544600826020572E-3</v>
      </c>
      <c r="F105" s="23">
        <f t="shared" si="119"/>
        <v>0</v>
      </c>
      <c r="G105" s="23">
        <f t="shared" si="119"/>
        <v>4.4831394589163968E-3</v>
      </c>
      <c r="H105" s="23">
        <f t="shared" si="119"/>
        <v>4.0292693652239208E-3</v>
      </c>
      <c r="I105" s="23">
        <f t="shared" si="119"/>
        <v>0</v>
      </c>
      <c r="J105" s="23">
        <f t="shared" ref="J105:L105" si="120">(J36*J75)/(J37)</f>
        <v>6.7564615222640862E-3</v>
      </c>
      <c r="K105" s="23">
        <f t="shared" si="120"/>
        <v>6.1390941973687441E-3</v>
      </c>
      <c r="L105" s="23">
        <f t="shared" si="120"/>
        <v>5.7669872986009906E-3</v>
      </c>
      <c r="M105" s="23">
        <f t="shared" ref="M105" si="121">(M36*M75)/(M37)</f>
        <v>7.4938660234503823E-3</v>
      </c>
      <c r="P105" s="79"/>
      <c r="Q105" s="79"/>
    </row>
    <row r="106" spans="1:17">
      <c r="A106" s="22" t="s">
        <v>80</v>
      </c>
      <c r="B106" s="2" t="s">
        <v>74</v>
      </c>
      <c r="D106" s="23">
        <f t="shared" ref="D106:I106" si="122">(D36*D76)/(D37)</f>
        <v>0.13183236203816931</v>
      </c>
      <c r="E106" s="23">
        <f t="shared" si="122"/>
        <v>6.0261437755880283E-2</v>
      </c>
      <c r="F106" s="23">
        <f t="shared" si="122"/>
        <v>5.7227630107631551E-2</v>
      </c>
      <c r="G106" s="23">
        <f t="shared" si="122"/>
        <v>7.1982972090681802E-2</v>
      </c>
      <c r="H106" s="23">
        <f t="shared" si="122"/>
        <v>6.4975855349881789E-2</v>
      </c>
      <c r="I106" s="23">
        <f t="shared" si="122"/>
        <v>6.6020407451083035E-2</v>
      </c>
      <c r="J106" s="23">
        <f t="shared" ref="J106:L106" si="123">(J36*J76)/(J37)</f>
        <v>7.1847782909700592E-2</v>
      </c>
      <c r="K106" s="23">
        <f t="shared" si="123"/>
        <v>6.8333010444748599E-2</v>
      </c>
      <c r="L106" s="23">
        <f t="shared" si="123"/>
        <v>6.9949267762183243E-2</v>
      </c>
      <c r="M106" s="23">
        <f t="shared" ref="M106" si="124">(M36*M76)/(M37)</f>
        <v>6.5874307452864433E-2</v>
      </c>
      <c r="P106" s="79"/>
      <c r="Q106" s="79"/>
    </row>
    <row r="107" spans="1:17">
      <c r="A107" s="22" t="s">
        <v>81</v>
      </c>
      <c r="B107" s="2" t="s">
        <v>74</v>
      </c>
      <c r="D107" s="23">
        <f t="shared" ref="D107:I107" si="125">SUM(D80:D106)</f>
        <v>100.06023146712015</v>
      </c>
      <c r="E107" s="23">
        <f t="shared" si="125"/>
        <v>100.35256216583211</v>
      </c>
      <c r="F107" s="23">
        <f t="shared" si="125"/>
        <v>100.37052930654087</v>
      </c>
      <c r="G107" s="23">
        <f t="shared" si="125"/>
        <v>100.29392054739914</v>
      </c>
      <c r="H107" s="23">
        <f t="shared" si="125"/>
        <v>100.30538788087192</v>
      </c>
      <c r="I107" s="23">
        <f t="shared" si="125"/>
        <v>100.3090159140412</v>
      </c>
      <c r="J107" s="23">
        <f t="shared" ref="J107:L107" si="126">SUM(J80:J106)</f>
        <v>100.2439079421894</v>
      </c>
      <c r="K107" s="23">
        <f t="shared" si="126"/>
        <v>100.24648614105425</v>
      </c>
      <c r="L107" s="23">
        <f t="shared" si="126"/>
        <v>100.19088827797918</v>
      </c>
      <c r="M107" s="23">
        <f t="shared" ref="M107" si="127">SUM(M80:M106)</f>
        <v>100.15856722943805</v>
      </c>
      <c r="P107" s="79"/>
      <c r="Q107" s="79"/>
    </row>
    <row r="108" spans="1:17" s="133" customFormat="1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M108" s="131"/>
    </row>
    <row r="109" spans="1:17" s="85" customFormat="1">
      <c r="A109" s="153" t="s">
        <v>967</v>
      </c>
      <c r="B109" s="84" t="s">
        <v>74</v>
      </c>
      <c r="C109" s="84"/>
      <c r="D109" s="88">
        <f t="shared" ref="D109:I109" si="128">SUM(D102,D80,D81,D82,D83,D84)</f>
        <v>6.4875854750907944</v>
      </c>
      <c r="E109" s="88">
        <f t="shared" si="128"/>
        <v>14.626673512661863</v>
      </c>
      <c r="F109" s="88">
        <f t="shared" si="128"/>
        <v>15.371643965636409</v>
      </c>
      <c r="G109" s="88">
        <f t="shared" si="128"/>
        <v>11.753805771773621</v>
      </c>
      <c r="H109" s="88">
        <f t="shared" si="128"/>
        <v>12.269504371655023</v>
      </c>
      <c r="I109" s="88">
        <f t="shared" si="128"/>
        <v>12.428255186110739</v>
      </c>
      <c r="J109" s="88">
        <f t="shared" ref="J109:L109" si="129">SUM(J102,J80,J81,J82,J83,J84)</f>
        <v>9.4249050556519975</v>
      </c>
      <c r="K109" s="88">
        <f t="shared" si="129"/>
        <v>9.5087010532942671</v>
      </c>
      <c r="L109" s="88">
        <f t="shared" si="129"/>
        <v>6.8798735761753171</v>
      </c>
      <c r="M109" s="88">
        <f t="shared" ref="M109" si="130">SUM(M102,M80,M81,M82,M83,M84)</f>
        <v>5.3575042409279057</v>
      </c>
    </row>
    <row r="110" spans="1:17" s="85" customFormat="1">
      <c r="A110" s="153" t="s">
        <v>968</v>
      </c>
      <c r="B110" s="84" t="s">
        <v>74</v>
      </c>
      <c r="C110" s="84"/>
      <c r="D110" s="88">
        <f t="shared" ref="D110:J110" si="131">D107-D109</f>
        <v>93.572645992029351</v>
      </c>
      <c r="E110" s="88">
        <f t="shared" si="131"/>
        <v>85.725888653170244</v>
      </c>
      <c r="F110" s="88">
        <f t="shared" si="131"/>
        <v>84.998885340904465</v>
      </c>
      <c r="G110" s="88">
        <f t="shared" si="131"/>
        <v>88.540114775625511</v>
      </c>
      <c r="H110" s="88">
        <f t="shared" si="131"/>
        <v>88.035883509216902</v>
      </c>
      <c r="I110" s="88">
        <f t="shared" si="131"/>
        <v>87.880760727930465</v>
      </c>
      <c r="J110" s="88">
        <f t="shared" si="131"/>
        <v>90.81900288653739</v>
      </c>
      <c r="K110" s="88">
        <f t="shared" ref="K110:L110" si="132">K107-K109</f>
        <v>90.737785087759988</v>
      </c>
      <c r="L110" s="88">
        <f t="shared" si="132"/>
        <v>93.31101470180387</v>
      </c>
      <c r="M110" s="88">
        <f t="shared" ref="M110" si="133">M107-M109</f>
        <v>94.801062988510139</v>
      </c>
    </row>
    <row r="111" spans="1:17">
      <c r="A111" s="22" t="s">
        <v>41</v>
      </c>
      <c r="B111" s="2" t="s">
        <v>74</v>
      </c>
      <c r="D111" s="23">
        <f>D107-100</f>
        <v>6.0231467120146931E-2</v>
      </c>
      <c r="E111" s="23">
        <f t="shared" ref="E111:F111" si="134">E107-100</f>
        <v>0.35256216583211142</v>
      </c>
      <c r="F111" s="23">
        <f t="shared" si="134"/>
        <v>0.3705293065408739</v>
      </c>
      <c r="G111" s="23">
        <f t="shared" ref="G111:H111" si="135">G107-100</f>
        <v>0.29392054739913931</v>
      </c>
      <c r="H111" s="23">
        <f t="shared" si="135"/>
        <v>0.30538788087191904</v>
      </c>
      <c r="I111" s="23">
        <f t="shared" ref="I111:J111" si="136">I107-100</f>
        <v>0.30901591404119699</v>
      </c>
      <c r="J111" s="23">
        <f t="shared" si="136"/>
        <v>0.24390794218939504</v>
      </c>
      <c r="K111" s="23">
        <f t="shared" ref="K111:L111" si="137">K107-100</f>
        <v>0.24648614105424826</v>
      </c>
      <c r="L111" s="23">
        <f t="shared" si="137"/>
        <v>0.19088827797918384</v>
      </c>
      <c r="M111" s="23">
        <f t="shared" ref="M111" si="138">M107-100</f>
        <v>0.15856722943804868</v>
      </c>
    </row>
    <row r="112" spans="1:17">
      <c r="A112" s="22" t="s">
        <v>41</v>
      </c>
      <c r="B112" s="2" t="s">
        <v>74</v>
      </c>
      <c r="D112" s="23">
        <f>((D36*D34)-(D37*$D$3))/(D37)</f>
        <v>6.0235469529569589E-2</v>
      </c>
      <c r="E112" s="23">
        <f t="shared" ref="E112:F112" si="139">((E36*E34)-(E37*$D$3))/(E37)</f>
        <v>0.35043172616656632</v>
      </c>
      <c r="F112" s="23">
        <f t="shared" si="139"/>
        <v>0.37117670063061081</v>
      </c>
      <c r="G112" s="23">
        <f t="shared" ref="G112:H112" si="140">((G36*G34)-(G37*$D$3))/(G37)</f>
        <v>0.29394762676504022</v>
      </c>
      <c r="H112" s="23">
        <f t="shared" si="140"/>
        <v>0.30543602748123549</v>
      </c>
      <c r="I112" s="23">
        <f t="shared" ref="I112" si="141">((I36*I34)-(I37*$D$3))/(I37)</f>
        <v>0.3090500191182074</v>
      </c>
      <c r="J112" s="23"/>
      <c r="K112" s="23"/>
      <c r="L112" s="23"/>
    </row>
    <row r="113" spans="1:23">
      <c r="A113" s="22"/>
      <c r="D113" s="26"/>
      <c r="E113" s="26"/>
      <c r="F113" s="26"/>
      <c r="G113" s="26"/>
      <c r="H113" s="26"/>
      <c r="I113" s="26"/>
      <c r="J113" s="26"/>
      <c r="K113" s="26"/>
      <c r="L113" s="26"/>
    </row>
    <row r="114" spans="1:23" s="85" customFormat="1">
      <c r="A114" s="228" t="s">
        <v>990</v>
      </c>
      <c r="B114" s="84"/>
      <c r="C114" s="84"/>
      <c r="D114" s="90"/>
      <c r="E114" s="90"/>
      <c r="F114" s="90">
        <v>56.6</v>
      </c>
      <c r="G114" s="90">
        <v>52.9</v>
      </c>
      <c r="H114" s="90">
        <v>52.2</v>
      </c>
      <c r="I114" s="90">
        <v>52.3</v>
      </c>
      <c r="J114" s="90"/>
      <c r="K114" s="90">
        <v>50.1</v>
      </c>
      <c r="L114" s="90">
        <v>48.2</v>
      </c>
      <c r="M114" s="90">
        <v>47</v>
      </c>
      <c r="N114" s="84"/>
      <c r="O114" s="84"/>
      <c r="P114" s="84"/>
      <c r="Q114" s="84"/>
      <c r="R114" s="84"/>
      <c r="S114" s="84"/>
      <c r="T114" s="84"/>
      <c r="U114" s="84"/>
      <c r="V114" s="84"/>
      <c r="W114" s="84"/>
    </row>
    <row r="115" spans="1:23" s="85" customFormat="1">
      <c r="A115" s="153" t="s">
        <v>969</v>
      </c>
      <c r="B115" s="84" t="s">
        <v>8</v>
      </c>
      <c r="C115" s="84"/>
      <c r="D115" s="90"/>
      <c r="E115" s="90"/>
      <c r="F115" s="90">
        <f t="shared" ref="F115:M115" si="142">100*(F37*$D$8-F36*F50)/(F37*$D$8)</f>
        <v>19.87876122933006</v>
      </c>
      <c r="G115" s="90">
        <f t="shared" si="142"/>
        <v>12.052074661359027</v>
      </c>
      <c r="H115" s="90">
        <f t="shared" si="142"/>
        <v>10.49728232570128</v>
      </c>
      <c r="I115" s="90">
        <f t="shared" si="142"/>
        <v>10.580725707835462</v>
      </c>
      <c r="J115" s="90"/>
      <c r="K115" s="90">
        <f t="shared" si="142"/>
        <v>7.1743746460954725</v>
      </c>
      <c r="L115" s="90">
        <f t="shared" si="142"/>
        <v>4.5538253768838084</v>
      </c>
      <c r="M115" s="90">
        <f t="shared" si="142"/>
        <v>3.092420251306065</v>
      </c>
    </row>
    <row r="116" spans="1:23" s="85" customFormat="1">
      <c r="A116" s="153" t="s">
        <v>970</v>
      </c>
      <c r="B116" s="84" t="s">
        <v>8</v>
      </c>
      <c r="C116" s="84"/>
      <c r="D116" s="84"/>
      <c r="E116" s="90">
        <f>100*(E37*$D$13-E36*E58)/(E37*$D$13)</f>
        <v>57.66972087361151</v>
      </c>
      <c r="F116" s="90">
        <f t="shared" ref="F116:M116" si="143">100*(F37*$D$13-F36*F58)/(F37*$D$13)</f>
        <v>53.330332512914651</v>
      </c>
      <c r="G116" s="90">
        <f t="shared" si="143"/>
        <v>36.328047863533868</v>
      </c>
      <c r="H116" s="90">
        <f t="shared" si="143"/>
        <v>31.699282036616221</v>
      </c>
      <c r="I116" s="90">
        <f t="shared" si="143"/>
        <v>31.970055781288217</v>
      </c>
      <c r="J116" s="90"/>
      <c r="K116" s="90">
        <f t="shared" si="143"/>
        <v>23.110653028702188</v>
      </c>
      <c r="L116" s="90">
        <f t="shared" si="143"/>
        <v>15.707001842442011</v>
      </c>
      <c r="M116" s="90">
        <f t="shared" si="143"/>
        <v>10.684145806668889</v>
      </c>
    </row>
    <row r="117" spans="1:23" s="85" customFormat="1">
      <c r="A117" s="153" t="s">
        <v>971</v>
      </c>
      <c r="B117" s="84" t="s">
        <v>8</v>
      </c>
      <c r="C117" s="84"/>
      <c r="D117" s="90"/>
      <c r="E117" s="90"/>
      <c r="F117" s="90"/>
      <c r="G117" s="90"/>
      <c r="H117" s="90"/>
      <c r="I117" s="90"/>
      <c r="J117" s="90"/>
      <c r="K117" s="90"/>
      <c r="L117" s="90"/>
      <c r="M117" s="84"/>
    </row>
    <row r="118" spans="1:23">
      <c r="A118" s="22"/>
      <c r="D118" s="26"/>
      <c r="E118" s="26"/>
      <c r="F118" s="26"/>
      <c r="G118" s="26"/>
      <c r="H118" s="26"/>
      <c r="I118" s="26"/>
      <c r="J118" s="26"/>
      <c r="K118" s="26"/>
      <c r="L118" s="26"/>
    </row>
    <row r="119" spans="1:23">
      <c r="A119" s="38" t="s">
        <v>18</v>
      </c>
      <c r="B119" s="2" t="s">
        <v>8</v>
      </c>
      <c r="D119" s="26"/>
      <c r="E119" s="26">
        <f>100*(E36*E51-E37*$D$9)/(E37*$D$8-E36*E50)</f>
        <v>19.078687676341168</v>
      </c>
      <c r="F119" s="26">
        <f t="shared" ref="F119:M119" si="144">100*(F36*F51-F37*$D$9)/(F37*$D$8-F36*F50)</f>
        <v>15.895183747490915</v>
      </c>
      <c r="G119" s="26">
        <f t="shared" si="144"/>
        <v>6.7992592805808494</v>
      </c>
      <c r="H119" s="26">
        <f t="shared" si="144"/>
        <v>0.17283433205712506</v>
      </c>
      <c r="I119" s="26">
        <f t="shared" si="144"/>
        <v>0.30606618312793926</v>
      </c>
      <c r="J119" s="26">
        <f t="shared" si="144"/>
        <v>-9.7342375398888947</v>
      </c>
      <c r="K119" s="26">
        <f t="shared" si="144"/>
        <v>-8.3583244187383041</v>
      </c>
      <c r="L119" s="26">
        <f t="shared" si="144"/>
        <v>-12.688074475750426</v>
      </c>
      <c r="M119" s="26">
        <f t="shared" si="144"/>
        <v>-26.623962304733681</v>
      </c>
    </row>
    <row r="120" spans="1:23">
      <c r="A120" s="38" t="s">
        <v>19</v>
      </c>
      <c r="B120" s="2" t="s">
        <v>8</v>
      </c>
      <c r="D120" s="26"/>
      <c r="E120" s="26">
        <f>100*(E36*E52-E37*$D$10)/(E37*$D$8-E36*E50)</f>
        <v>42.118189622114741</v>
      </c>
      <c r="F120" s="26">
        <f t="shared" ref="F120:M120" si="145">100*(F36*F52-F37*$D$10)/(F37*$D$8-F36*F50)</f>
        <v>42.198257974726388</v>
      </c>
      <c r="G120" s="26">
        <f t="shared" si="145"/>
        <v>46.283325110473506</v>
      </c>
      <c r="H120" s="26">
        <f t="shared" si="145"/>
        <v>45.854308022216777</v>
      </c>
      <c r="I120" s="26">
        <f t="shared" si="145"/>
        <v>46.094564068617963</v>
      </c>
      <c r="J120" s="26">
        <f t="shared" si="145"/>
        <v>49.322079758665282</v>
      </c>
      <c r="K120" s="26">
        <f t="shared" si="145"/>
        <v>51.170270546803003</v>
      </c>
      <c r="L120" s="26">
        <f t="shared" si="145"/>
        <v>56.229508433686647</v>
      </c>
      <c r="M120" s="26">
        <f t="shared" si="145"/>
        <v>61.754804388169312</v>
      </c>
    </row>
    <row r="121" spans="1:23" s="80" customFormat="1">
      <c r="A121" s="38" t="s">
        <v>20</v>
      </c>
      <c r="B121" s="2" t="s">
        <v>8</v>
      </c>
      <c r="C121" s="81"/>
      <c r="D121" s="82"/>
      <c r="E121" s="26">
        <f>100*(E36*E53-E37*$D$11)/(E37*$D$8-E36*E50)</f>
        <v>27.767063440357099</v>
      </c>
      <c r="F121" s="26">
        <f t="shared" ref="F121:M121" si="146">100*(F36*F53-F37*$D$11)/(F37*$D$8-F36*F50)</f>
        <v>32.592529137854179</v>
      </c>
      <c r="G121" s="26">
        <f t="shared" si="146"/>
        <v>44.230244285284925</v>
      </c>
      <c r="H121" s="26">
        <f t="shared" si="146"/>
        <v>53.701209689527495</v>
      </c>
      <c r="I121" s="26">
        <f t="shared" si="146"/>
        <v>53.973576596888996</v>
      </c>
      <c r="J121" s="26">
        <f t="shared" si="146"/>
        <v>61.118810153651083</v>
      </c>
      <c r="K121" s="26">
        <f t="shared" si="146"/>
        <v>62.760710777693049</v>
      </c>
      <c r="L121" s="26">
        <f t="shared" si="146"/>
        <v>68.270845725701506</v>
      </c>
      <c r="M121" s="26">
        <f t="shared" si="146"/>
        <v>78.601347007302849</v>
      </c>
    </row>
    <row r="122" spans="1:23">
      <c r="A122" s="38" t="s">
        <v>75</v>
      </c>
      <c r="B122" s="2" t="s">
        <v>8</v>
      </c>
      <c r="E122" s="26">
        <f>100*(E36*E54-E37*$D$12)/(E37*$D$8-E36*E50)</f>
        <v>11.916635177156712</v>
      </c>
      <c r="F122" s="26">
        <f t="shared" ref="F122:M122" si="147">100*(F36*F54-F37*$D$12)/(F37*$D$8-F36*F50)</f>
        <v>10.519462777486565</v>
      </c>
      <c r="G122" s="26">
        <f t="shared" si="147"/>
        <v>7.937876746040109</v>
      </c>
      <c r="H122" s="26">
        <f t="shared" si="147"/>
        <v>6.3563641046786374</v>
      </c>
      <c r="I122" s="26">
        <f t="shared" si="147"/>
        <v>6.4193510793381483</v>
      </c>
      <c r="J122" s="26">
        <f t="shared" si="147"/>
        <v>5.9790805862145104</v>
      </c>
      <c r="K122" s="26">
        <f t="shared" si="147"/>
        <v>6.1778729151264287</v>
      </c>
      <c r="L122" s="26">
        <f t="shared" si="147"/>
        <v>5.5712202674210367</v>
      </c>
      <c r="M122" s="26">
        <f t="shared" si="147"/>
        <v>5.3196437233163412</v>
      </c>
    </row>
    <row r="123" spans="1:23" s="85" customFormat="1">
      <c r="A123" s="151" t="s">
        <v>972</v>
      </c>
      <c r="B123" s="84" t="s">
        <v>8</v>
      </c>
      <c r="C123" s="84"/>
      <c r="D123" s="90"/>
      <c r="E123" s="90">
        <f>SUM(E119:E122)</f>
        <v>100.88057591596971</v>
      </c>
      <c r="F123" s="90">
        <f t="shared" ref="F123:M123" si="148">SUM(F119:F122)</f>
        <v>101.20543363755804</v>
      </c>
      <c r="G123" s="90">
        <f t="shared" si="148"/>
        <v>105.25070542237938</v>
      </c>
      <c r="H123" s="90">
        <f t="shared" si="148"/>
        <v>106.08471614848004</v>
      </c>
      <c r="I123" s="90">
        <f t="shared" si="148"/>
        <v>106.79355792797304</v>
      </c>
      <c r="J123" s="90">
        <f t="shared" si="148"/>
        <v>106.68573295864198</v>
      </c>
      <c r="K123" s="90">
        <f t="shared" si="148"/>
        <v>111.75052982088418</v>
      </c>
      <c r="L123" s="90">
        <f t="shared" si="148"/>
        <v>117.38349995105877</v>
      </c>
      <c r="M123" s="90">
        <f t="shared" si="148"/>
        <v>119.05183281405482</v>
      </c>
    </row>
    <row r="124" spans="1:23">
      <c r="D124" s="26"/>
      <c r="E124" s="26"/>
      <c r="F124" s="26"/>
      <c r="G124" s="26"/>
      <c r="H124" s="26"/>
      <c r="I124" s="26"/>
      <c r="J124" s="26"/>
      <c r="K124" s="26"/>
      <c r="L124" s="26"/>
    </row>
    <row r="125" spans="1:23" s="80" customFormat="1">
      <c r="A125" s="77" t="s">
        <v>973</v>
      </c>
      <c r="B125" s="2" t="s">
        <v>8</v>
      </c>
      <c r="C125" s="81"/>
      <c r="D125" s="82"/>
      <c r="E125" s="26">
        <f>100*(E36*E59-E37*$D$14)/(E37*$D$13-E36*E58)</f>
        <v>2.76533711733985</v>
      </c>
      <c r="F125" s="26">
        <f t="shared" ref="F125:M125" si="149">100*(F36*F59-F37*$D$14)/(F37*$D$13-F36*F58)</f>
        <v>-5.3132249200970758</v>
      </c>
      <c r="G125" s="26">
        <f t="shared" si="149"/>
        <v>-9.5287659930970214</v>
      </c>
      <c r="H125" s="26">
        <f t="shared" si="149"/>
        <v>-27.195920132627531</v>
      </c>
      <c r="I125" s="26">
        <f t="shared" si="149"/>
        <v>-27.498484309597625</v>
      </c>
      <c r="J125" s="26">
        <f t="shared" si="149"/>
        <v>-28.731560730585048</v>
      </c>
      <c r="K125" s="26">
        <f t="shared" si="149"/>
        <v>-29.183496114828461</v>
      </c>
      <c r="L125" s="26">
        <f t="shared" si="149"/>
        <v>-29.662681240391638</v>
      </c>
      <c r="M125" s="26">
        <f t="shared" si="149"/>
        <v>-40.600690548768654</v>
      </c>
    </row>
    <row r="126" spans="1:23">
      <c r="A126" s="77" t="s">
        <v>974</v>
      </c>
      <c r="B126" s="2" t="s">
        <v>8</v>
      </c>
      <c r="C126" s="81"/>
      <c r="D126" s="26"/>
      <c r="E126" s="26">
        <f>100*(E36*E60-E37*$D$15)/(E37*$D$13-E36*E58)</f>
        <v>39.914997252446142</v>
      </c>
      <c r="F126" s="26">
        <f t="shared" ref="F126:M126" si="150">100*(F36*F60-F37*$D$15)/(F37*$D$13-F36*F58)</f>
        <v>37.447183701565258</v>
      </c>
      <c r="G126" s="26">
        <f t="shared" si="150"/>
        <v>45.444541202670045</v>
      </c>
      <c r="H126" s="26">
        <f t="shared" si="150"/>
        <v>47.291052149925008</v>
      </c>
      <c r="I126" s="26">
        <f t="shared" si="150"/>
        <v>47.044204208533529</v>
      </c>
      <c r="J126" s="26">
        <f t="shared" si="150"/>
        <v>61.195351220937191</v>
      </c>
      <c r="K126" s="26">
        <f t="shared" si="150"/>
        <v>60.391026766827657</v>
      </c>
      <c r="L126" s="26">
        <f t="shared" si="150"/>
        <v>74.861583499301332</v>
      </c>
      <c r="M126" s="26">
        <f t="shared" si="150"/>
        <v>95.424255665954945</v>
      </c>
    </row>
    <row r="127" spans="1:23">
      <c r="A127" s="22" t="s">
        <v>975</v>
      </c>
      <c r="B127" s="2" t="s">
        <v>8</v>
      </c>
      <c r="E127" s="1"/>
      <c r="F127" s="1"/>
      <c r="G127" s="1"/>
      <c r="H127" s="1"/>
      <c r="I127" s="1"/>
      <c r="J127" s="1"/>
      <c r="M127" s="1"/>
    </row>
    <row r="128" spans="1:23" s="152" customFormat="1">
      <c r="A128" s="151" t="s">
        <v>976</v>
      </c>
      <c r="B128" s="84" t="s">
        <v>8</v>
      </c>
      <c r="C128" s="99"/>
      <c r="D128" s="232"/>
      <c r="E128" s="90">
        <f>E126+E125</f>
        <v>42.680334369785989</v>
      </c>
      <c r="F128" s="90">
        <f t="shared" ref="F128:M128" si="151">F126+F125</f>
        <v>32.133958781468181</v>
      </c>
      <c r="G128" s="90">
        <f t="shared" si="151"/>
        <v>35.915775209573027</v>
      </c>
      <c r="H128" s="90">
        <f t="shared" si="151"/>
        <v>20.095132017297477</v>
      </c>
      <c r="I128" s="90">
        <f t="shared" si="151"/>
        <v>19.545719898935904</v>
      </c>
      <c r="J128" s="90">
        <f t="shared" si="151"/>
        <v>32.463790490352139</v>
      </c>
      <c r="K128" s="90">
        <f t="shared" si="151"/>
        <v>31.207530651999196</v>
      </c>
      <c r="L128" s="90">
        <f t="shared" si="151"/>
        <v>45.198902258909698</v>
      </c>
      <c r="M128" s="90">
        <f t="shared" si="151"/>
        <v>54.823565117186291</v>
      </c>
    </row>
    <row r="129" spans="1:23">
      <c r="A129" s="80"/>
      <c r="B129" s="81"/>
      <c r="D129" s="26"/>
      <c r="E129" s="26"/>
      <c r="F129" s="26"/>
      <c r="G129" s="26"/>
      <c r="H129" s="26"/>
      <c r="I129" s="26"/>
      <c r="J129" s="26"/>
      <c r="K129" s="26"/>
      <c r="L129" s="26"/>
    </row>
    <row r="130" spans="1:23">
      <c r="A130" s="22" t="s">
        <v>977</v>
      </c>
      <c r="B130" s="2" t="s">
        <v>8</v>
      </c>
    </row>
    <row r="131" spans="1:23" s="85" customFormat="1">
      <c r="A131" s="151" t="s">
        <v>978</v>
      </c>
      <c r="B131" s="84" t="s">
        <v>8</v>
      </c>
      <c r="C131" s="84"/>
      <c r="D131" s="84"/>
      <c r="E131" s="84"/>
      <c r="F131" s="84"/>
      <c r="G131" s="84"/>
      <c r="H131" s="84"/>
      <c r="I131" s="84"/>
      <c r="J131" s="84"/>
      <c r="M131" s="84"/>
    </row>
    <row r="132" spans="1:23">
      <c r="K132" s="2"/>
      <c r="L132" s="2"/>
    </row>
    <row r="133" spans="1:23" s="85" customFormat="1">
      <c r="A133" s="151" t="s">
        <v>979</v>
      </c>
      <c r="B133" s="84" t="s">
        <v>980</v>
      </c>
      <c r="C133" s="84"/>
      <c r="D133" s="84"/>
      <c r="E133" s="92">
        <f>E114*E110</f>
        <v>0</v>
      </c>
      <c r="F133" s="92">
        <f t="shared" ref="F133:M133" si="152">F114*F110</f>
        <v>4810.9369102951932</v>
      </c>
      <c r="G133" s="92">
        <f t="shared" si="152"/>
        <v>4683.7720716305894</v>
      </c>
      <c r="H133" s="92">
        <f t="shared" si="152"/>
        <v>4595.4731191811225</v>
      </c>
      <c r="I133" s="92">
        <f t="shared" si="152"/>
        <v>4596.1637860707633</v>
      </c>
      <c r="J133" s="92"/>
      <c r="K133" s="92">
        <f t="shared" si="152"/>
        <v>4545.963032896776</v>
      </c>
      <c r="L133" s="92">
        <f t="shared" si="152"/>
        <v>4497.5909086269467</v>
      </c>
      <c r="M133" s="92">
        <f t="shared" si="152"/>
        <v>4455.6499604599767</v>
      </c>
    </row>
    <row r="135" spans="1:23">
      <c r="A135" s="151" t="s">
        <v>981</v>
      </c>
      <c r="B135" s="99" t="s">
        <v>8</v>
      </c>
      <c r="C135" s="151"/>
      <c r="D135" s="151"/>
      <c r="E135" s="92">
        <f>(E86)/(E86+E85)*100</f>
        <v>44.571194781734512</v>
      </c>
      <c r="F135" s="92">
        <f t="shared" ref="F135:L135" si="153">(F86)/(F86+F85)*100</f>
        <v>44.495423892100192</v>
      </c>
      <c r="G135" s="92">
        <f t="shared" si="153"/>
        <v>42.661386702959604</v>
      </c>
      <c r="H135" s="92">
        <f t="shared" si="153"/>
        <v>42.652494204478842</v>
      </c>
      <c r="I135" s="92">
        <f t="shared" si="153"/>
        <v>42.713588572064168</v>
      </c>
      <c r="J135" s="92">
        <f t="shared" si="153"/>
        <v>41.375995962099068</v>
      </c>
      <c r="K135" s="92">
        <f t="shared" si="153"/>
        <v>41.399681030941444</v>
      </c>
      <c r="L135" s="92">
        <f t="shared" si="153"/>
        <v>40.065424437307065</v>
      </c>
      <c r="M135" s="92">
        <f t="shared" ref="M135" si="154">(M86)/(M86+M85)*100</f>
        <v>39.229324825254004</v>
      </c>
    </row>
    <row r="136" spans="1:23">
      <c r="A136" s="151" t="s">
        <v>982</v>
      </c>
      <c r="B136" s="99" t="s">
        <v>8</v>
      </c>
      <c r="C136" s="151"/>
      <c r="D136" s="151"/>
      <c r="E136" s="92" cm="1">
        <f t="array" ref="E136">SUM(E89:E92)/SUM(E89:E92+E88)*100</f>
        <v>22.900594750934687</v>
      </c>
      <c r="F136" s="92" cm="1">
        <f t="array" ref="F136">SUM(F89:F92)/SUM(F89:F92+F88)*100</f>
        <v>21.931249540158838</v>
      </c>
      <c r="G136" s="92" cm="1">
        <f t="array" ref="G136">SUM(G89:G92)/SUM(G89:G92+G88)*100</f>
        <v>19.014697972390891</v>
      </c>
      <c r="H136" s="92" cm="1">
        <f t="array" ref="H136">SUM(H89:H92)/SUM(H89:H92+H88)*100</f>
        <v>18.459665996140171</v>
      </c>
      <c r="I136" s="92" cm="1">
        <f t="array" ref="I136">SUM(I89:I92)/SUM(I89:I92+I88)*100</f>
        <v>18.504084746463992</v>
      </c>
      <c r="J136" s="92" cm="1">
        <f t="array" ref="J136">SUM(J89:J92)/SUM(J89:J92+J88)*100</f>
        <v>17.311923364249054</v>
      </c>
      <c r="K136" s="92" cm="1">
        <f t="array" ref="K136">SUM(K89:K92)/SUM(K89:K92+K88)*100</f>
        <v>17.347433046509117</v>
      </c>
      <c r="L136" s="92" cm="1">
        <f t="array" ref="L136">SUM(L89:L92)/SUM(L89:L92+L88)*100</f>
        <v>16.466370126086435</v>
      </c>
      <c r="M136" s="92" cm="1">
        <f t="array" ref="M136">SUM(M89:M92)/SUM(M89:M92+M88)*100</f>
        <v>15.956327957591729</v>
      </c>
    </row>
    <row r="137" spans="1:23">
      <c r="A137" s="151" t="s">
        <v>983</v>
      </c>
      <c r="B137" s="99" t="s">
        <v>8</v>
      </c>
      <c r="C137" s="151"/>
      <c r="D137" s="151"/>
      <c r="E137" s="92">
        <f>SUM(E98,E97)/(SUM(E98,E97)+E96)*100</f>
        <v>73.343401557426446</v>
      </c>
      <c r="F137" s="92">
        <f t="shared" ref="F137:L137" si="155">SUM(F98,F97)/(SUM(F98,F97)+F96)*100</f>
        <v>70.018472762124489</v>
      </c>
      <c r="G137" s="92">
        <f t="shared" si="155"/>
        <v>62.229089387915273</v>
      </c>
      <c r="H137" s="92">
        <f t="shared" si="155"/>
        <v>58.98478605933537</v>
      </c>
      <c r="I137" s="92">
        <f t="shared" si="155"/>
        <v>59.050992233112929</v>
      </c>
      <c r="J137" s="92">
        <f t="shared" si="155"/>
        <v>56.221061011089311</v>
      </c>
      <c r="K137" s="92">
        <f t="shared" si="155"/>
        <v>56.301997363809029</v>
      </c>
      <c r="L137" s="92">
        <f t="shared" si="155"/>
        <v>54.000335374303823</v>
      </c>
      <c r="M137" s="92">
        <f t="shared" ref="M137" si="156">SUM(M98,M97)/(SUM(M98,M97)+M96)*100</f>
        <v>52.244630362868591</v>
      </c>
    </row>
    <row r="138" spans="1:23">
      <c r="A138" s="22"/>
    </row>
    <row r="139" spans="1:23" s="85" customFormat="1">
      <c r="A139" s="245" t="s">
        <v>984</v>
      </c>
      <c r="B139" s="99" t="s">
        <v>74</v>
      </c>
      <c r="C139" s="84"/>
      <c r="D139" s="84"/>
      <c r="E139" s="92">
        <f t="shared" ref="E139:M139" si="157">E137*SUM(E96:E101,E105,E106)</f>
        <v>2340.9237010123197</v>
      </c>
      <c r="F139" s="92">
        <f t="shared" si="157"/>
        <v>2177.4383784201873</v>
      </c>
      <c r="G139" s="92">
        <f t="shared" si="157"/>
        <v>2180.8375373121075</v>
      </c>
      <c r="H139" s="92">
        <f t="shared" si="157"/>
        <v>2035.0129582859215</v>
      </c>
      <c r="I139" s="92">
        <f t="shared" si="157"/>
        <v>2026.8110816225708</v>
      </c>
      <c r="J139" s="92">
        <f t="shared" si="157"/>
        <v>2126.5878082509666</v>
      </c>
      <c r="K139" s="92">
        <f t="shared" si="157"/>
        <v>2118.1317305847683</v>
      </c>
      <c r="L139" s="92">
        <f t="shared" si="157"/>
        <v>2191.8272088925614</v>
      </c>
      <c r="M139" s="92">
        <f t="shared" si="157"/>
        <v>2214.5890587974827</v>
      </c>
    </row>
    <row r="140" spans="1:23" s="85" customFormat="1">
      <c r="A140" s="245" t="s">
        <v>985</v>
      </c>
      <c r="B140" s="99" t="s">
        <v>74</v>
      </c>
      <c r="C140" s="84"/>
      <c r="D140" s="84"/>
      <c r="E140" s="88">
        <f>SUM(E96,E97,E98,E99,E100,E101,E105,E106)</f>
        <v>31.917304778663997</v>
      </c>
      <c r="F140" s="88">
        <f t="shared" ref="F140:M140" si="158">SUM(F96,F97,F98,F99,F100,F101,F105,F106)</f>
        <v>31.098055877591804</v>
      </c>
      <c r="G140" s="88">
        <f t="shared" si="158"/>
        <v>35.045306925793142</v>
      </c>
      <c r="H140" s="88">
        <f t="shared" si="158"/>
        <v>34.500641508452929</v>
      </c>
      <c r="I140" s="88">
        <f t="shared" si="158"/>
        <v>34.323065624730241</v>
      </c>
      <c r="J140" s="88">
        <f t="shared" si="158"/>
        <v>37.825465581866347</v>
      </c>
      <c r="K140" s="88">
        <f t="shared" si="158"/>
        <v>37.620898542869547</v>
      </c>
      <c r="L140" s="88">
        <f t="shared" si="158"/>
        <v>40.58914067292158</v>
      </c>
      <c r="M140" s="88">
        <f t="shared" si="158"/>
        <v>42.388835817497522</v>
      </c>
    </row>
    <row r="141" spans="1:23" s="85" customFormat="1">
      <c r="A141" s="245" t="s">
        <v>991</v>
      </c>
      <c r="B141" s="99" t="s">
        <v>74</v>
      </c>
      <c r="C141" s="84"/>
      <c r="D141" s="90"/>
      <c r="E141" s="88">
        <f>SUM(E86,E89:E92,E97,E98,E104,E105,E106)/(E110)*(100)</f>
        <v>52.796954978633273</v>
      </c>
      <c r="F141" s="88">
        <f t="shared" ref="F141:M141" si="159">SUM(F86,F89:F92,F97,F98,F104,F105,F106)/(F110)*(100)</f>
        <v>51.362365293619796</v>
      </c>
      <c r="G141" s="88">
        <f t="shared" si="159"/>
        <v>46.389754462066755</v>
      </c>
      <c r="H141" s="88">
        <f t="shared" si="159"/>
        <v>45.132120137578006</v>
      </c>
      <c r="I141" s="88">
        <f t="shared" si="159"/>
        <v>45.238468320089751</v>
      </c>
      <c r="J141" s="88">
        <f t="shared" si="159"/>
        <v>42.724510804537061</v>
      </c>
      <c r="K141" s="88">
        <f t="shared" si="159"/>
        <v>42.814127581150146</v>
      </c>
      <c r="L141" s="88">
        <f t="shared" si="159"/>
        <v>40.627971079455001</v>
      </c>
      <c r="M141" s="88">
        <f t="shared" si="159"/>
        <v>39.161827976120101</v>
      </c>
      <c r="N141" s="88">
        <f t="shared" ref="N141:U141" si="160">SUM(N86,N89:N92,N97,N98,N104,N105,N106)*N110*(1/100)</f>
        <v>0</v>
      </c>
      <c r="O141" s="88">
        <f t="shared" si="160"/>
        <v>0</v>
      </c>
      <c r="P141" s="88">
        <f t="shared" si="160"/>
        <v>0</v>
      </c>
      <c r="Q141" s="88">
        <f t="shared" si="160"/>
        <v>0</v>
      </c>
      <c r="R141" s="88">
        <f t="shared" si="160"/>
        <v>0</v>
      </c>
      <c r="S141" s="88">
        <f t="shared" si="160"/>
        <v>0</v>
      </c>
      <c r="T141" s="88">
        <f t="shared" si="160"/>
        <v>0</v>
      </c>
      <c r="U141" s="88">
        <f t="shared" si="160"/>
        <v>0</v>
      </c>
      <c r="V141" s="84"/>
      <c r="W141" s="84"/>
    </row>
    <row r="142" spans="1:23" s="2" customFormat="1">
      <c r="A142" s="77"/>
      <c r="K142" s="1"/>
      <c r="L142" s="1"/>
    </row>
    <row r="143" spans="1:23" s="2" customFormat="1">
      <c r="A143" s="77"/>
      <c r="K143" s="1"/>
      <c r="L143" s="1"/>
    </row>
    <row r="144" spans="1:23" s="2" customFormat="1">
      <c r="A144" s="77"/>
      <c r="K144" s="1"/>
      <c r="L144" s="1"/>
    </row>
    <row r="145" spans="1:12" s="2" customFormat="1">
      <c r="A145" s="77"/>
      <c r="K145" s="1"/>
      <c r="L145" s="1"/>
    </row>
    <row r="146" spans="1:12" s="2" customFormat="1">
      <c r="A146" s="77"/>
      <c r="K146" s="1"/>
      <c r="L146" s="1"/>
    </row>
    <row r="147" spans="1:12" s="2" customFormat="1">
      <c r="A147" s="77"/>
      <c r="E147" s="2" t="s">
        <v>72</v>
      </c>
      <c r="F147" s="2" t="s">
        <v>73</v>
      </c>
      <c r="K147" s="1"/>
      <c r="L147" s="1"/>
    </row>
    <row r="148" spans="1:12" s="2" customFormat="1">
      <c r="A148" s="77"/>
      <c r="C148" s="152" t="s">
        <v>981</v>
      </c>
      <c r="D148" s="99" t="s">
        <v>8</v>
      </c>
      <c r="E148" s="39">
        <f>F135</f>
        <v>44.495423892100192</v>
      </c>
      <c r="F148" s="39">
        <f>Reactor7!F135</f>
        <v>49.56278444089817</v>
      </c>
      <c r="K148" s="1"/>
      <c r="L148" s="1"/>
    </row>
    <row r="149" spans="1:12" s="2" customFormat="1">
      <c r="A149" s="77"/>
      <c r="C149" s="152" t="s">
        <v>982</v>
      </c>
      <c r="D149" s="99" t="s">
        <v>8</v>
      </c>
      <c r="E149" s="39">
        <f t="shared" ref="E149:E150" si="161">F136</f>
        <v>21.931249540158838</v>
      </c>
      <c r="F149" s="39">
        <f>Reactor7!F136</f>
        <v>30.708578186755403</v>
      </c>
      <c r="K149" s="1"/>
      <c r="L149" s="1"/>
    </row>
    <row r="150" spans="1:12" s="2" customFormat="1">
      <c r="A150" s="77"/>
      <c r="C150" s="152" t="s">
        <v>983</v>
      </c>
      <c r="D150" s="99" t="s">
        <v>8</v>
      </c>
      <c r="E150" s="39">
        <f t="shared" si="161"/>
        <v>70.018472762124489</v>
      </c>
      <c r="F150" s="39">
        <f>Reactor7!F137</f>
        <v>75.273951657453821</v>
      </c>
      <c r="K150" s="1"/>
      <c r="L150" s="1"/>
    </row>
    <row r="151" spans="1:12" s="2" customFormat="1">
      <c r="A151" s="77"/>
      <c r="K151" s="1"/>
      <c r="L151" s="1"/>
    </row>
    <row r="152" spans="1:12" s="2" customFormat="1">
      <c r="A152" s="77"/>
      <c r="K152" s="1"/>
      <c r="L152" s="1"/>
    </row>
    <row r="153" spans="1:12" s="2" customFormat="1">
      <c r="A153" s="22"/>
      <c r="K153" s="1"/>
      <c r="L153" s="1"/>
    </row>
    <row r="154" spans="1:12" s="2" customFormat="1">
      <c r="A154" s="22"/>
      <c r="K154" s="1"/>
      <c r="L154" s="1"/>
    </row>
    <row r="155" spans="1:12" s="2" customFormat="1">
      <c r="A155" s="22"/>
      <c r="K155" s="1"/>
      <c r="L155" s="1"/>
    </row>
    <row r="156" spans="1:12" s="2" customFormat="1">
      <c r="A156" s="22"/>
      <c r="K156" s="1"/>
      <c r="L156" s="1"/>
    </row>
  </sheetData>
  <mergeCells count="1"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88F0-D321-4DE4-ACF8-2F870E852DA4}">
  <dimension ref="A1:AB184"/>
  <sheetViews>
    <sheetView topLeftCell="A118" zoomScale="90" zoomScaleNormal="90" workbookViewId="0">
      <selection activeCell="A141" sqref="A141"/>
    </sheetView>
  </sheetViews>
  <sheetFormatPr defaultColWidth="9.140625" defaultRowHeight="15"/>
  <cols>
    <col min="1" max="1" width="29.7109375" style="2" bestFit="1" customWidth="1"/>
    <col min="2" max="2" width="11.7109375" style="2" bestFit="1" customWidth="1"/>
    <col min="3" max="3" width="11.7109375" style="2" customWidth="1"/>
    <col min="4" max="4" width="25.42578125" style="2" customWidth="1"/>
    <col min="5" max="5" width="27" style="2" bestFit="1" customWidth="1"/>
    <col min="6" max="10" width="16.42578125" style="2" bestFit="1" customWidth="1"/>
    <col min="11" max="13" width="15.85546875" style="1" bestFit="1" customWidth="1"/>
    <col min="14" max="18" width="15.85546875" style="2" bestFit="1" customWidth="1"/>
    <col min="19" max="19" width="15.85546875" style="81" bestFit="1" customWidth="1"/>
    <col min="20" max="21" width="15.85546875" style="2" bestFit="1" customWidth="1"/>
    <col min="22" max="23" width="16" style="2" bestFit="1" customWidth="1"/>
    <col min="24" max="25" width="9.140625" style="1"/>
    <col min="26" max="26" width="10.5703125" style="1" bestFit="1" customWidth="1"/>
    <col min="27" max="27" width="9.42578125" style="1" bestFit="1" customWidth="1"/>
    <col min="28" max="28" width="10" style="1" bestFit="1" customWidth="1"/>
    <col min="29" max="16384" width="9.140625" style="1"/>
  </cols>
  <sheetData>
    <row r="1" spans="1:19" s="2" customFormat="1">
      <c r="A1" s="246" t="s">
        <v>939</v>
      </c>
      <c r="B1" s="246"/>
      <c r="C1" s="246"/>
      <c r="D1" s="246"/>
      <c r="K1" s="1"/>
      <c r="L1" s="1"/>
      <c r="M1" s="1"/>
      <c r="S1" s="81"/>
    </row>
    <row r="2" spans="1:19" s="2" customFormat="1">
      <c r="A2" s="31" t="s">
        <v>940</v>
      </c>
      <c r="B2" s="16" t="s">
        <v>8</v>
      </c>
      <c r="C2" s="16"/>
      <c r="D2" s="105">
        <f>Reactor1!D2</f>
        <v>83.84</v>
      </c>
      <c r="G2" s="1"/>
      <c r="K2" s="1"/>
      <c r="L2" s="1"/>
      <c r="M2" s="1"/>
      <c r="S2" s="81"/>
    </row>
    <row r="3" spans="1:19" s="2" customFormat="1">
      <c r="A3" s="31" t="s">
        <v>941</v>
      </c>
      <c r="B3" s="16" t="s">
        <v>8</v>
      </c>
      <c r="C3" s="16"/>
      <c r="D3" s="105">
        <f>Reactor1!D3</f>
        <v>16.159999999999997</v>
      </c>
      <c r="K3" s="1"/>
      <c r="L3" s="1"/>
      <c r="M3" s="1"/>
      <c r="S3" s="81"/>
    </row>
    <row r="4" spans="1:19" s="2" customFormat="1">
      <c r="A4" s="31" t="s">
        <v>942</v>
      </c>
      <c r="B4" s="16" t="s">
        <v>8</v>
      </c>
      <c r="C4" s="16"/>
      <c r="D4" s="105">
        <f>Reactor1!D4</f>
        <v>100</v>
      </c>
      <c r="K4" s="1"/>
      <c r="L4" s="1"/>
      <c r="M4" s="1"/>
      <c r="S4" s="81"/>
    </row>
    <row r="5" spans="1:19" s="2" customFormat="1">
      <c r="A5" s="31" t="s">
        <v>943</v>
      </c>
      <c r="B5" s="114" t="s">
        <v>89</v>
      </c>
      <c r="C5" s="114"/>
      <c r="D5" s="105">
        <f>Reactor1!D5</f>
        <v>0</v>
      </c>
      <c r="K5" s="1"/>
      <c r="L5" s="1"/>
      <c r="M5" s="1"/>
      <c r="S5" s="81"/>
    </row>
    <row r="6" spans="1:19" s="2" customFormat="1">
      <c r="A6" s="31" t="s">
        <v>944</v>
      </c>
      <c r="B6" s="114" t="s">
        <v>89</v>
      </c>
      <c r="C6" s="114"/>
      <c r="D6" s="105">
        <f>Reactor1!D6</f>
        <v>89</v>
      </c>
      <c r="F6" s="2" t="s">
        <v>945</v>
      </c>
      <c r="G6" s="102">
        <v>46247</v>
      </c>
      <c r="K6" s="1"/>
      <c r="L6" s="1"/>
      <c r="M6" s="1"/>
      <c r="S6" s="81"/>
    </row>
    <row r="7" spans="1:19" s="2" customFormat="1">
      <c r="A7" s="31" t="s">
        <v>946</v>
      </c>
      <c r="B7" s="16" t="s">
        <v>102</v>
      </c>
      <c r="C7" s="16"/>
      <c r="D7" s="233">
        <f>Reactor1!D7</f>
        <v>0.66500000000000004</v>
      </c>
      <c r="G7" s="138">
        <v>0.66666666666666663</v>
      </c>
      <c r="K7" s="1"/>
      <c r="L7" s="1"/>
      <c r="M7" s="1"/>
      <c r="S7" s="81"/>
    </row>
    <row r="8" spans="1:19">
      <c r="A8" s="29" t="str">
        <f>Reactor1!A8</f>
        <v>n-Hexane</v>
      </c>
      <c r="B8" s="28" t="str">
        <f>Reactor1!B8</f>
        <v>wt%</v>
      </c>
      <c r="C8" s="29"/>
      <c r="D8" s="227">
        <f>Reactor1!D8</f>
        <v>17.808794750000001</v>
      </c>
      <c r="E8" s="1"/>
      <c r="F8" s="1"/>
      <c r="G8" s="1"/>
    </row>
    <row r="9" spans="1:19">
      <c r="A9" s="229" t="s">
        <v>18</v>
      </c>
      <c r="B9" s="28" t="s">
        <v>8</v>
      </c>
      <c r="C9" s="29"/>
      <c r="D9" s="227">
        <f>Reactor1!D9</f>
        <v>8.024783750000001</v>
      </c>
      <c r="E9" s="1"/>
      <c r="F9" s="1"/>
      <c r="G9" s="1"/>
    </row>
    <row r="10" spans="1:19">
      <c r="A10" s="229" t="s">
        <v>19</v>
      </c>
      <c r="B10" s="230" t="s">
        <v>8</v>
      </c>
      <c r="C10" s="29"/>
      <c r="D10" s="227">
        <f>Reactor1!D10</f>
        <v>3.6883509999999999</v>
      </c>
      <c r="E10" s="1"/>
      <c r="F10" s="1"/>
      <c r="G10" s="1"/>
    </row>
    <row r="11" spans="1:19">
      <c r="A11" s="229" t="s">
        <v>20</v>
      </c>
      <c r="B11" s="230" t="s">
        <v>8</v>
      </c>
      <c r="C11" s="29"/>
      <c r="D11" s="227">
        <f>Reactor1!D11</f>
        <v>0.72080225000000009</v>
      </c>
      <c r="E11" s="1"/>
      <c r="F11" s="1"/>
      <c r="G11" s="1"/>
    </row>
    <row r="12" spans="1:19">
      <c r="A12" s="229" t="s">
        <v>75</v>
      </c>
      <c r="B12" s="230" t="s">
        <v>8</v>
      </c>
      <c r="C12" s="29"/>
      <c r="D12" s="227">
        <f>Reactor1!D12</f>
        <v>1.6720374999999999E-2</v>
      </c>
      <c r="E12" s="1"/>
      <c r="F12" s="1"/>
      <c r="G12" s="1"/>
    </row>
    <row r="13" spans="1:19">
      <c r="A13" s="229" t="s">
        <v>25</v>
      </c>
      <c r="B13" s="230" t="s">
        <v>8</v>
      </c>
      <c r="C13" s="229"/>
      <c r="D13" s="227">
        <f>Reactor1!D13</f>
        <v>16.071277625</v>
      </c>
      <c r="E13" s="1"/>
      <c r="F13" s="1"/>
      <c r="G13" s="1"/>
    </row>
    <row r="14" spans="1:19">
      <c r="A14" s="229" t="s">
        <v>26</v>
      </c>
      <c r="B14" s="230" t="s">
        <v>8</v>
      </c>
      <c r="C14" s="229"/>
      <c r="D14" s="227">
        <f>Reactor1!D14</f>
        <v>13.769736375000001</v>
      </c>
      <c r="E14" s="1"/>
      <c r="F14" s="1"/>
      <c r="G14" s="1"/>
    </row>
    <row r="15" spans="1:19">
      <c r="A15" s="229" t="s">
        <v>27</v>
      </c>
      <c r="B15" s="230" t="s">
        <v>8</v>
      </c>
      <c r="C15" s="229"/>
      <c r="D15" s="227">
        <f>Reactor1!D15</f>
        <v>0.99247037500000013</v>
      </c>
      <c r="E15" s="1"/>
      <c r="F15" s="1"/>
      <c r="G15" s="1"/>
    </row>
    <row r="16" spans="1:19">
      <c r="A16" s="22"/>
      <c r="D16" s="95"/>
      <c r="E16" s="1"/>
      <c r="F16" s="1"/>
      <c r="G16" s="1"/>
    </row>
    <row r="17" spans="1:23">
      <c r="A17" s="129" t="s">
        <v>988</v>
      </c>
      <c r="D17" s="95"/>
      <c r="E17" s="1"/>
      <c r="F17" s="1"/>
      <c r="G17" s="1"/>
    </row>
    <row r="18" spans="1:23" s="133" customFormat="1">
      <c r="A18" s="134"/>
      <c r="B18" s="131"/>
      <c r="C18" s="131"/>
      <c r="D18" s="132"/>
      <c r="H18" s="131"/>
      <c r="I18" s="131"/>
      <c r="J18" s="131"/>
      <c r="N18" s="131"/>
      <c r="O18" s="131"/>
      <c r="P18" s="131"/>
      <c r="Q18" s="131"/>
      <c r="R18" s="131"/>
      <c r="S18" s="211"/>
      <c r="T18" s="131"/>
      <c r="U18" s="131"/>
      <c r="V18" s="131"/>
      <c r="W18" s="131"/>
    </row>
    <row r="19" spans="1:23" s="101" customFormat="1">
      <c r="A19" s="103" t="s">
        <v>227</v>
      </c>
      <c r="B19" s="104" t="s">
        <v>89</v>
      </c>
      <c r="C19" s="104"/>
      <c r="D19" s="102" cm="1">
        <f t="array" ref="D19:U19">TRANSPOSE(_xlfn._xlws.FILTER('Raw Data'!AU2:AU505,('Raw Data'!B2:B505=7)*('Raw Data'!AU2:AU505&lt;&gt;"")))</f>
        <v>46249</v>
      </c>
      <c r="E19" s="102">
        <v>46252</v>
      </c>
      <c r="F19" s="102">
        <v>46252</v>
      </c>
      <c r="G19" s="102">
        <v>46253</v>
      </c>
      <c r="H19" s="102">
        <v>46254</v>
      </c>
      <c r="I19" s="102">
        <v>46255</v>
      </c>
      <c r="J19" s="102">
        <v>46255</v>
      </c>
      <c r="K19" s="102">
        <v>46256</v>
      </c>
      <c r="L19" s="102">
        <v>46257</v>
      </c>
      <c r="M19" s="101">
        <v>46257</v>
      </c>
      <c r="N19" s="102">
        <v>46258</v>
      </c>
      <c r="O19" s="102">
        <v>46258</v>
      </c>
      <c r="P19" s="102">
        <v>46258</v>
      </c>
      <c r="Q19" s="102">
        <v>46259</v>
      </c>
      <c r="R19" s="102">
        <v>46259</v>
      </c>
      <c r="S19" s="102">
        <v>46259</v>
      </c>
      <c r="T19" s="102">
        <v>46259</v>
      </c>
      <c r="U19" s="102">
        <v>46259</v>
      </c>
      <c r="V19" s="102"/>
      <c r="W19" s="102"/>
    </row>
    <row r="20" spans="1:23" s="101" customFormat="1">
      <c r="A20" s="103" t="s">
        <v>950</v>
      </c>
      <c r="B20" s="104" t="s">
        <v>89</v>
      </c>
      <c r="C20" s="104"/>
      <c r="D20" s="108" cm="1">
        <f t="array" ref="D20:U20">TRANSPOSE(_xlfn._xlws.FILTER('Raw Data'!AV2:AV505,('Raw Data'!B2:B505=7)*('Raw Data'!AV2:AV505&lt;&gt;"")))</f>
        <v>0.40393518518518517</v>
      </c>
      <c r="E20" s="108">
        <v>0.10541666666666667</v>
      </c>
      <c r="F20" s="108">
        <v>0.99253472222222228</v>
      </c>
      <c r="G20" s="108">
        <v>0.68156249999999996</v>
      </c>
      <c r="H20" s="108">
        <v>0.37056712962962962</v>
      </c>
      <c r="I20" s="108">
        <v>5.9594907407407409E-2</v>
      </c>
      <c r="J20" s="108">
        <v>0.74861111111111112</v>
      </c>
      <c r="K20" s="108">
        <v>0.43762731481481482</v>
      </c>
      <c r="L20" s="108">
        <v>0.12664351851851852</v>
      </c>
      <c r="M20" s="108">
        <v>0.81565972222222227</v>
      </c>
      <c r="N20" s="108">
        <v>0.6253009259259259</v>
      </c>
      <c r="O20" s="108">
        <v>0.74793981481481486</v>
      </c>
      <c r="P20" s="108">
        <v>0.92018518518518522</v>
      </c>
      <c r="Q20" s="108">
        <v>6.3310185185185188E-3</v>
      </c>
      <c r="R20" s="108">
        <v>9.2453703703703705E-2</v>
      </c>
      <c r="S20" s="108">
        <v>0.17857638888888888</v>
      </c>
      <c r="T20" s="108">
        <v>0.26471064814814815</v>
      </c>
      <c r="U20" s="108">
        <v>0.4369675925925926</v>
      </c>
      <c r="V20" s="108"/>
      <c r="W20" s="108"/>
    </row>
    <row r="21" spans="1:23" s="101" customFormat="1">
      <c r="A21" s="103" t="s">
        <v>121</v>
      </c>
      <c r="B21" s="102" t="s">
        <v>122</v>
      </c>
      <c r="C21" s="102"/>
      <c r="D21" s="39">
        <f>((D19+D20)-(G6+G7))*24</f>
        <v>41.694444444437977</v>
      </c>
      <c r="E21" s="23">
        <f t="shared" ref="E21:G21" si="0">((E19+E20)-(D19+D20))*24</f>
        <v>64.835555555589963</v>
      </c>
      <c r="F21" s="23">
        <f t="shared" si="0"/>
        <v>21.290833333390765</v>
      </c>
      <c r="G21" s="23">
        <f t="shared" si="0"/>
        <v>16.536666666681413</v>
      </c>
      <c r="H21" s="23">
        <f t="shared" ref="H21" si="1">((H19+H20)-(G19+G20))*24</f>
        <v>16.536111110995989</v>
      </c>
      <c r="I21" s="23">
        <f t="shared" ref="I21:J21" si="2">((I19+I20)-(H19+H20))*24</f>
        <v>16.536666666681413</v>
      </c>
      <c r="J21" s="23">
        <f t="shared" si="2"/>
        <v>16.536388889013324</v>
      </c>
      <c r="K21" s="23">
        <f t="shared" ref="K21" si="3">((K19+K20)-(J19+J20))*24</f>
        <v>16.536388888838701</v>
      </c>
      <c r="L21" s="23">
        <f t="shared" ref="L21:N21" si="4">((L19+L20)-(K19+K20))*24</f>
        <v>16.536388888838701</v>
      </c>
      <c r="M21" s="23">
        <f t="shared" si="4"/>
        <v>16.536388888838701</v>
      </c>
      <c r="N21" s="23">
        <f t="shared" si="4"/>
        <v>19.431388888915535</v>
      </c>
      <c r="O21" s="23">
        <f t="shared" ref="O21" si="5">((O19+O20)-(N19+N20))*24</f>
        <v>2.9433333333581686</v>
      </c>
      <c r="P21" s="23">
        <f t="shared" ref="P21" si="6">((P19+P20)-(O19+O20))*24</f>
        <v>4.1338888888712972</v>
      </c>
      <c r="Q21" s="23">
        <f t="shared" ref="Q21" si="7">((Q19+Q20)-(P19+P20))*24</f>
        <v>2.0675000001210719</v>
      </c>
      <c r="R21" s="23">
        <f t="shared" ref="R21" si="8">((R19+R20)-(Q19+Q20))*24</f>
        <v>2.0669444444356486</v>
      </c>
      <c r="S21" s="23">
        <f t="shared" ref="S21" si="9">((S19+S20)-(R19+R20))*24</f>
        <v>2.0669444444356486</v>
      </c>
      <c r="T21" s="23">
        <f t="shared" ref="T21" si="10">((T19+T20)-(S19+S20))*24</f>
        <v>2.0672222221037373</v>
      </c>
      <c r="U21" s="23">
        <f t="shared" ref="U21:V21" si="11">((U19+U20)-(T19+T20))*24</f>
        <v>4.1341666667140089</v>
      </c>
      <c r="V21" s="23">
        <f t="shared" si="11"/>
        <v>-1110226.4872222221</v>
      </c>
      <c r="W21" s="23"/>
    </row>
    <row r="22" spans="1:23" s="39" customFormat="1">
      <c r="A22" s="94" t="s">
        <v>951</v>
      </c>
      <c r="B22" s="39" t="s">
        <v>952</v>
      </c>
      <c r="D22" s="39">
        <f>D21</f>
        <v>41.694444444437977</v>
      </c>
      <c r="E22" s="39">
        <f>E21+D22-40</f>
        <v>66.53000000002794</v>
      </c>
      <c r="F22" s="39">
        <f t="shared" ref="F22:G22" si="12">F21+E22</f>
        <v>87.820833333418705</v>
      </c>
      <c r="G22" s="39">
        <f t="shared" si="12"/>
        <v>104.35750000010012</v>
      </c>
      <c r="H22" s="39">
        <f t="shared" ref="H22" si="13">H21+G22</f>
        <v>120.89361111109611</v>
      </c>
      <c r="I22" s="39">
        <f t="shared" ref="I22:J22" si="14">I21+H22</f>
        <v>137.43027777777752</v>
      </c>
      <c r="J22" s="39">
        <f t="shared" si="14"/>
        <v>153.96666666679084</v>
      </c>
      <c r="K22" s="39">
        <f t="shared" ref="K22" si="15">K21+J22</f>
        <v>170.50305555562954</v>
      </c>
      <c r="L22" s="39">
        <f t="shared" ref="L22:N22" si="16">L21+K22</f>
        <v>187.03944444446824</v>
      </c>
      <c r="M22" s="39">
        <f t="shared" si="16"/>
        <v>203.57583333330695</v>
      </c>
      <c r="N22" s="39">
        <f t="shared" si="16"/>
        <v>223.00722222222248</v>
      </c>
      <c r="O22" s="39">
        <f t="shared" ref="O22" si="17">O21+N22</f>
        <v>225.95055555558065</v>
      </c>
      <c r="P22" s="39">
        <f t="shared" ref="P22" si="18">P21+O22</f>
        <v>230.08444444445195</v>
      </c>
      <c r="Q22" s="39">
        <f t="shared" ref="Q22" si="19">Q21+P22</f>
        <v>232.15194444457302</v>
      </c>
      <c r="R22" s="39">
        <f t="shared" ref="R22" si="20">R21+Q22</f>
        <v>234.21888888900867</v>
      </c>
      <c r="S22" s="39">
        <f t="shared" ref="S22" si="21">S21+R22</f>
        <v>236.28583333344432</v>
      </c>
      <c r="T22" s="39">
        <f t="shared" ref="T22" si="22">T21+S22</f>
        <v>238.35305555554805</v>
      </c>
      <c r="U22" s="39">
        <f t="shared" ref="U22:V22" si="23">U21+T22</f>
        <v>242.48722222226206</v>
      </c>
      <c r="V22" s="39">
        <f t="shared" si="23"/>
        <v>-1109984</v>
      </c>
    </row>
    <row r="23" spans="1:23" s="152" customFormat="1">
      <c r="A23" s="151" t="s">
        <v>114</v>
      </c>
      <c r="B23" s="99" t="s">
        <v>115</v>
      </c>
      <c r="C23" s="99"/>
      <c r="D23" s="88" cm="1">
        <f t="array" ref="D23:U23">TRANSPOSE(_xlfn._xlws.FILTER('Raw Data'!F2:F505,('Raw Data'!B2:B505=7)*('Raw Data'!F2:F505&lt;&gt;"")))</f>
        <v>25.026</v>
      </c>
      <c r="E23" s="92">
        <v>24.995699999999999</v>
      </c>
      <c r="F23" s="92">
        <v>24.992799999999999</v>
      </c>
      <c r="G23" s="92">
        <v>25.011600000000001</v>
      </c>
      <c r="H23" s="92">
        <v>25.0289</v>
      </c>
      <c r="I23" s="92">
        <v>25.010100000000001</v>
      </c>
      <c r="J23" s="92">
        <v>25.063700000000001</v>
      </c>
      <c r="K23" s="92">
        <v>25.052099999999999</v>
      </c>
      <c r="L23" s="92">
        <v>25.0535</v>
      </c>
      <c r="M23" s="92">
        <v>25.0535</v>
      </c>
      <c r="N23" s="92">
        <v>25.065100000000001</v>
      </c>
      <c r="O23" s="92">
        <v>25.044799999999999</v>
      </c>
      <c r="P23" s="92">
        <v>25.047699999999999</v>
      </c>
      <c r="Q23" s="92">
        <v>25.052099999999999</v>
      </c>
      <c r="R23" s="92">
        <v>25.047699999999999</v>
      </c>
      <c r="S23" s="92">
        <v>25.052099999999999</v>
      </c>
      <c r="T23" s="92">
        <v>25.069400000000002</v>
      </c>
      <c r="U23" s="92">
        <v>25.062200000000001</v>
      </c>
      <c r="V23" s="92"/>
      <c r="W23" s="92"/>
    </row>
    <row r="24" spans="1:23" s="152" customFormat="1">
      <c r="A24" s="151" t="s">
        <v>953</v>
      </c>
      <c r="B24" s="99" t="s">
        <v>954</v>
      </c>
      <c r="C24" s="99"/>
      <c r="D24" s="92" cm="1">
        <f t="array" ref="D24:U24">TRANSPOSE(_xlfn._xlws.FILTER('Raw Data'!D2:D505,('Raw Data'!B2:B505=7)*('Raw Data'!D2:D505&lt;&gt;"")))</f>
        <v>210</v>
      </c>
      <c r="E24" s="92">
        <v>220</v>
      </c>
      <c r="F24" s="92">
        <v>220</v>
      </c>
      <c r="G24" s="92">
        <v>215</v>
      </c>
      <c r="H24" s="92">
        <v>215</v>
      </c>
      <c r="I24" s="92">
        <v>215</v>
      </c>
      <c r="J24" s="92">
        <v>210</v>
      </c>
      <c r="K24" s="92">
        <v>210</v>
      </c>
      <c r="L24" s="92">
        <v>205</v>
      </c>
      <c r="M24" s="92">
        <v>200</v>
      </c>
      <c r="N24" s="84">
        <v>200</v>
      </c>
      <c r="O24" s="84">
        <v>200</v>
      </c>
      <c r="P24" s="84">
        <v>210</v>
      </c>
      <c r="Q24" s="84">
        <v>210</v>
      </c>
      <c r="R24" s="84">
        <v>210.1</v>
      </c>
      <c r="S24" s="84">
        <v>210</v>
      </c>
      <c r="T24" s="84">
        <v>210</v>
      </c>
      <c r="U24" s="84">
        <v>190.2</v>
      </c>
      <c r="V24" s="92"/>
      <c r="W24" s="92"/>
    </row>
    <row r="25" spans="1:23" s="85" customFormat="1">
      <c r="A25" s="151" t="s">
        <v>56</v>
      </c>
      <c r="B25" s="99" t="s">
        <v>118</v>
      </c>
      <c r="C25" s="99"/>
      <c r="D25" s="88">
        <f>D37/$D$7/2</f>
        <v>1.5308556164240228</v>
      </c>
      <c r="E25" s="90">
        <f>E37/$D$7/2</f>
        <v>1.5695276974418519</v>
      </c>
      <c r="F25" s="88">
        <f>F37/$D$7/2</f>
        <v>1.5327819068245452</v>
      </c>
      <c r="G25" s="88">
        <f>G37/$D$7/2</f>
        <v>1.5858500124934349</v>
      </c>
      <c r="H25" s="88">
        <f t="shared" ref="H25:I25" si="24">H37/$D$7/2</f>
        <v>1.5188738779921707</v>
      </c>
      <c r="I25" s="88">
        <f t="shared" si="24"/>
        <v>1.527075200747851</v>
      </c>
      <c r="J25" s="88">
        <f t="shared" ref="J25:L25" si="25">J37/$D$7/2</f>
        <v>1.611456999483696</v>
      </c>
      <c r="K25" s="88">
        <f t="shared" si="25"/>
        <v>1.5975401919778283</v>
      </c>
      <c r="L25" s="88">
        <f t="shared" si="25"/>
        <v>1.6669223580901904</v>
      </c>
      <c r="M25" s="88">
        <f t="shared" ref="M25:N25" si="26">M37/$D$7/2</f>
        <v>1.7338398451512493</v>
      </c>
      <c r="N25" s="88">
        <f t="shared" si="26"/>
        <v>1.5002894840116436</v>
      </c>
      <c r="O25" s="88">
        <f t="shared" ref="O25:T25" si="27">O37/$D$7/2</f>
        <v>1.5917945107282865</v>
      </c>
      <c r="P25" s="88">
        <f t="shared" si="27"/>
        <v>1.5060763110050788</v>
      </c>
      <c r="Q25" s="88">
        <f t="shared" si="27"/>
        <v>1.5230108802899025</v>
      </c>
      <c r="R25" s="88">
        <f t="shared" si="27"/>
        <v>1.5245285838599283</v>
      </c>
      <c r="S25" s="88">
        <f t="shared" si="27"/>
        <v>1.5418897136258005</v>
      </c>
      <c r="T25" s="88">
        <f t="shared" si="27"/>
        <v>1.5811126926018571</v>
      </c>
      <c r="U25" s="90">
        <f t="shared" ref="U25" si="28">U37/$D$7/2</f>
        <v>1.5123705709983202</v>
      </c>
      <c r="V25" s="90" t="e">
        <f t="shared" ref="V25" si="29">V37/$D$7/2</f>
        <v>#DIV/0!</v>
      </c>
      <c r="W25" s="90"/>
    </row>
    <row r="26" spans="1:23" s="85" customFormat="1">
      <c r="A26" s="151" t="s">
        <v>119</v>
      </c>
      <c r="B26" s="99" t="s">
        <v>955</v>
      </c>
      <c r="C26" s="99"/>
      <c r="D26" s="88">
        <f>(D35/2)/(D37/$D$6)</f>
        <v>3.8248051122782347</v>
      </c>
      <c r="E26" s="88">
        <f t="shared" ref="E26:F26" si="30">(E35/2)/(E37/$D$6)</f>
        <v>2.9278698831491319</v>
      </c>
      <c r="F26" s="88">
        <f t="shared" si="30"/>
        <v>2.9814634386950924</v>
      </c>
      <c r="G26" s="88">
        <f t="shared" ref="G26:I26" si="31">(G35/2)/(G37/$D$6)</f>
        <v>2.9619838691316303</v>
      </c>
      <c r="H26" s="88">
        <f t="shared" si="31"/>
        <v>3.0631510670623614</v>
      </c>
      <c r="I26" s="88">
        <f t="shared" si="31"/>
        <v>3.0601840469964947</v>
      </c>
      <c r="J26" s="88">
        <f t="shared" ref="J26:L26" si="32">(J35/2)/(J37/$D$6)</f>
        <v>2.9099104642054732</v>
      </c>
      <c r="K26" s="88">
        <f t="shared" si="32"/>
        <v>2.9503860625979148</v>
      </c>
      <c r="L26" s="88">
        <f t="shared" si="32"/>
        <v>3.4959064575252938</v>
      </c>
      <c r="M26" s="88">
        <f t="shared" ref="M26:N26" si="33">(M35/2)/(M37/$D$6)</f>
        <v>2.8033692389668223</v>
      </c>
      <c r="N26" s="88">
        <f t="shared" si="33"/>
        <v>3.2223318326029933</v>
      </c>
      <c r="O26" s="88">
        <f t="shared" ref="O26:T26" si="34">(O35/2)/(O37/$D$6)</f>
        <v>3.0477427485394184</v>
      </c>
      <c r="P26" s="88">
        <f t="shared" si="34"/>
        <v>3.1472332888862429</v>
      </c>
      <c r="Q26" s="88">
        <f t="shared" si="34"/>
        <v>3.1173145812632033</v>
      </c>
      <c r="R26" s="88">
        <f t="shared" si="34"/>
        <v>3.1089990446571925</v>
      </c>
      <c r="S26" s="88">
        <f t="shared" si="34"/>
        <v>3.0771570457229576</v>
      </c>
      <c r="T26" s="88">
        <f t="shared" si="34"/>
        <v>3.0075416876353058</v>
      </c>
      <c r="U26" s="88">
        <f t="shared" ref="U26" si="35">(U35/2)/(U37/$D$6)</f>
        <v>3.2698872971103743</v>
      </c>
      <c r="V26" s="88" t="e">
        <f t="shared" ref="V26" si="36">(V35/2)/(V37/$D$6)</f>
        <v>#DIV/0!</v>
      </c>
      <c r="W26" s="88"/>
    </row>
    <row r="27" spans="1:23">
      <c r="A27" s="22" t="s">
        <v>956</v>
      </c>
      <c r="B27" s="2" t="s">
        <v>130</v>
      </c>
      <c r="D27" s="2">
        <v>3.2</v>
      </c>
      <c r="E27" s="2">
        <v>3.2</v>
      </c>
      <c r="F27" s="2">
        <v>3.2</v>
      </c>
      <c r="G27" s="2">
        <v>3.2</v>
      </c>
      <c r="H27" s="2">
        <v>3.2</v>
      </c>
      <c r="I27" s="2">
        <v>3.2</v>
      </c>
      <c r="J27" s="2">
        <v>3.2</v>
      </c>
      <c r="K27" s="2">
        <v>3.2</v>
      </c>
      <c r="L27" s="2">
        <v>3.2</v>
      </c>
      <c r="M27" s="2">
        <v>3.2</v>
      </c>
      <c r="N27" s="2">
        <v>3.2</v>
      </c>
      <c r="O27" s="2">
        <v>3.2</v>
      </c>
      <c r="P27" s="2">
        <v>3.2</v>
      </c>
      <c r="Q27" s="2">
        <v>3.2</v>
      </c>
      <c r="R27" s="2">
        <v>3.2</v>
      </c>
      <c r="S27" s="2">
        <v>3.2</v>
      </c>
      <c r="T27" s="2">
        <v>3.2</v>
      </c>
      <c r="U27" s="2">
        <v>3.2</v>
      </c>
      <c r="V27" s="2">
        <v>3.2</v>
      </c>
    </row>
    <row r="28" spans="1:23" s="79" customFormat="1">
      <c r="A28" s="111" t="s">
        <v>957</v>
      </c>
      <c r="B28" s="23" t="s">
        <v>958</v>
      </c>
      <c r="C28" s="23"/>
      <c r="D28" s="23" cm="1">
        <f t="array" ref="D28:U28">TRANSPOSE(_xlfn._xlws.FILTER('Raw Data'!AJ2:AJ505,('Raw Data'!B2:B505=7)*('Raw Data'!AJ2:AJ505&lt;&gt;"")))</f>
        <v>35.54119</v>
      </c>
      <c r="E28" s="23">
        <v>29.674710000000001</v>
      </c>
      <c r="F28" s="23">
        <v>29.580513</v>
      </c>
      <c r="G28" s="23">
        <v>30.102246999999998</v>
      </c>
      <c r="H28" s="23">
        <v>30.058042</v>
      </c>
      <c r="I28" s="23">
        <v>30.122617999999999</v>
      </c>
      <c r="J28" s="23">
        <v>30.095631000000001</v>
      </c>
      <c r="K28" s="23">
        <v>30.236307</v>
      </c>
      <c r="L28" s="23">
        <v>34.869934000000001</v>
      </c>
      <c r="M28" s="23">
        <v>30.823105999999999</v>
      </c>
      <c r="N28" s="23">
        <v>31.227748999999999</v>
      </c>
      <c r="O28" s="23">
        <v>31.094752</v>
      </c>
      <c r="P28" s="23">
        <v>30.574020999999998</v>
      </c>
      <c r="Q28" s="23">
        <v>30.566758</v>
      </c>
      <c r="R28" s="23">
        <v>30.526602</v>
      </c>
      <c r="S28" s="23">
        <v>30.507559000000001</v>
      </c>
      <c r="T28" s="23">
        <v>30.462831000000001</v>
      </c>
      <c r="U28" s="23">
        <v>31.866382000000002</v>
      </c>
      <c r="V28" s="23"/>
      <c r="W28" s="23"/>
    </row>
    <row r="29" spans="1:23" s="97" customFormat="1">
      <c r="A29" s="112" t="s">
        <v>956</v>
      </c>
      <c r="B29" s="26" t="s">
        <v>958</v>
      </c>
      <c r="C29" s="26"/>
      <c r="D29" s="23" cm="1">
        <f t="array" ref="D29:U29">TRANSPOSE(_xlfn._xlws.FILTER('Raw Data'!AN2:AN505,('Raw Data'!B2:B505=7)*('Raw Data'!AN2:AN505&lt;&gt;"")))</f>
        <v>54.065942</v>
      </c>
      <c r="E29" s="26">
        <v>57.523778</v>
      </c>
      <c r="F29" s="26">
        <v>57.660383000000003</v>
      </c>
      <c r="G29" s="26">
        <v>57.086812000000002</v>
      </c>
      <c r="H29" s="26">
        <v>57.550915000000003</v>
      </c>
      <c r="I29" s="26">
        <v>57.420426999999997</v>
      </c>
      <c r="J29" s="26">
        <v>57.172446999999998</v>
      </c>
      <c r="K29" s="26">
        <v>57.145203000000002</v>
      </c>
      <c r="L29" s="26">
        <v>53.303733000000001</v>
      </c>
      <c r="M29" s="26">
        <v>56.489637999999999</v>
      </c>
      <c r="N29" s="26">
        <v>57.540950000000002</v>
      </c>
      <c r="O29" s="26">
        <v>57.095708000000002</v>
      </c>
      <c r="P29" s="26">
        <v>57.459034000000003</v>
      </c>
      <c r="Q29" s="26">
        <v>57.351847999999997</v>
      </c>
      <c r="R29" s="26">
        <v>57.372526999999998</v>
      </c>
      <c r="S29" s="26">
        <v>57.277777999999998</v>
      </c>
      <c r="T29" s="26">
        <v>57.066003000000002</v>
      </c>
      <c r="U29" s="26">
        <v>57.401524999999999</v>
      </c>
      <c r="V29" s="26"/>
      <c r="W29" s="26"/>
    </row>
    <row r="30" spans="1:23">
      <c r="A30" s="22" t="s">
        <v>959</v>
      </c>
      <c r="B30" s="2" t="s">
        <v>958</v>
      </c>
      <c r="D30" s="26">
        <f t="shared" ref="D30:F30" si="37">100-D29-D28</f>
        <v>10.392868</v>
      </c>
      <c r="E30" s="26">
        <f t="shared" si="37"/>
        <v>12.801511999999999</v>
      </c>
      <c r="F30" s="26">
        <f t="shared" si="37"/>
        <v>12.759103999999997</v>
      </c>
      <c r="G30" s="26">
        <f t="shared" ref="G30:J30" si="38">100-G29-G28</f>
        <v>12.810941</v>
      </c>
      <c r="H30" s="26">
        <f t="shared" si="38"/>
        <v>12.391042999999996</v>
      </c>
      <c r="I30" s="26">
        <f t="shared" si="38"/>
        <v>12.456955000000004</v>
      </c>
      <c r="J30" s="26">
        <f t="shared" si="38"/>
        <v>12.731922000000001</v>
      </c>
      <c r="K30" s="26">
        <f t="shared" ref="K30:L30" si="39">100-K29-K28</f>
        <v>12.618489999999998</v>
      </c>
      <c r="L30" s="26">
        <f t="shared" si="39"/>
        <v>11.826332999999998</v>
      </c>
      <c r="M30" s="26">
        <f t="shared" ref="M30:N30" si="40">100-M29-M28</f>
        <v>12.687256000000001</v>
      </c>
      <c r="N30" s="26">
        <f t="shared" si="40"/>
        <v>11.231300999999998</v>
      </c>
      <c r="O30" s="26">
        <f t="shared" ref="O30:P30" si="41">100-O29-O28</f>
        <v>11.809539999999998</v>
      </c>
      <c r="P30" s="26">
        <f t="shared" si="41"/>
        <v>11.966944999999999</v>
      </c>
      <c r="Q30" s="26">
        <f t="shared" ref="Q30:U30" si="42">100-Q29-Q28</f>
        <v>12.081394000000003</v>
      </c>
      <c r="R30" s="26">
        <f t="shared" si="42"/>
        <v>12.100871000000001</v>
      </c>
      <c r="S30" s="26">
        <f t="shared" si="42"/>
        <v>12.214663000000002</v>
      </c>
      <c r="T30" s="26">
        <f t="shared" si="42"/>
        <v>12.471165999999997</v>
      </c>
      <c r="U30" s="26">
        <f t="shared" si="42"/>
        <v>10.732092999999999</v>
      </c>
      <c r="V30" s="26">
        <f t="shared" ref="V30" si="43">100-V29-V28</f>
        <v>100</v>
      </c>
      <c r="W30" s="26"/>
    </row>
    <row r="31" spans="1:23">
      <c r="A31" s="22" t="s">
        <v>81</v>
      </c>
      <c r="B31" s="2" t="s">
        <v>958</v>
      </c>
      <c r="D31" s="2">
        <f t="shared" ref="D31:F31" si="44">SUM(D28:D30)</f>
        <v>100</v>
      </c>
      <c r="E31" s="2">
        <f t="shared" si="44"/>
        <v>100</v>
      </c>
      <c r="F31" s="2">
        <f t="shared" si="44"/>
        <v>100</v>
      </c>
      <c r="G31" s="2">
        <f t="shared" ref="G31:J31" si="45">SUM(G28:G30)</f>
        <v>100</v>
      </c>
      <c r="H31" s="2">
        <f t="shared" si="45"/>
        <v>100</v>
      </c>
      <c r="I31" s="2">
        <f t="shared" si="45"/>
        <v>100</v>
      </c>
      <c r="J31" s="2">
        <f t="shared" si="45"/>
        <v>100</v>
      </c>
      <c r="K31" s="2">
        <f t="shared" ref="K31:L31" si="46">SUM(K28:K30)</f>
        <v>100</v>
      </c>
      <c r="L31" s="2">
        <f t="shared" si="46"/>
        <v>100</v>
      </c>
      <c r="M31" s="2">
        <f t="shared" ref="M31:N31" si="47">SUM(M28:M30)</f>
        <v>100</v>
      </c>
      <c r="N31" s="2">
        <f t="shared" si="47"/>
        <v>100</v>
      </c>
      <c r="O31" s="2">
        <f t="shared" ref="O31:P31" si="48">SUM(O28:O30)</f>
        <v>100</v>
      </c>
      <c r="P31" s="2">
        <f t="shared" si="48"/>
        <v>100</v>
      </c>
      <c r="Q31" s="2">
        <f t="shared" ref="Q31:U31" si="49">SUM(Q28:Q30)</f>
        <v>100</v>
      </c>
      <c r="R31" s="2">
        <f t="shared" si="49"/>
        <v>100</v>
      </c>
      <c r="S31" s="2">
        <f t="shared" si="49"/>
        <v>100</v>
      </c>
      <c r="T31" s="2">
        <f t="shared" si="49"/>
        <v>100</v>
      </c>
      <c r="U31" s="2">
        <f t="shared" si="49"/>
        <v>100</v>
      </c>
      <c r="V31" s="2">
        <f t="shared" ref="V31" si="50">SUM(V28:V30)</f>
        <v>100</v>
      </c>
    </row>
    <row r="32" spans="1:23" s="26" customFormat="1">
      <c r="A32" s="112" t="s">
        <v>650</v>
      </c>
      <c r="B32" s="96" t="s">
        <v>89</v>
      </c>
      <c r="C32" s="96"/>
      <c r="D32" s="23" cm="1">
        <f t="array" ref="D32:U32">TRANSPOSE(_xlfn._xlws.FILTER('Raw Data'!CP2:CP505,('Raw Data'!B2:B505=7)*('Raw Data'!CP2:CP505&lt;&gt;"")))</f>
        <v>79.864814999999993</v>
      </c>
      <c r="E32" s="26">
        <v>70.943329000000006</v>
      </c>
      <c r="F32" s="26">
        <v>69.725616000000002</v>
      </c>
      <c r="G32" s="26">
        <v>71.059212000000002</v>
      </c>
      <c r="H32" s="26">
        <v>70.970200000000006</v>
      </c>
      <c r="I32" s="26">
        <v>70.819587999999996</v>
      </c>
      <c r="J32" s="26">
        <v>72.744147999999996</v>
      </c>
      <c r="K32" s="26">
        <v>72.729843000000002</v>
      </c>
      <c r="L32" s="26">
        <v>75.447654999999997</v>
      </c>
      <c r="M32" s="26">
        <v>77.466103000000004</v>
      </c>
      <c r="N32" s="26">
        <v>77.139083999999997</v>
      </c>
      <c r="O32" s="26">
        <v>77.231735</v>
      </c>
      <c r="P32" s="26">
        <v>72.696845999999994</v>
      </c>
      <c r="Q32" s="26">
        <v>72.682456999999999</v>
      </c>
      <c r="R32" s="26">
        <v>72.664482000000007</v>
      </c>
      <c r="S32" s="26">
        <v>72.687134</v>
      </c>
      <c r="T32" s="26">
        <v>72.731262000000001</v>
      </c>
      <c r="U32" s="26">
        <v>81.071563999999995</v>
      </c>
    </row>
    <row r="33" spans="1:23" s="23" customFormat="1">
      <c r="A33" s="111" t="s">
        <v>960</v>
      </c>
      <c r="B33" s="23" t="s">
        <v>8</v>
      </c>
      <c r="D33" s="23">
        <f>SUMPRODUCT($C$42:$C$77,D42:D77)</f>
        <v>83.535875511399993</v>
      </c>
      <c r="E33" s="23">
        <f>SUMPRODUCT($C$42:$C$77,E42:E77)</f>
        <v>83.272797710700004</v>
      </c>
      <c r="F33" s="23">
        <f>SUMPRODUCT($C$42:$C$77,F42:F77)</f>
        <v>83.215639028399991</v>
      </c>
      <c r="G33" s="23">
        <f>SUMPRODUCT($C$42:$C$77,G42:G77)</f>
        <v>83.302125727599986</v>
      </c>
      <c r="H33" s="23">
        <f t="shared" ref="H33:I33" si="51">SUMPRODUCT($C$42:$C$77,H42:H77)</f>
        <v>83.26253982099999</v>
      </c>
      <c r="I33" s="23">
        <f t="shared" si="51"/>
        <v>83.257075616999998</v>
      </c>
      <c r="J33" s="23">
        <f t="shared" ref="J33:L33" si="52">SUMPRODUCT($C$42:$C$77,J42:J77)</f>
        <v>83.32456832550001</v>
      </c>
      <c r="K33" s="23">
        <f t="shared" si="52"/>
        <v>83.324196949199987</v>
      </c>
      <c r="L33" s="23">
        <f t="shared" si="52"/>
        <v>83.413577674699994</v>
      </c>
      <c r="M33" s="23">
        <f t="shared" ref="M33:N33" si="53">SUMPRODUCT($C$42:$C$77,M42:M77)</f>
        <v>83.475294621500012</v>
      </c>
      <c r="N33" s="23">
        <f t="shared" si="53"/>
        <v>83.465529073099958</v>
      </c>
      <c r="O33" s="23">
        <f t="shared" ref="O33:T33" si="54">SUMPRODUCT($C$42:$C$77,O42:O77)</f>
        <v>83.4682473262</v>
      </c>
      <c r="P33" s="23">
        <f t="shared" si="54"/>
        <v>83.323218214799979</v>
      </c>
      <c r="Q33" s="23">
        <f t="shared" si="54"/>
        <v>83.322707990899971</v>
      </c>
      <c r="R33" s="23">
        <f t="shared" si="54"/>
        <v>83.322125301899973</v>
      </c>
      <c r="S33" s="23">
        <f t="shared" si="54"/>
        <v>83.322067940699995</v>
      </c>
      <c r="T33" s="23">
        <f t="shared" si="54"/>
        <v>83.324304674899977</v>
      </c>
      <c r="U33" s="23">
        <f t="shared" ref="U33" si="55">SUMPRODUCT($C$42:$C$77,U42:U77)</f>
        <v>83.577287371400004</v>
      </c>
      <c r="V33" s="23">
        <f t="shared" ref="V33" si="56">SUMPRODUCT($C$42:$C$77,V42:V77)</f>
        <v>0</v>
      </c>
    </row>
    <row r="34" spans="1:23" s="23" customFormat="1">
      <c r="A34" s="111" t="s">
        <v>961</v>
      </c>
      <c r="B34" s="23" t="s">
        <v>8</v>
      </c>
      <c r="D34" s="23">
        <f>100-D33</f>
        <v>16.464124488600007</v>
      </c>
      <c r="E34" s="23">
        <f t="shared" ref="E34:F34" si="57">100-E33</f>
        <v>16.727202289299996</v>
      </c>
      <c r="F34" s="23">
        <f t="shared" si="57"/>
        <v>16.784360971600009</v>
      </c>
      <c r="G34" s="23">
        <f t="shared" ref="G34:I34" si="58">100-G33</f>
        <v>16.697874272400014</v>
      </c>
      <c r="H34" s="23">
        <f t="shared" si="58"/>
        <v>16.73746017900001</v>
      </c>
      <c r="I34" s="23">
        <f t="shared" si="58"/>
        <v>16.742924383000002</v>
      </c>
      <c r="J34" s="23">
        <f t="shared" ref="J34:L34" si="59">100-J33</f>
        <v>16.67543167449999</v>
      </c>
      <c r="K34" s="23">
        <f t="shared" si="59"/>
        <v>16.675803050800013</v>
      </c>
      <c r="L34" s="23">
        <f t="shared" si="59"/>
        <v>16.586422325300006</v>
      </c>
      <c r="M34" s="23">
        <f t="shared" ref="M34:N34" si="60">100-M33</f>
        <v>16.524705378499988</v>
      </c>
      <c r="N34" s="23">
        <f t="shared" si="60"/>
        <v>16.534470926900042</v>
      </c>
      <c r="O34" s="23">
        <f t="shared" ref="O34:T34" si="61">100-O33</f>
        <v>16.5317526738</v>
      </c>
      <c r="P34" s="23">
        <f t="shared" si="61"/>
        <v>16.676781785200021</v>
      </c>
      <c r="Q34" s="23">
        <f t="shared" si="61"/>
        <v>16.677292009100029</v>
      </c>
      <c r="R34" s="23">
        <f t="shared" si="61"/>
        <v>16.677874698100027</v>
      </c>
      <c r="S34" s="23">
        <f t="shared" si="61"/>
        <v>16.677932059300005</v>
      </c>
      <c r="T34" s="23">
        <f t="shared" si="61"/>
        <v>16.675695325100023</v>
      </c>
      <c r="U34" s="23">
        <f t="shared" ref="U34" si="62">100-U33</f>
        <v>16.422712628599996</v>
      </c>
      <c r="V34" s="23">
        <f t="shared" ref="V34" si="63">100-V33</f>
        <v>100</v>
      </c>
    </row>
    <row r="35" spans="1:23">
      <c r="A35" s="22" t="s">
        <v>957</v>
      </c>
      <c r="B35" s="2" t="s">
        <v>110</v>
      </c>
      <c r="D35" s="95">
        <f>(D27/(D29/100))*(D28/100)*(273/293)*(2/22.4)</f>
        <v>0.17499884125509527</v>
      </c>
      <c r="E35" s="95">
        <f t="shared" ref="E35:F35" si="64">(E27/(E29/100))*(E28/100)*(0.0416)*2</f>
        <v>0.13734485225222862</v>
      </c>
      <c r="F35" s="95">
        <f t="shared" si="64"/>
        <v>0.13658452079862179</v>
      </c>
      <c r="G35" s="95">
        <f t="shared" ref="G35:I35" si="65">(G27/(G29/100))*(G28/100)*(0.0416)*2</f>
        <v>0.14039008241132822</v>
      </c>
      <c r="H35" s="95">
        <f t="shared" si="65"/>
        <v>0.13905344688403304</v>
      </c>
      <c r="I35" s="95">
        <f t="shared" si="65"/>
        <v>0.13966886411903556</v>
      </c>
      <c r="J35" s="95">
        <f t="shared" ref="J35:L35" si="66">(J27/(J29/100))*(J28/100)*(0.0416)*2</f>
        <v>0.14014899165396927</v>
      </c>
      <c r="K35" s="95">
        <f t="shared" si="66"/>
        <v>0.14087121845870423</v>
      </c>
      <c r="L35" s="95">
        <f t="shared" si="66"/>
        <v>0.17416737450939881</v>
      </c>
      <c r="M35" s="95">
        <f t="shared" ref="M35:N35" si="67">(M27/(M29/100))*(M28/100)*(0.0416)*2</f>
        <v>0.14527166453854776</v>
      </c>
      <c r="N35" s="95">
        <f t="shared" si="67"/>
        <v>0.14448972242828803</v>
      </c>
      <c r="O35" s="95">
        <f t="shared" ref="O35:T35" si="68">(O27/(O29/100))*(O28/100)*(0.0416)*2</f>
        <v>0.14499630642079084</v>
      </c>
      <c r="P35" s="95">
        <f t="shared" si="68"/>
        <v>0.14166662375563083</v>
      </c>
      <c r="Q35" s="95">
        <f t="shared" si="68"/>
        <v>0.14189767084610772</v>
      </c>
      <c r="R35" s="95">
        <f t="shared" si="68"/>
        <v>0.14166018025456681</v>
      </c>
      <c r="S35" s="95">
        <f t="shared" si="68"/>
        <v>0.14180599862236276</v>
      </c>
      <c r="T35" s="95">
        <f t="shared" si="68"/>
        <v>0.14212357093662228</v>
      </c>
      <c r="U35" s="95">
        <f t="shared" ref="U35" si="69">(U27/(U29/100))*(U28/100)*(0.0416)*2</f>
        <v>0.1478027899725661</v>
      </c>
      <c r="V35" s="95" t="e">
        <f t="shared" ref="V35" si="70">(V27/(V29/100))*(V28/100)*(0.0416)*2</f>
        <v>#DIV/0!</v>
      </c>
      <c r="W35" s="95"/>
    </row>
    <row r="36" spans="1:23">
      <c r="A36" s="22" t="s">
        <v>959</v>
      </c>
      <c r="B36" s="2" t="s">
        <v>110</v>
      </c>
      <c r="D36" s="23">
        <f>(D27/(D29/100))*(D30/100)*(273/293)*(D32/22.4)</f>
        <v>2.0434504618129186</v>
      </c>
      <c r="E36" s="23">
        <f t="shared" ref="E36:F36" si="71">(E27/(E29/100))*(E30/100)*(0.0416)*(E32)</f>
        <v>2.1016903920078089</v>
      </c>
      <c r="F36" s="23">
        <f t="shared" si="71"/>
        <v>2.0538954051934315</v>
      </c>
      <c r="G36" s="23">
        <f t="shared" ref="G36:I36" si="72">(G27/(G29/100))*(G30/100)*(0.0416)*(G32)</f>
        <v>2.1227993039620445</v>
      </c>
      <c r="H36" s="23">
        <f t="shared" si="72"/>
        <v>2.0341125030794731</v>
      </c>
      <c r="I36" s="23">
        <f t="shared" si="72"/>
        <v>2.0452301328496563</v>
      </c>
      <c r="J36" s="23">
        <f t="shared" ref="J36:L36" si="73">(J27/(J29/100))*(J30/100)*(0.0416)*(J32)</f>
        <v>2.1564955155949814</v>
      </c>
      <c r="K36" s="23">
        <f t="shared" si="73"/>
        <v>2.1378811943848017</v>
      </c>
      <c r="L36" s="23">
        <f t="shared" si="73"/>
        <v>2.2283403967267015</v>
      </c>
      <c r="M36" s="23">
        <f t="shared" ref="M36:N36" si="74">(M27/(M29/100))*(M30/100)*(0.0416)*(M32)</f>
        <v>2.3160819887834645</v>
      </c>
      <c r="N36" s="23">
        <f t="shared" si="74"/>
        <v>2.0043373762726189</v>
      </c>
      <c r="O36" s="23">
        <f t="shared" ref="O36:T36" si="75">(O27/(O29/100))*(O30/100)*(0.0416)*(O32)</f>
        <v>2.1265158255092116</v>
      </c>
      <c r="P36" s="23">
        <f t="shared" si="75"/>
        <v>2.0155048739665231</v>
      </c>
      <c r="Q36" s="23">
        <f t="shared" si="75"/>
        <v>2.0381800222960798</v>
      </c>
      <c r="R36" s="23">
        <f t="shared" si="75"/>
        <v>2.0402253673948167</v>
      </c>
      <c r="S36" s="23">
        <f t="shared" si="75"/>
        <v>2.0634606044292867</v>
      </c>
      <c r="T36" s="23">
        <f t="shared" si="75"/>
        <v>2.1158946351172232</v>
      </c>
      <c r="U36" s="23">
        <f t="shared" ref="U36" si="76">(U27/(U29/100))*(U30/100)*(0.0416)*(U32)</f>
        <v>2.0177755588671125</v>
      </c>
      <c r="V36" s="23" t="e">
        <f t="shared" ref="V36" si="77">(V27/(V29/100))*(V30/100)*(0.0416)*(V32)</f>
        <v>#DIV/0!</v>
      </c>
      <c r="W36" s="23"/>
    </row>
    <row r="37" spans="1:23">
      <c r="A37" s="22" t="s">
        <v>962</v>
      </c>
      <c r="B37" s="2" t="s">
        <v>110</v>
      </c>
      <c r="D37" s="23">
        <f>(D36*D33)/($D$2)</f>
        <v>2.0360379698439504</v>
      </c>
      <c r="E37" s="23">
        <f>(E36*E33)/($D$2)</f>
        <v>2.0874718375976631</v>
      </c>
      <c r="F37" s="23">
        <f>(F36*F33)/($D$2)</f>
        <v>2.0385999360766451</v>
      </c>
      <c r="G37" s="23">
        <f>(G36*G33)/($D$2)</f>
        <v>2.1091805166162687</v>
      </c>
      <c r="H37" s="23">
        <f t="shared" ref="H37:I37" si="78">(H36*H33)/($D$2)</f>
        <v>2.0201022577295871</v>
      </c>
      <c r="I37" s="23">
        <f t="shared" si="78"/>
        <v>2.0310100169946419</v>
      </c>
      <c r="J37" s="23">
        <f t="shared" ref="J37:L37" si="79">(J36*J33)/($D$2)</f>
        <v>2.143237809313316</v>
      </c>
      <c r="K37" s="23">
        <f t="shared" si="79"/>
        <v>2.1247284553305117</v>
      </c>
      <c r="L37" s="23">
        <f t="shared" si="79"/>
        <v>2.2170067362599535</v>
      </c>
      <c r="M37" s="23">
        <f t="shared" ref="M37:N37" si="80">(M36*M33)/($D$2)</f>
        <v>2.3060069940511618</v>
      </c>
      <c r="N37" s="23">
        <f t="shared" si="80"/>
        <v>1.995385013735486</v>
      </c>
      <c r="O37" s="23">
        <f t="shared" ref="O37:T37" si="81">(O36*O33)/($D$2)</f>
        <v>2.1170866992686213</v>
      </c>
      <c r="P37" s="23">
        <f t="shared" si="81"/>
        <v>2.0030814936367549</v>
      </c>
      <c r="Q37" s="23">
        <f t="shared" si="81"/>
        <v>2.0256044707855705</v>
      </c>
      <c r="R37" s="23">
        <f t="shared" si="81"/>
        <v>2.0276230165337048</v>
      </c>
      <c r="S37" s="23">
        <f t="shared" si="81"/>
        <v>2.0507133191223148</v>
      </c>
      <c r="T37" s="23">
        <f t="shared" si="81"/>
        <v>2.1028798811604701</v>
      </c>
      <c r="U37" s="23">
        <f t="shared" ref="U37" si="82">(U36*U33)/($D$2)</f>
        <v>2.0114528594277661</v>
      </c>
      <c r="V37" s="23" t="e">
        <f t="shared" ref="V37" si="83">(V36*V33)/($D$2)</f>
        <v>#DIV/0!</v>
      </c>
      <c r="W37" s="23"/>
    </row>
    <row r="38" spans="1:23">
      <c r="A38" s="22" t="s">
        <v>963</v>
      </c>
      <c r="B38" s="2" t="s">
        <v>964</v>
      </c>
      <c r="D38" s="23">
        <f>D36/D35</f>
        <v>11.67693709945306</v>
      </c>
      <c r="E38" s="23">
        <f t="shared" ref="E38:F38" si="84">(E30*E32)/(E28*2)</f>
        <v>15.302287326707622</v>
      </c>
      <c r="F38" s="23">
        <f t="shared" si="84"/>
        <v>15.037541539730292</v>
      </c>
      <c r="G38" s="23">
        <f t="shared" ref="G38:I38" si="85">(G30*G32)/(G28*2)</f>
        <v>15.120721261082139</v>
      </c>
      <c r="H38" s="23">
        <f t="shared" si="85"/>
        <v>14.628278181236817</v>
      </c>
      <c r="I38" s="23">
        <f t="shared" si="85"/>
        <v>14.643422109501577</v>
      </c>
      <c r="J38" s="23">
        <f t="shared" ref="J38:L38" si="86">(J30*J32)/(J28*2)</f>
        <v>15.38716397560257</v>
      </c>
      <c r="K38" s="23">
        <f t="shared" si="86"/>
        <v>15.17613901388602</v>
      </c>
      <c r="L38" s="23">
        <f t="shared" si="86"/>
        <v>12.794246930595206</v>
      </c>
      <c r="M38" s="23">
        <f t="shared" ref="M38:N38" si="87">(M30*M32)/(M28*2)</f>
        <v>15.94310904428918</v>
      </c>
      <c r="N38" s="23">
        <f t="shared" si="87"/>
        <v>13.871833529664336</v>
      </c>
      <c r="O38" s="23">
        <f t="shared" ref="O38:T38" si="88">(O30*O32)/(O28*2)</f>
        <v>14.665999969253653</v>
      </c>
      <c r="P38" s="23">
        <f t="shared" si="88"/>
        <v>14.227097537407165</v>
      </c>
      <c r="Q38" s="23">
        <f t="shared" si="88"/>
        <v>14.363731343459097</v>
      </c>
      <c r="R38" s="23">
        <f t="shared" si="88"/>
        <v>14.402250256412787</v>
      </c>
      <c r="S38" s="23">
        <f t="shared" si="88"/>
        <v>14.551292783631789</v>
      </c>
      <c r="T38" s="23">
        <f t="shared" si="88"/>
        <v>14.887710892521639</v>
      </c>
      <c r="U38" s="23">
        <f t="shared" ref="U38" si="89">(U30*U32)/(U28*2)</f>
        <v>13.651809679923058</v>
      </c>
      <c r="V38" s="23" t="e">
        <f t="shared" ref="V38" si="90">(V30*V32)/(V28*2)</f>
        <v>#DIV/0!</v>
      </c>
      <c r="W38" s="23"/>
    </row>
    <row r="39" spans="1:23" s="91" customFormat="1">
      <c r="A39" s="94" t="s">
        <v>965</v>
      </c>
      <c r="B39" s="93" t="s">
        <v>89</v>
      </c>
      <c r="C39" s="93"/>
      <c r="D39" s="23" cm="1">
        <f t="array" ref="D39:U39">TRANSPOSE(_xlfn._xlws.FILTER('Raw Data'!CO2:CO505,('Raw Data'!B2:B505=7)*('Raw Data'!CO2:CO505&lt;&gt;"")))</f>
        <v>59.068134000000001</v>
      </c>
      <c r="E39" s="39">
        <v>76.659554</v>
      </c>
      <c r="F39" s="39">
        <v>78.560066000000006</v>
      </c>
      <c r="G39" s="39">
        <v>75.028892999999997</v>
      </c>
      <c r="H39" s="39">
        <v>75.232285000000005</v>
      </c>
      <c r="I39" s="39">
        <v>75.571297000000001</v>
      </c>
      <c r="J39" s="39">
        <v>71.397735999999995</v>
      </c>
      <c r="K39" s="39">
        <v>71.444748000000004</v>
      </c>
      <c r="L39" s="39">
        <v>65.661247000000003</v>
      </c>
      <c r="M39" s="39">
        <v>61.854472999999999</v>
      </c>
      <c r="N39" s="39">
        <v>62.459952999999999</v>
      </c>
      <c r="O39" s="39">
        <v>62.298180000000002</v>
      </c>
      <c r="P39" s="39">
        <v>71.500388999999998</v>
      </c>
      <c r="Q39" s="39">
        <v>71.541573</v>
      </c>
      <c r="R39" s="39">
        <v>71.581695999999994</v>
      </c>
      <c r="S39" s="39">
        <v>71.538826</v>
      </c>
      <c r="T39" s="39">
        <v>71.438972000000007</v>
      </c>
      <c r="U39" s="39">
        <v>55.101421000000002</v>
      </c>
      <c r="V39" s="39"/>
      <c r="W39" s="39"/>
    </row>
    <row r="40" spans="1:23" s="91" customFormat="1">
      <c r="A40" s="94" t="s">
        <v>966</v>
      </c>
      <c r="B40" s="93" t="s">
        <v>89</v>
      </c>
      <c r="C40" s="93"/>
      <c r="D40" s="73" cm="1">
        <f t="array" ref="D40:U40">TRANSPOSE(_xlfn._xlws.FILTER('Raw Data'!CQ2:CQ506,('Raw Data'!B2:B506=7)*('Raw Data'!CQ2:CQ506&lt;&gt;"")))</f>
        <v>0.63239000000000001</v>
      </c>
      <c r="E40" s="73">
        <v>0.56437899999999996</v>
      </c>
      <c r="F40" s="73">
        <v>0.55460500000000001</v>
      </c>
      <c r="G40" s="73">
        <v>0.56398099999999995</v>
      </c>
      <c r="H40" s="73">
        <v>0.56336799999999998</v>
      </c>
      <c r="I40" s="73">
        <v>0.561971</v>
      </c>
      <c r="J40" s="73">
        <v>0.620583</v>
      </c>
      <c r="K40" s="73">
        <v>0.609541</v>
      </c>
      <c r="L40" s="73">
        <v>0.62902999999999998</v>
      </c>
      <c r="M40" s="73">
        <v>0.63440799999999997</v>
      </c>
      <c r="N40" s="73">
        <v>0.63381900000000002</v>
      </c>
      <c r="O40" s="73">
        <v>0.63427900000000004</v>
      </c>
      <c r="P40" s="73">
        <v>0.60397400000000001</v>
      </c>
      <c r="Q40" s="73">
        <v>0.60399000000000003</v>
      </c>
      <c r="R40" s="73">
        <v>0.60389400000000004</v>
      </c>
      <c r="S40" s="73">
        <v>0.60392299999999999</v>
      </c>
      <c r="T40" s="73">
        <v>0.59942399999999996</v>
      </c>
      <c r="U40" s="73">
        <v>0.62612500000000004</v>
      </c>
      <c r="V40" s="73"/>
      <c r="W40" s="73"/>
    </row>
    <row r="41" spans="1:23" s="133" customFormat="1">
      <c r="A41" s="134"/>
      <c r="B41" s="131"/>
      <c r="C41" s="131" t="s">
        <v>651</v>
      </c>
      <c r="D41" s="135"/>
      <c r="E41" s="135"/>
      <c r="F41" s="135"/>
      <c r="G41" s="135"/>
      <c r="H41" s="135"/>
      <c r="I41" s="135"/>
      <c r="J41" s="135"/>
      <c r="K41" s="135"/>
      <c r="L41" s="135"/>
      <c r="N41" s="131"/>
      <c r="O41" s="131"/>
      <c r="P41" s="131"/>
      <c r="Q41" s="131"/>
      <c r="R41" s="131"/>
      <c r="S41" s="131"/>
      <c r="T41" s="131"/>
      <c r="U41" s="131"/>
      <c r="V41" s="131"/>
      <c r="W41" s="131"/>
    </row>
    <row r="42" spans="1:23" s="2" customFormat="1" ht="18.75" customHeight="1">
      <c r="A42" s="38" t="s">
        <v>9</v>
      </c>
      <c r="B42" s="2" t="s">
        <v>8</v>
      </c>
      <c r="C42" s="95">
        <f>Reactor1!C42</f>
        <v>0.749</v>
      </c>
      <c r="D42" s="23" cm="1">
        <f t="array" ref="D42:U42">TRANSPOSE(_xlfn._xlws.FILTER('Raw Data'!BB2:BB505,('Raw Data'!B2:B505=7)*('Raw Data'!BB2:BB505&lt;&gt;"")))</f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6">
        <v>0</v>
      </c>
      <c r="V42" s="26"/>
      <c r="W42" s="26"/>
    </row>
    <row r="43" spans="1:23" s="2" customFormat="1">
      <c r="A43" s="38" t="s">
        <v>10</v>
      </c>
      <c r="B43" s="2" t="s">
        <v>8</v>
      </c>
      <c r="C43" s="95">
        <f>Reactor1!C43</f>
        <v>0.79900000000000004</v>
      </c>
      <c r="D43" s="23" cm="1">
        <f t="array" ref="D43:U43">TRANSPOSE(_xlfn._xlws.FILTER('Raw Data'!BC2:BC505,('Raw Data'!B2:B505=7)*('Raw Data'!BC2:BC505&lt;&gt;"")))</f>
        <v>0</v>
      </c>
      <c r="E43" s="26">
        <v>0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6">
        <v>0</v>
      </c>
      <c r="V43" s="26"/>
      <c r="W43" s="26"/>
    </row>
    <row r="44" spans="1:23" s="2" customFormat="1">
      <c r="A44" s="38" t="s">
        <v>11</v>
      </c>
      <c r="B44" s="2" t="s">
        <v>8</v>
      </c>
      <c r="C44" s="95">
        <f>Reactor1!C44</f>
        <v>0.81699999999999995</v>
      </c>
      <c r="D44" s="23" cm="1">
        <f t="array" ref="D44:U44">TRANSPOSE(_xlfn._xlws.FILTER('Raw Data'!BD2:BD505,('Raw Data'!B2:B505=7)*('Raw Data'!BD2:BD505&lt;&gt;"")))</f>
        <v>3.472496</v>
      </c>
      <c r="E44" s="26">
        <v>9.2440540000000002</v>
      </c>
      <c r="F44" s="26">
        <v>10.272964</v>
      </c>
      <c r="G44" s="26">
        <v>9.1335270000000008</v>
      </c>
      <c r="H44" s="26">
        <v>9.2098619999999993</v>
      </c>
      <c r="I44" s="26">
        <v>9.3341429999999992</v>
      </c>
      <c r="J44" s="26">
        <v>7.7680730000000002</v>
      </c>
      <c r="K44" s="26">
        <v>7.786232</v>
      </c>
      <c r="L44" s="26">
        <v>5.8204399999999996</v>
      </c>
      <c r="M44" s="26">
        <v>4.5054259999999999</v>
      </c>
      <c r="N44" s="26">
        <v>4.6856109999999997</v>
      </c>
      <c r="O44" s="26">
        <v>4.6318900000000003</v>
      </c>
      <c r="P44" s="26">
        <v>7.8126959999999999</v>
      </c>
      <c r="Q44" s="26">
        <v>7.8184820000000004</v>
      </c>
      <c r="R44" s="26">
        <v>7.8354730000000004</v>
      </c>
      <c r="S44" s="26">
        <v>7.8231549999999999</v>
      </c>
      <c r="T44" s="26">
        <v>7.776637</v>
      </c>
      <c r="U44" s="26">
        <v>2.5628570000000002</v>
      </c>
      <c r="V44" s="26"/>
      <c r="W44" s="26"/>
    </row>
    <row r="45" spans="1:23" s="2" customFormat="1">
      <c r="A45" s="38" t="s">
        <v>12</v>
      </c>
      <c r="B45" s="2" t="s">
        <v>8</v>
      </c>
      <c r="C45" s="95">
        <f>Reactor1!C45</f>
        <v>0.82599999999999996</v>
      </c>
      <c r="D45" s="23" cm="1">
        <f t="array" ref="D45:U45">TRANSPOSE(_xlfn._xlws.FILTER('Raw Data'!BE2:BE505,('Raw Data'!B2:B505=7)*('Raw Data'!BE2:BE505&lt;&gt;"")))</f>
        <v>3.0058060000000002</v>
      </c>
      <c r="E45" s="26">
        <v>3.7672669999999999</v>
      </c>
      <c r="F45" s="26">
        <v>3.8156409999999998</v>
      </c>
      <c r="G45" s="26">
        <v>3.6790609999999999</v>
      </c>
      <c r="H45" s="26">
        <v>3.6785839999999999</v>
      </c>
      <c r="I45" s="26">
        <v>3.684018</v>
      </c>
      <c r="J45" s="26">
        <v>3.5241069999999999</v>
      </c>
      <c r="K45" s="26">
        <v>3.5153449999999999</v>
      </c>
      <c r="L45" s="26">
        <v>3.3182140000000002</v>
      </c>
      <c r="M45" s="26">
        <v>3.0932949999999999</v>
      </c>
      <c r="N45" s="26">
        <v>3.1393979999999999</v>
      </c>
      <c r="O45" s="26">
        <v>3.1254490000000001</v>
      </c>
      <c r="P45" s="26">
        <v>3.5179680000000002</v>
      </c>
      <c r="Q45" s="26">
        <v>3.5222540000000002</v>
      </c>
      <c r="R45" s="26">
        <v>3.5211749999999999</v>
      </c>
      <c r="S45" s="26">
        <v>3.515504</v>
      </c>
      <c r="T45" s="26">
        <v>3.516537</v>
      </c>
      <c r="U45" s="26">
        <v>2.6810360000000002</v>
      </c>
      <c r="V45" s="26"/>
      <c r="W45" s="26"/>
    </row>
    <row r="46" spans="1:23" s="2" customFormat="1">
      <c r="A46" s="38" t="s">
        <v>13</v>
      </c>
      <c r="B46" s="2" t="s">
        <v>8</v>
      </c>
      <c r="C46" s="95">
        <f>Reactor1!C46</f>
        <v>0.82599999999999996</v>
      </c>
      <c r="D46" s="23" cm="1">
        <f t="array" ref="D46:U46">TRANSPOSE(_xlfn._xlws.FILTER('Raw Data'!BF2:BF505,('Raw Data'!B2:B505=7)*('Raw Data'!BF2:BF505&lt;&gt;"")))</f>
        <v>8.5716180000000008</v>
      </c>
      <c r="E46" s="26">
        <v>17.508772</v>
      </c>
      <c r="F46" s="26">
        <v>19.041429999999998</v>
      </c>
      <c r="G46" s="26">
        <v>17.555835999999999</v>
      </c>
      <c r="H46" s="26">
        <v>17.678581000000001</v>
      </c>
      <c r="I46" s="26">
        <v>17.859715000000001</v>
      </c>
      <c r="J46" s="26">
        <v>15.788277000000001</v>
      </c>
      <c r="K46" s="26">
        <v>15.804872</v>
      </c>
      <c r="L46" s="26">
        <v>12.908142</v>
      </c>
      <c r="M46" s="26">
        <v>10.954325000000001</v>
      </c>
      <c r="N46" s="26">
        <v>11.244897999999999</v>
      </c>
      <c r="O46" s="26">
        <v>11.172257</v>
      </c>
      <c r="P46" s="26">
        <v>15.837268999999999</v>
      </c>
      <c r="Q46" s="26">
        <v>15.853535000000001</v>
      </c>
      <c r="R46" s="26">
        <v>15.870238000000001</v>
      </c>
      <c r="S46" s="26">
        <v>15.855604</v>
      </c>
      <c r="T46" s="26">
        <v>15.774815</v>
      </c>
      <c r="U46" s="26">
        <v>7.5486300000000002</v>
      </c>
      <c r="V46" s="26"/>
      <c r="W46" s="26"/>
    </row>
    <row r="47" spans="1:23" s="2" customFormat="1">
      <c r="A47" s="38" t="s">
        <v>14</v>
      </c>
      <c r="B47" s="2" t="s">
        <v>8</v>
      </c>
      <c r="C47" s="95">
        <f>Reactor1!C47</f>
        <v>0.83299999999999996</v>
      </c>
      <c r="D47" s="23" cm="1">
        <f t="array" ref="D47:U47">TRANSPOSE(_xlfn._xlws.FILTER('Raw Data'!BG2:BG505,('Raw Data'!B2:B505=7)*('Raw Data'!BG2:BG505&lt;&gt;"")))</f>
        <v>12.330336000000001</v>
      </c>
      <c r="E47" s="26">
        <v>11.921578999999999</v>
      </c>
      <c r="F47" s="26">
        <v>11.896103</v>
      </c>
      <c r="G47" s="26">
        <v>12.150574000000001</v>
      </c>
      <c r="H47" s="26">
        <v>12.122543</v>
      </c>
      <c r="I47" s="26">
        <v>12.112004000000001</v>
      </c>
      <c r="J47" s="26">
        <v>12.247002</v>
      </c>
      <c r="K47" s="26">
        <v>12.231612</v>
      </c>
      <c r="L47" s="26">
        <v>12.420855</v>
      </c>
      <c r="M47" s="26">
        <v>12.484522999999999</v>
      </c>
      <c r="N47" s="26">
        <v>12.526223999999999</v>
      </c>
      <c r="O47" s="26">
        <v>12.505836</v>
      </c>
      <c r="P47" s="26">
        <v>12.241803000000001</v>
      </c>
      <c r="Q47" s="26">
        <v>12.24075</v>
      </c>
      <c r="R47" s="26">
        <v>12.241673</v>
      </c>
      <c r="S47" s="26">
        <v>12.227271999999999</v>
      </c>
      <c r="T47" s="26">
        <v>12.282621000000001</v>
      </c>
      <c r="U47" s="26">
        <v>12.621606</v>
      </c>
      <c r="V47" s="26"/>
      <c r="W47" s="26"/>
    </row>
    <row r="48" spans="1:23" s="2" customFormat="1">
      <c r="A48" s="38" t="s">
        <v>15</v>
      </c>
      <c r="B48" s="2" t="s">
        <v>8</v>
      </c>
      <c r="C48" s="95">
        <f>Reactor1!C48</f>
        <v>0.83299999999999996</v>
      </c>
      <c r="D48" s="23" cm="1">
        <f t="array" ref="D48:U48">TRANSPOSE(_xlfn._xlws.FILTER('Raw Data'!BH2:BH505,('Raw Data'!B2:B505=7)*('Raw Data'!BH2:BH505&lt;&gt;"")))</f>
        <v>9.8895400000000002</v>
      </c>
      <c r="E48" s="26">
        <v>11.591780999999999</v>
      </c>
      <c r="F48" s="26">
        <v>11.689859999999999</v>
      </c>
      <c r="G48" s="26">
        <v>11.273175999999999</v>
      </c>
      <c r="H48" s="26">
        <v>11.280911</v>
      </c>
      <c r="I48" s="26">
        <v>11.308165000000001</v>
      </c>
      <c r="J48" s="26">
        <v>10.941051</v>
      </c>
      <c r="K48" s="26">
        <v>10.933021</v>
      </c>
      <c r="L48" s="26">
        <v>10.436208000000001</v>
      </c>
      <c r="M48" s="26">
        <v>10.101114000000001</v>
      </c>
      <c r="N48" s="26">
        <v>10.177851</v>
      </c>
      <c r="O48" s="26">
        <v>10.155039</v>
      </c>
      <c r="P48" s="26">
        <v>10.929781999999999</v>
      </c>
      <c r="Q48" s="26">
        <v>10.937943000000001</v>
      </c>
      <c r="R48" s="26">
        <v>10.939192</v>
      </c>
      <c r="S48" s="26">
        <v>10.925393</v>
      </c>
      <c r="T48" s="26">
        <v>10.948058</v>
      </c>
      <c r="U48" s="26">
        <v>9.3874169999999992</v>
      </c>
      <c r="V48" s="26"/>
      <c r="W48" s="26"/>
    </row>
    <row r="49" spans="1:23" s="2" customFormat="1">
      <c r="A49" s="38" t="s">
        <v>16</v>
      </c>
      <c r="B49" s="2" t="s">
        <v>8</v>
      </c>
      <c r="C49" s="95">
        <f>Reactor1!C49</f>
        <v>0.85699999999999998</v>
      </c>
      <c r="D49" s="23" cm="1">
        <f t="array" ref="D49:U49">TRANSPOSE(_xlfn._xlws.FILTER('Raw Data'!BI2:BI505,('Raw Data'!B2:B505=7)*('Raw Data'!BI2:BI505&lt;&gt;"")))</f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P49" s="26">
        <v>0</v>
      </c>
      <c r="Q49" s="26">
        <v>0</v>
      </c>
      <c r="R49" s="26">
        <v>0</v>
      </c>
      <c r="S49" s="26">
        <v>0</v>
      </c>
      <c r="T49" s="26">
        <v>0</v>
      </c>
      <c r="U49" s="26">
        <v>0</v>
      </c>
      <c r="V49" s="26"/>
      <c r="W49" s="26"/>
    </row>
    <row r="50" spans="1:23" s="2" customFormat="1">
      <c r="A50" s="38" t="s">
        <v>17</v>
      </c>
      <c r="B50" s="2" t="s">
        <v>8</v>
      </c>
      <c r="C50" s="95">
        <f>Reactor1!C50</f>
        <v>0.83699999999999997</v>
      </c>
      <c r="D50" s="23" cm="1">
        <f t="array" ref="D50:U50">TRANSPOSE(_xlfn._xlws.FILTER('Raw Data'!BJ2:BJ505,('Raw Data'!B2:B505=7)*('Raw Data'!BJ2:BJ505&lt;&gt;"")))</f>
        <v>14.522765</v>
      </c>
      <c r="E50" s="26">
        <v>10.707603000000001</v>
      </c>
      <c r="F50" s="26">
        <v>10.835919000000001</v>
      </c>
      <c r="G50" s="26">
        <v>12.344975</v>
      </c>
      <c r="H50" s="26">
        <v>12.282844000000001</v>
      </c>
      <c r="I50" s="26">
        <v>12.194438999999999</v>
      </c>
      <c r="J50" s="26">
        <v>13.255003</v>
      </c>
      <c r="K50" s="26">
        <v>13.255858</v>
      </c>
      <c r="L50" s="26">
        <v>14.605987000000001</v>
      </c>
      <c r="M50" s="26">
        <v>15.282232</v>
      </c>
      <c r="N50" s="26">
        <v>15.189254</v>
      </c>
      <c r="O50" s="26">
        <v>15.20809</v>
      </c>
      <c r="P50" s="26">
        <v>13.252613999999999</v>
      </c>
      <c r="Q50" s="26">
        <v>13.237562</v>
      </c>
      <c r="R50" s="26">
        <v>13.225744000000001</v>
      </c>
      <c r="S50" s="26">
        <v>13.232051</v>
      </c>
      <c r="T50" s="26">
        <v>13.266182000000001</v>
      </c>
      <c r="U50" s="26">
        <v>16.354994000000001</v>
      </c>
      <c r="V50" s="26"/>
      <c r="W50" s="26"/>
    </row>
    <row r="51" spans="1:23" s="2" customFormat="1">
      <c r="A51" s="38" t="s">
        <v>18</v>
      </c>
      <c r="B51" s="2" t="s">
        <v>8</v>
      </c>
      <c r="C51" s="95">
        <f>Reactor1!C51</f>
        <v>0.83699999999999997</v>
      </c>
      <c r="D51" s="23" cm="1">
        <f t="array" ref="D51:U51">TRANSPOSE(_xlfn._xlws.FILTER('Raw Data'!BK2:BK505,('Raw Data'!B2:B505=7)*('Raw Data'!BK2:BK505&lt;&gt;"")))</f>
        <v>8.1806319999999992</v>
      </c>
      <c r="E51" s="26">
        <v>9.7343770000000003</v>
      </c>
      <c r="F51" s="26">
        <v>9.5865960000000001</v>
      </c>
      <c r="G51" s="26">
        <v>8.9434299999999993</v>
      </c>
      <c r="H51" s="26">
        <v>8.9621589999999998</v>
      </c>
      <c r="I51" s="26">
        <v>8.9938470000000006</v>
      </c>
      <c r="J51" s="26">
        <v>8.5485030000000002</v>
      </c>
      <c r="K51" s="26">
        <v>8.5680689999999995</v>
      </c>
      <c r="L51" s="26">
        <v>7.9809369999999999</v>
      </c>
      <c r="M51" s="26">
        <v>7.7351369999999999</v>
      </c>
      <c r="N51" s="26">
        <v>7.7709799999999998</v>
      </c>
      <c r="O51" s="26">
        <v>7.7623939999999996</v>
      </c>
      <c r="P51" s="26">
        <v>8.561515</v>
      </c>
      <c r="Q51" s="26">
        <v>8.5714450000000006</v>
      </c>
      <c r="R51" s="26">
        <v>8.5754809999999999</v>
      </c>
      <c r="S51" s="26">
        <v>8.5742700000000003</v>
      </c>
      <c r="T51" s="26">
        <v>8.5694780000000002</v>
      </c>
      <c r="U51" s="26">
        <v>7.3540089999999996</v>
      </c>
      <c r="V51" s="26"/>
      <c r="W51" s="26"/>
    </row>
    <row r="52" spans="1:23" s="2" customFormat="1">
      <c r="A52" s="38" t="s">
        <v>19</v>
      </c>
      <c r="B52" s="2" t="s">
        <v>8</v>
      </c>
      <c r="C52" s="95">
        <f>Reactor1!C52</f>
        <v>0.83699999999999997</v>
      </c>
      <c r="D52" s="23" cm="1">
        <f t="array" ref="D52:U52">TRANSPOSE(_xlfn._xlws.FILTER('Raw Data'!BL2:BL505,('Raw Data'!B2:B505=7)*('Raw Data'!BL2:BL505&lt;&gt;"")))</f>
        <v>4.9510259999999997</v>
      </c>
      <c r="E52" s="26">
        <v>6.053185</v>
      </c>
      <c r="F52" s="26">
        <v>5.9420549999999999</v>
      </c>
      <c r="G52" s="26">
        <v>5.4867429999999997</v>
      </c>
      <c r="H52" s="26">
        <v>5.4975500000000004</v>
      </c>
      <c r="I52" s="26">
        <v>5.5194570000000001</v>
      </c>
      <c r="J52" s="26">
        <v>5.2155560000000003</v>
      </c>
      <c r="K52" s="26">
        <v>5.2295199999999999</v>
      </c>
      <c r="L52" s="26">
        <v>4.8414440000000001</v>
      </c>
      <c r="M52" s="26">
        <v>4.6751860000000001</v>
      </c>
      <c r="N52" s="26">
        <v>4.6948480000000004</v>
      </c>
      <c r="O52" s="26">
        <v>4.690639</v>
      </c>
      <c r="P52" s="26">
        <v>5.2235300000000002</v>
      </c>
      <c r="Q52" s="26">
        <v>5.2269699999999997</v>
      </c>
      <c r="R52" s="26">
        <v>5.2289099999999999</v>
      </c>
      <c r="S52" s="26">
        <v>5.2298270000000002</v>
      </c>
      <c r="T52" s="26">
        <v>5.2264699999999999</v>
      </c>
      <c r="U52" s="26">
        <v>4.3787820000000002</v>
      </c>
      <c r="V52" s="26"/>
      <c r="W52" s="26"/>
    </row>
    <row r="53" spans="1:23" s="2" customFormat="1">
      <c r="A53" s="38" t="s">
        <v>20</v>
      </c>
      <c r="B53" s="2" t="s">
        <v>8</v>
      </c>
      <c r="C53" s="95">
        <f>Reactor1!C53</f>
        <v>0.83699999999999997</v>
      </c>
      <c r="D53" s="23" cm="1">
        <f t="array" ref="D53:U53">TRANSPOSE(_xlfn._xlws.FILTER('Raw Data'!BM2:BM505,('Raw Data'!B2:B505=7)*('Raw Data'!BM2:BM505&lt;&gt;"")))</f>
        <v>2.0083989999999998</v>
      </c>
      <c r="E53" s="26">
        <v>2.7907350000000002</v>
      </c>
      <c r="F53" s="26">
        <v>2.880852</v>
      </c>
      <c r="G53" s="26">
        <v>2.8006609999999998</v>
      </c>
      <c r="H53" s="26">
        <v>2.809736</v>
      </c>
      <c r="I53" s="26">
        <v>2.8231130000000002</v>
      </c>
      <c r="J53" s="26">
        <v>2.6749369999999999</v>
      </c>
      <c r="K53" s="26">
        <v>2.6810619999999998</v>
      </c>
      <c r="L53" s="26">
        <v>2.4536190000000002</v>
      </c>
      <c r="M53" s="26">
        <v>2.346403</v>
      </c>
      <c r="N53" s="26">
        <v>2.364182</v>
      </c>
      <c r="O53" s="26">
        <v>2.3618990000000002</v>
      </c>
      <c r="P53" s="26">
        <v>2.6796410000000002</v>
      </c>
      <c r="Q53" s="26">
        <v>2.6831700000000001</v>
      </c>
      <c r="R53" s="26">
        <v>2.6852990000000001</v>
      </c>
      <c r="S53" s="26">
        <v>2.6842060000000001</v>
      </c>
      <c r="T53" s="26">
        <v>2.6824219999999999</v>
      </c>
      <c r="U53" s="26">
        <v>2.0431110000000001</v>
      </c>
      <c r="V53" s="26"/>
      <c r="W53" s="26"/>
    </row>
    <row r="54" spans="1:23" s="2" customFormat="1">
      <c r="A54" s="38" t="s">
        <v>75</v>
      </c>
      <c r="B54" s="2" t="s">
        <v>8</v>
      </c>
      <c r="C54" s="95">
        <f>Reactor1!C54</f>
        <v>0.83699999999999997</v>
      </c>
      <c r="D54" s="23" cm="1">
        <f t="array" ref="D54:U54">TRANSPOSE(_xlfn._xlws.FILTER('Raw Data'!BN2:BN505,('Raw Data'!B2:B505=7)*('Raw Data'!BN2:BN505&lt;&gt;"")))</f>
        <v>0.298678</v>
      </c>
      <c r="E54" s="26">
        <v>0.86589700000000003</v>
      </c>
      <c r="F54" s="26">
        <v>0.79955100000000001</v>
      </c>
      <c r="G54" s="26">
        <v>0.58005099999999998</v>
      </c>
      <c r="H54" s="26">
        <v>0.58750500000000005</v>
      </c>
      <c r="I54" s="26">
        <v>0.59941699999999998</v>
      </c>
      <c r="J54" s="26">
        <v>0.48102699999999998</v>
      </c>
      <c r="K54" s="26">
        <v>0.48330299999999998</v>
      </c>
      <c r="L54" s="26">
        <v>0.326984</v>
      </c>
      <c r="M54" s="26">
        <v>0.27039000000000002</v>
      </c>
      <c r="N54" s="26">
        <v>0.27484799999999998</v>
      </c>
      <c r="O54" s="26">
        <v>0.27516400000000002</v>
      </c>
      <c r="P54" s="26">
        <v>0.480713</v>
      </c>
      <c r="Q54" s="26">
        <v>0.48192299999999999</v>
      </c>
      <c r="R54" s="26">
        <v>0.48268299999999997</v>
      </c>
      <c r="S54" s="26">
        <v>0.483124</v>
      </c>
      <c r="T54" s="26">
        <v>0.48100399999999999</v>
      </c>
      <c r="U54" s="26">
        <v>0.152092</v>
      </c>
      <c r="V54" s="26"/>
      <c r="W54" s="26"/>
    </row>
    <row r="55" spans="1:23" s="2" customFormat="1">
      <c r="A55" s="38" t="s">
        <v>22</v>
      </c>
      <c r="B55" s="2" t="s">
        <v>8</v>
      </c>
      <c r="C55" s="95">
        <f>Reactor1!C55</f>
        <v>0.85699999999999998</v>
      </c>
      <c r="D55" s="23" cm="1">
        <f t="array" ref="D55:U55">TRANSPOSE(_xlfn._xlws.FILTER('Raw Data'!BO2:BO505,('Raw Data'!B2:B505=7)*('Raw Data'!BO2:BO505&lt;&gt;"")))</f>
        <v>0.334372</v>
      </c>
      <c r="E55" s="26">
        <v>0.26248199999999999</v>
      </c>
      <c r="F55" s="26">
        <v>0.25844299999999998</v>
      </c>
      <c r="G55" s="26">
        <v>0.28491300000000003</v>
      </c>
      <c r="H55" s="26">
        <v>0.283775</v>
      </c>
      <c r="I55" s="26">
        <v>0.28220600000000001</v>
      </c>
      <c r="J55" s="26">
        <v>0.30187900000000001</v>
      </c>
      <c r="K55" s="26">
        <v>0.30132799999999998</v>
      </c>
      <c r="L55" s="26">
        <v>0.33831600000000001</v>
      </c>
      <c r="M55" s="26">
        <v>0.35365999999999997</v>
      </c>
      <c r="N55" s="26">
        <v>0.35458699999999999</v>
      </c>
      <c r="O55" s="26">
        <v>0.35352499999999998</v>
      </c>
      <c r="P55" s="26">
        <v>0.30366900000000002</v>
      </c>
      <c r="Q55" s="26">
        <v>0.30362899999999998</v>
      </c>
      <c r="R55" s="26">
        <v>0.30360199999999998</v>
      </c>
      <c r="S55" s="26">
        <v>0.303726</v>
      </c>
      <c r="T55" s="26">
        <v>0.30168800000000001</v>
      </c>
      <c r="U55" s="26">
        <v>0.39536100000000002</v>
      </c>
      <c r="V55" s="26"/>
      <c r="W55" s="26"/>
    </row>
    <row r="56" spans="1:23" s="2" customFormat="1">
      <c r="A56" s="38" t="s">
        <v>23</v>
      </c>
      <c r="B56" s="2" t="s">
        <v>8</v>
      </c>
      <c r="C56" s="95">
        <f>Reactor1!C56</f>
        <v>0.85699999999999998</v>
      </c>
      <c r="D56" s="23" cm="1">
        <f t="array" ref="D56:U56">TRANSPOSE(_xlfn._xlws.FILTER('Raw Data'!BP2:BP506,('Raw Data'!B2:B506=7)*('Raw Data'!BP2:BP506&lt;&gt;"")))</f>
        <v>0.65134700000000001</v>
      </c>
      <c r="E56" s="26">
        <v>0.62297000000000002</v>
      </c>
      <c r="F56" s="26">
        <v>0.59844699999999995</v>
      </c>
      <c r="G56" s="26">
        <v>0.587314</v>
      </c>
      <c r="H56" s="26">
        <v>0.58625099999999997</v>
      </c>
      <c r="I56" s="26">
        <v>0.58424600000000004</v>
      </c>
      <c r="J56" s="26">
        <v>0.57813800000000004</v>
      </c>
      <c r="K56" s="26">
        <v>0.57927099999999998</v>
      </c>
      <c r="L56" s="26">
        <v>0.58076300000000003</v>
      </c>
      <c r="M56" s="26">
        <v>0.56533900000000004</v>
      </c>
      <c r="N56" s="26">
        <v>0.56901800000000002</v>
      </c>
      <c r="O56" s="26">
        <v>0.567805</v>
      </c>
      <c r="P56" s="26">
        <v>0.580121</v>
      </c>
      <c r="Q56" s="26">
        <v>0.57994000000000001</v>
      </c>
      <c r="R56" s="26">
        <v>0.58013700000000001</v>
      </c>
      <c r="S56" s="26">
        <v>0.58035700000000001</v>
      </c>
      <c r="T56" s="26">
        <v>0.577739</v>
      </c>
      <c r="U56" s="26">
        <v>0.55936900000000001</v>
      </c>
      <c r="V56" s="26"/>
      <c r="W56" s="26"/>
    </row>
    <row r="57" spans="1:23" s="2" customFormat="1">
      <c r="A57" s="38" t="s">
        <v>24</v>
      </c>
      <c r="B57" s="2" t="s">
        <v>8</v>
      </c>
      <c r="C57" s="95">
        <f>Reactor1!C57</f>
        <v>0.92300000000000004</v>
      </c>
      <c r="D57" s="23" cm="1">
        <f t="array" ref="D57:U57">TRANSPOSE(_xlfn._xlws.FILTER('Raw Data'!BQ2:BQ505,('Raw Data'!B2:B505=7)*('Raw Data'!BQ2:BQ505&lt;&gt;"")))</f>
        <v>0</v>
      </c>
      <c r="E57" s="26">
        <v>0</v>
      </c>
      <c r="F57" s="26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>
        <v>0</v>
      </c>
      <c r="P57" s="26">
        <v>0</v>
      </c>
      <c r="Q57" s="26">
        <v>0</v>
      </c>
      <c r="R57" s="26">
        <v>0</v>
      </c>
      <c r="S57" s="26">
        <v>0</v>
      </c>
      <c r="T57" s="26">
        <v>0</v>
      </c>
      <c r="U57" s="26">
        <v>0</v>
      </c>
      <c r="V57" s="26"/>
      <c r="W57" s="26"/>
    </row>
    <row r="58" spans="1:23">
      <c r="A58" s="38" t="s">
        <v>25</v>
      </c>
      <c r="B58" s="2" t="s">
        <v>8</v>
      </c>
      <c r="C58" s="95">
        <f>Reactor1!C58</f>
        <v>0.83899999999999997</v>
      </c>
      <c r="D58" s="23" cm="1">
        <f t="array" ref="D58:U58">TRANSPOSE(_xlfn._xlws.FILTER('Raw Data'!BR2:BR505,('Raw Data'!B2:B505=7)*('Raw Data'!BR2:BR505&lt;&gt;"")))</f>
        <v>8.1193570000000008</v>
      </c>
      <c r="E58" s="26">
        <v>2.7661359999999999</v>
      </c>
      <c r="F58" s="26">
        <v>2.590646</v>
      </c>
      <c r="G58" s="26">
        <v>4.1747519999999998</v>
      </c>
      <c r="H58" s="26">
        <v>4.1111209999999998</v>
      </c>
      <c r="I58" s="26">
        <v>3.9841250000000001</v>
      </c>
      <c r="J58" s="26">
        <v>5.5435689999999997</v>
      </c>
      <c r="K58" s="26">
        <v>5.5215129999999997</v>
      </c>
      <c r="L58" s="26">
        <v>7.858835</v>
      </c>
      <c r="M58" s="26">
        <v>9.2838840000000005</v>
      </c>
      <c r="N58" s="26">
        <v>9.0461419999999997</v>
      </c>
      <c r="O58" s="26">
        <v>9.1111730000000009</v>
      </c>
      <c r="P58" s="26">
        <v>5.4988289999999997</v>
      </c>
      <c r="Q58" s="26">
        <v>5.4766329999999996</v>
      </c>
      <c r="R58" s="26">
        <v>5.4613100000000001</v>
      </c>
      <c r="S58" s="26">
        <v>5.4785690000000002</v>
      </c>
      <c r="T58" s="26">
        <v>5.5057790000000004</v>
      </c>
      <c r="U58" s="26">
        <v>11.818125</v>
      </c>
      <c r="V58" s="26"/>
      <c r="W58" s="26"/>
    </row>
    <row r="59" spans="1:23">
      <c r="A59" s="38" t="s">
        <v>26</v>
      </c>
      <c r="B59" s="2" t="s">
        <v>8</v>
      </c>
      <c r="C59" s="95">
        <f>Reactor1!C59</f>
        <v>0.83899999999999997</v>
      </c>
      <c r="D59" s="23" cm="1">
        <f t="array" ref="D59:U59">TRANSPOSE(_xlfn._xlws.FILTER('Raw Data'!BS2:BS505,('Raw Data'!B2:B505=7)*('Raw Data'!BS2:BS505&lt;&gt;"")))</f>
        <v>13.008637</v>
      </c>
      <c r="E59" s="26">
        <v>7.0857530000000004</v>
      </c>
      <c r="F59" s="26">
        <v>5.4850500000000002</v>
      </c>
      <c r="G59" s="26">
        <v>6.2217289999999998</v>
      </c>
      <c r="H59" s="26">
        <v>6.1523669999999999</v>
      </c>
      <c r="I59" s="26">
        <v>6.0232140000000003</v>
      </c>
      <c r="J59" s="26">
        <v>7.5232739999999998</v>
      </c>
      <c r="K59" s="26">
        <v>7.5051819999999996</v>
      </c>
      <c r="L59" s="26">
        <v>9.1500599999999999</v>
      </c>
      <c r="M59" s="26">
        <v>10.106422999999999</v>
      </c>
      <c r="N59" s="26">
        <v>9.9801110000000008</v>
      </c>
      <c r="O59" s="26">
        <v>10.023876</v>
      </c>
      <c r="P59" s="26">
        <v>7.4932460000000001</v>
      </c>
      <c r="Q59" s="26">
        <v>7.4897179999999999</v>
      </c>
      <c r="R59" s="26">
        <v>7.4793799999999999</v>
      </c>
      <c r="S59" s="26">
        <v>7.5003669999999998</v>
      </c>
      <c r="T59" s="26">
        <v>7.5030999999999999</v>
      </c>
      <c r="U59" s="26">
        <v>11.205767</v>
      </c>
      <c r="V59" s="26"/>
      <c r="W59" s="26"/>
    </row>
    <row r="60" spans="1:23">
      <c r="A60" s="38" t="s">
        <v>27</v>
      </c>
      <c r="B60" s="2" t="s">
        <v>8</v>
      </c>
      <c r="C60" s="95">
        <f>Reactor1!C60</f>
        <v>0.83899999999999997</v>
      </c>
      <c r="D60" s="23" cm="1">
        <f t="array" ref="D60:U60">TRANSPOSE(_xlfn._xlws.FILTER('Raw Data'!BT2:BT505,('Raw Data'!B2:B505=7)*('Raw Data'!BT2:BT505&lt;&gt;"")))</f>
        <v>3.4695659999999999</v>
      </c>
      <c r="E60" s="26">
        <v>3.0549019999999998</v>
      </c>
      <c r="F60" s="26">
        <v>2.4016999999999999</v>
      </c>
      <c r="G60" s="26">
        <v>2.6194289999999998</v>
      </c>
      <c r="H60" s="26">
        <v>2.608196</v>
      </c>
      <c r="I60" s="26">
        <v>2.5740940000000001</v>
      </c>
      <c r="J60" s="26">
        <v>3.0499689999999999</v>
      </c>
      <c r="K60" s="26">
        <v>3.0422310000000001</v>
      </c>
      <c r="L60" s="26">
        <v>3.4690599999999998</v>
      </c>
      <c r="M60" s="26">
        <v>3.8005740000000001</v>
      </c>
      <c r="N60" s="26">
        <v>3.7666460000000002</v>
      </c>
      <c r="O60" s="26">
        <v>3.7851029999999999</v>
      </c>
      <c r="P60" s="26">
        <v>3.0448059999999999</v>
      </c>
      <c r="Q60" s="26">
        <v>3.04596</v>
      </c>
      <c r="R60" s="26">
        <v>3.0454859999999999</v>
      </c>
      <c r="S60" s="26">
        <v>3.0499390000000002</v>
      </c>
      <c r="T60" s="26">
        <v>3.0502220000000002</v>
      </c>
      <c r="U60" s="26">
        <v>4.0354140000000003</v>
      </c>
      <c r="V60" s="26"/>
      <c r="W60" s="26"/>
    </row>
    <row r="61" spans="1:23">
      <c r="A61" s="38" t="s">
        <v>28</v>
      </c>
      <c r="B61" s="2" t="s">
        <v>8</v>
      </c>
      <c r="C61" s="95">
        <f>Reactor1!C61</f>
        <v>0.85619999999999996</v>
      </c>
      <c r="D61" s="23" cm="1">
        <f t="array" ref="D61:U61">TRANSPOSE(_xlfn._xlws.FILTER('Raw Data'!BU2:BU505,('Raw Data'!B2:B505=7)*('Raw Data'!BU2:BU505&lt;&gt;"")))</f>
        <v>1.0743100000000001</v>
      </c>
      <c r="E61" s="26">
        <v>0.94281999999999999</v>
      </c>
      <c r="F61" s="26">
        <v>0.914632</v>
      </c>
      <c r="G61" s="26">
        <v>0.94309200000000004</v>
      </c>
      <c r="H61" s="26">
        <v>0.94391599999999998</v>
      </c>
      <c r="I61" s="26">
        <v>0.94340900000000005</v>
      </c>
      <c r="J61" s="26">
        <v>0.96228199999999997</v>
      </c>
      <c r="K61" s="26">
        <v>0.965777</v>
      </c>
      <c r="L61" s="26">
        <v>1.003072</v>
      </c>
      <c r="M61" s="26">
        <v>1.0162329999999999</v>
      </c>
      <c r="N61" s="26">
        <v>1.006186</v>
      </c>
      <c r="O61" s="26">
        <v>1.0071129999999999</v>
      </c>
      <c r="P61" s="26">
        <v>0.96867099999999995</v>
      </c>
      <c r="Q61" s="26">
        <v>0.96804400000000002</v>
      </c>
      <c r="R61" s="26">
        <v>0.96823599999999999</v>
      </c>
      <c r="S61" s="26">
        <v>0.96757000000000004</v>
      </c>
      <c r="T61" s="26">
        <v>0.96581399999999995</v>
      </c>
      <c r="U61" s="26">
        <v>1.046656</v>
      </c>
      <c r="V61" s="26"/>
      <c r="W61" s="26"/>
    </row>
    <row r="62" spans="1:23">
      <c r="A62" s="38" t="s">
        <v>29</v>
      </c>
      <c r="B62" s="2" t="s">
        <v>8</v>
      </c>
      <c r="C62" s="95">
        <f>Reactor1!C62</f>
        <v>0.91300000000000003</v>
      </c>
      <c r="D62" s="23" cm="1">
        <f t="array" ref="D62:U62">TRANSPOSE(_xlfn._xlws.FILTER('Raw Data'!BV2:BV505,('Raw Data'!B2:B505=7)*('Raw Data'!BV2:BV505&lt;&gt;"")))</f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P62" s="26">
        <v>0</v>
      </c>
      <c r="Q62" s="26">
        <v>0</v>
      </c>
      <c r="R62" s="26">
        <v>0</v>
      </c>
      <c r="S62" s="26">
        <v>0</v>
      </c>
      <c r="T62" s="26">
        <v>0</v>
      </c>
      <c r="U62" s="26">
        <v>0</v>
      </c>
      <c r="V62" s="26"/>
      <c r="W62" s="26"/>
    </row>
    <row r="63" spans="1:23">
      <c r="A63" s="38" t="s">
        <v>30</v>
      </c>
      <c r="B63" s="2" t="s">
        <v>8</v>
      </c>
      <c r="C63" s="95">
        <f>Reactor1!C63</f>
        <v>0.84099999999999997</v>
      </c>
      <c r="D63" s="23" cm="1">
        <f t="array" ref="D63:U63">TRANSPOSE(_xlfn._xlws.FILTER('Raw Data'!BW2:BW505,('Raw Data'!B2:B505=7)*('Raw Data'!BW2:BW505&lt;&gt;"")))</f>
        <v>3.8193769999999998</v>
      </c>
      <c r="E63" s="26">
        <v>0.40234999999999999</v>
      </c>
      <c r="F63" s="26">
        <v>0.27140399999999998</v>
      </c>
      <c r="G63" s="26">
        <v>0.42979499999999998</v>
      </c>
      <c r="H63" s="26">
        <v>0.37151699999999999</v>
      </c>
      <c r="I63" s="26">
        <v>0.351794</v>
      </c>
      <c r="J63" s="26">
        <v>0.675701</v>
      </c>
      <c r="K63" s="26">
        <v>0.67108900000000005</v>
      </c>
      <c r="L63" s="26">
        <v>1.506877</v>
      </c>
      <c r="M63" s="26">
        <v>2.3713329999999999</v>
      </c>
      <c r="N63" s="26">
        <v>2.1812990000000001</v>
      </c>
      <c r="O63" s="26">
        <v>2.2277640000000001</v>
      </c>
      <c r="P63" s="26">
        <v>0.65463000000000005</v>
      </c>
      <c r="Q63" s="26">
        <v>0.64932199999999995</v>
      </c>
      <c r="R63" s="26">
        <v>0.64105800000000002</v>
      </c>
      <c r="S63" s="26">
        <v>0.64705400000000002</v>
      </c>
      <c r="T63" s="26">
        <v>0.65639899999999995</v>
      </c>
      <c r="U63" s="26">
        <v>4.7965400000000002</v>
      </c>
      <c r="V63" s="26"/>
      <c r="W63" s="26"/>
    </row>
    <row r="64" spans="1:23">
      <c r="A64" s="22" t="s">
        <v>636</v>
      </c>
      <c r="B64" s="2" t="s">
        <v>8</v>
      </c>
      <c r="C64" s="95">
        <f>Reactor1!C64</f>
        <v>0.85629999999999995</v>
      </c>
      <c r="D64" s="23" cm="1">
        <f t="array" ref="D64:U64">TRANSPOSE(_xlfn._xlws.FILTER('Raw Data'!BX2:BX505,('Raw Data'!B2:B505=7)*('Raw Data'!BX2:BX505&lt;&gt;"")))</f>
        <v>0.706148</v>
      </c>
      <c r="E64" s="26">
        <v>0.48045700000000002</v>
      </c>
      <c r="F64" s="26">
        <v>0.49144399999999999</v>
      </c>
      <c r="G64" s="26">
        <v>0.58247199999999999</v>
      </c>
      <c r="H64" s="26">
        <v>0.58148599999999995</v>
      </c>
      <c r="I64" s="26">
        <v>0.57667599999999997</v>
      </c>
      <c r="J64" s="26">
        <v>0.64193500000000003</v>
      </c>
      <c r="K64" s="26">
        <v>0.64495199999999997</v>
      </c>
      <c r="L64" s="26">
        <v>0.69980699999999996</v>
      </c>
      <c r="M64" s="26">
        <v>0.74080699999999999</v>
      </c>
      <c r="N64" s="26">
        <v>0.737703</v>
      </c>
      <c r="O64" s="26">
        <v>0.73675400000000002</v>
      </c>
      <c r="P64" s="26">
        <v>0.64174200000000003</v>
      </c>
      <c r="Q64" s="26">
        <v>0.639131</v>
      </c>
      <c r="R64" s="26">
        <v>0.64083900000000005</v>
      </c>
      <c r="S64" s="26">
        <v>0.64272099999999999</v>
      </c>
      <c r="T64" s="26">
        <v>0.63975300000000002</v>
      </c>
      <c r="U64" s="26">
        <v>0.75836599999999998</v>
      </c>
      <c r="V64" s="26"/>
      <c r="W64" s="26"/>
    </row>
    <row r="65" spans="1:24">
      <c r="A65" s="22" t="s">
        <v>637</v>
      </c>
      <c r="B65" s="2" t="s">
        <v>8</v>
      </c>
      <c r="C65" s="95">
        <f>Reactor1!C65</f>
        <v>0.90600000000000003</v>
      </c>
      <c r="D65" s="23" cm="1">
        <f t="array" ref="D65:U65">TRANSPOSE(_xlfn._xlws.FILTER('Raw Data'!BY2:BY505,('Raw Data'!B2:B505=7)*('Raw Data'!BY2:BY505&lt;&gt;"")))</f>
        <v>0</v>
      </c>
      <c r="E65" s="26">
        <v>0</v>
      </c>
      <c r="F65" s="26">
        <v>0</v>
      </c>
      <c r="G65" s="26">
        <v>0</v>
      </c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  <c r="O65" s="26">
        <v>0</v>
      </c>
      <c r="P65" s="26">
        <v>0</v>
      </c>
      <c r="Q65" s="26">
        <v>0</v>
      </c>
      <c r="R65" s="26">
        <v>0</v>
      </c>
      <c r="S65" s="26">
        <v>0</v>
      </c>
      <c r="T65" s="26">
        <v>0</v>
      </c>
      <c r="U65" s="26">
        <v>0</v>
      </c>
      <c r="V65" s="26"/>
      <c r="W65" s="26"/>
    </row>
    <row r="66" spans="1:24">
      <c r="A66" s="22" t="s">
        <v>638</v>
      </c>
      <c r="B66" s="2" t="s">
        <v>8</v>
      </c>
      <c r="C66" s="95">
        <f>Reactor1!C66</f>
        <v>0.84299999999999997</v>
      </c>
      <c r="D66" s="23" cm="1">
        <f t="array" ref="D66:U66">TRANSPOSE(_xlfn._xlws.FILTER('Raw Data'!BZ2:BZ505,('Raw Data'!B2:B505=7)*('Raw Data'!BZ2:BZ505&lt;&gt;"")))</f>
        <v>0.106878</v>
      </c>
      <c r="E66" s="26">
        <v>0.103974</v>
      </c>
      <c r="F66" s="26">
        <v>0.104962</v>
      </c>
      <c r="G66" s="26">
        <v>0.11054899999999999</v>
      </c>
      <c r="H66" s="26">
        <v>0.110583</v>
      </c>
      <c r="I66" s="26">
        <v>0.111499</v>
      </c>
      <c r="J66" s="26">
        <v>0.11669300000000001</v>
      </c>
      <c r="K66" s="26">
        <v>0.11648</v>
      </c>
      <c r="L66" s="26">
        <v>0.115452</v>
      </c>
      <c r="M66" s="26">
        <v>0.118412</v>
      </c>
      <c r="N66" s="26">
        <v>0.117188</v>
      </c>
      <c r="O66" s="26">
        <v>0.117803</v>
      </c>
      <c r="P66" s="26">
        <v>0.11729000000000001</v>
      </c>
      <c r="Q66" s="26">
        <v>0.116198</v>
      </c>
      <c r="R66" s="26">
        <v>0.116786</v>
      </c>
      <c r="S66" s="26">
        <v>0.115924</v>
      </c>
      <c r="T66" s="26">
        <v>0.116379</v>
      </c>
      <c r="U66" s="26">
        <v>0.112286</v>
      </c>
      <c r="V66" s="26"/>
      <c r="W66" s="26"/>
    </row>
    <row r="67" spans="1:24">
      <c r="A67" s="22" t="s">
        <v>639</v>
      </c>
      <c r="B67" s="2" t="s">
        <v>8</v>
      </c>
      <c r="C67" s="95">
        <f>Reactor1!C67</f>
        <v>0.85699999999999998</v>
      </c>
      <c r="D67" s="23" cm="1">
        <f t="array" ref="D67:U67">TRANSPOSE(_xlfn._xlws.FILTER('Raw Data'!CA2:CA505,('Raw Data'!B2:B505=7)*('Raw Data'!CA2:CA505&lt;&gt;"")))</f>
        <v>2.5490000000000001E-3</v>
      </c>
      <c r="E67" s="26">
        <v>1.449E-3</v>
      </c>
      <c r="F67" s="26">
        <v>1.421E-3</v>
      </c>
      <c r="G67" s="26">
        <v>2.1930000000000001E-3</v>
      </c>
      <c r="H67" s="26">
        <v>1.9870000000000001E-3</v>
      </c>
      <c r="I67" s="26">
        <v>2.0929999999999998E-3</v>
      </c>
      <c r="J67" s="26">
        <v>2.398E-3</v>
      </c>
      <c r="K67" s="26">
        <v>2.4529999999999999E-3</v>
      </c>
      <c r="L67" s="26">
        <v>1.7650000000000001E-3</v>
      </c>
      <c r="M67" s="26">
        <v>3.7529999999999998E-3</v>
      </c>
      <c r="N67" s="26">
        <v>1.6180000000000001E-3</v>
      </c>
      <c r="O67" s="26">
        <v>1.591E-3</v>
      </c>
      <c r="P67" s="26">
        <v>2.5370000000000002E-3</v>
      </c>
      <c r="Q67" s="26">
        <v>2.4629999999999999E-3</v>
      </c>
      <c r="R67" s="26">
        <v>2.4139999999999999E-3</v>
      </c>
      <c r="S67" s="26">
        <v>2.2799999999999999E-3</v>
      </c>
      <c r="T67" s="26">
        <v>2.238E-3</v>
      </c>
      <c r="U67" s="26">
        <v>3.4150000000000001E-3</v>
      </c>
      <c r="V67" s="26"/>
      <c r="W67" s="26"/>
    </row>
    <row r="68" spans="1:24">
      <c r="A68" s="22" t="s">
        <v>640</v>
      </c>
      <c r="B68" s="2" t="s">
        <v>8</v>
      </c>
      <c r="C68" s="95">
        <f>Reactor1!C68</f>
        <v>0.9</v>
      </c>
      <c r="D68" s="23" cm="1">
        <f t="array" ref="D68:U68">TRANSPOSE(_xlfn._xlws.FILTER('Raw Data'!CB2:CB505,('Raw Data'!B2:B505=7)*('Raw Data'!CB2:CB505&lt;&gt;"")))</f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/>
      <c r="W68" s="26"/>
    </row>
    <row r="69" spans="1:24">
      <c r="A69" s="22" t="s">
        <v>641</v>
      </c>
      <c r="B69" s="2" t="s">
        <v>8</v>
      </c>
      <c r="C69" s="95">
        <f>Reactor1!C69</f>
        <v>0.84399999999999997</v>
      </c>
      <c r="D69" s="23" cm="1">
        <f t="array" ref="D69:U69">TRANSPOSE(_xlfn._xlws.FILTER('Raw Data'!CC2:CC505,('Raw Data'!B2:B505=7)*('Raw Data'!CC2:CC505&lt;&gt;"")))</f>
        <v>0</v>
      </c>
      <c r="E69" s="26">
        <v>0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6">
        <v>0</v>
      </c>
      <c r="Q69" s="26">
        <v>0</v>
      </c>
      <c r="R69" s="26">
        <v>0</v>
      </c>
      <c r="S69" s="26">
        <v>0</v>
      </c>
      <c r="T69" s="26">
        <v>0</v>
      </c>
      <c r="U69" s="26">
        <v>0</v>
      </c>
      <c r="V69" s="26"/>
      <c r="W69" s="26"/>
    </row>
    <row r="70" spans="1:24">
      <c r="A70" s="22" t="s">
        <v>642</v>
      </c>
      <c r="B70" s="2" t="s">
        <v>8</v>
      </c>
      <c r="C70" s="95">
        <f>Reactor1!C70</f>
        <v>0.85709999999999997</v>
      </c>
      <c r="D70" s="23" cm="1">
        <f t="array" ref="D70:U70">TRANSPOSE(_xlfn._xlws.FILTER('Raw Data'!CD2:CD505,('Raw Data'!B2:B505=7)*('Raw Data'!CD2:CD505&lt;&gt;"")))</f>
        <v>0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N70" s="26">
        <v>0</v>
      </c>
      <c r="O70" s="26">
        <v>0</v>
      </c>
      <c r="P70" s="26">
        <v>0</v>
      </c>
      <c r="Q70" s="26">
        <v>0</v>
      </c>
      <c r="R70" s="26">
        <v>0</v>
      </c>
      <c r="S70" s="26">
        <v>0</v>
      </c>
      <c r="T70" s="26">
        <v>0</v>
      </c>
      <c r="U70" s="26">
        <v>0</v>
      </c>
      <c r="V70" s="26"/>
      <c r="W70" s="26"/>
    </row>
    <row r="71" spans="1:24">
      <c r="A71" s="22" t="s">
        <v>643</v>
      </c>
      <c r="B71" s="2" t="s">
        <v>8</v>
      </c>
      <c r="C71" s="95">
        <f>Reactor1!C71</f>
        <v>0.89600000000000002</v>
      </c>
      <c r="D71" s="23" cm="1">
        <f t="array" ref="D71:U71">TRANSPOSE(_xlfn._xlws.FILTER('Raw Data'!CE2:CE505,('Raw Data'!B2:B505=7)*('Raw Data'!CE2:CE505&lt;&gt;"")))</f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/>
      <c r="W71" s="26"/>
    </row>
    <row r="72" spans="1:24">
      <c r="A72" s="22" t="s">
        <v>76</v>
      </c>
      <c r="B72" s="2" t="s">
        <v>8</v>
      </c>
      <c r="C72" s="95">
        <f>Reactor1!C72</f>
        <v>0.79</v>
      </c>
      <c r="D72" s="23" cm="1">
        <f t="array" ref="D72:U72">TRANSPOSE(_xlfn._xlws.FILTER('Raw Data'!CF2:CF505,('Raw Data'!B2:B505=7)*('Raw Data'!CF2:CF505&lt;&gt;"")))</f>
        <v>2.1658E-2</v>
      </c>
      <c r="E72" s="26">
        <v>1.9886000000000001E-2</v>
      </c>
      <c r="F72" s="26">
        <v>2.0029999999999999E-2</v>
      </c>
      <c r="G72" s="26">
        <v>1.422E-2</v>
      </c>
      <c r="H72" s="26">
        <v>1.4101000000000001E-2</v>
      </c>
      <c r="I72" s="26">
        <v>1.4618000000000001E-2</v>
      </c>
      <c r="J72" s="26">
        <v>1.0710000000000001E-2</v>
      </c>
      <c r="K72" s="26">
        <v>1.124E-2</v>
      </c>
      <c r="L72" s="26">
        <v>8.3669999999999994E-3</v>
      </c>
      <c r="M72" s="26">
        <v>6.4209999999999996E-3</v>
      </c>
      <c r="N72" s="26">
        <v>6.1219999999999998E-3</v>
      </c>
      <c r="O72" s="26">
        <v>5.8040000000000001E-3</v>
      </c>
      <c r="P72" s="26">
        <v>9.9330000000000009E-3</v>
      </c>
      <c r="Q72" s="26">
        <v>9.7439999999999992E-3</v>
      </c>
      <c r="R72" s="26">
        <v>9.9520000000000008E-3</v>
      </c>
      <c r="S72" s="26">
        <v>1.0142999999999999E-2</v>
      </c>
      <c r="T72" s="26">
        <v>9.6710000000000008E-3</v>
      </c>
      <c r="U72" s="26">
        <v>4.6889999999999996E-3</v>
      </c>
      <c r="V72" s="26"/>
      <c r="W72" s="26"/>
    </row>
    <row r="73" spans="1:24">
      <c r="A73" s="22" t="s">
        <v>77</v>
      </c>
      <c r="B73" s="2" t="s">
        <v>8</v>
      </c>
      <c r="C73" s="95">
        <f>Reactor1!C73</f>
        <v>0.83</v>
      </c>
      <c r="D73" s="23" cm="1">
        <f t="array" ref="D73:U73">TRANSPOSE(_xlfn._xlws.FILTER('Raw Data'!CG2:CG505,('Raw Data'!B2:B505=7)*('Raw Data'!CG2:CG505&lt;&gt;"")))</f>
        <v>0</v>
      </c>
      <c r="E73" s="26">
        <v>0</v>
      </c>
      <c r="F73" s="26">
        <v>5.4949999999999999E-3</v>
      </c>
      <c r="G73" s="26">
        <v>0</v>
      </c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P73" s="26">
        <v>0</v>
      </c>
      <c r="Q73" s="26">
        <v>0</v>
      </c>
      <c r="R73" s="26">
        <v>0</v>
      </c>
      <c r="S73" s="26">
        <v>0</v>
      </c>
      <c r="T73" s="26">
        <v>0</v>
      </c>
      <c r="U73" s="26">
        <v>0</v>
      </c>
      <c r="V73" s="26"/>
      <c r="W73" s="26"/>
    </row>
    <row r="74" spans="1:24">
      <c r="A74" s="22" t="s">
        <v>78</v>
      </c>
      <c r="B74" s="2" t="s">
        <v>8</v>
      </c>
      <c r="C74" s="95">
        <f>Reactor1!C74</f>
        <v>0.83499999999999996</v>
      </c>
      <c r="D74" s="23" cm="1">
        <f t="array" ref="D74:U74">TRANSPOSE(_xlfn._xlws.FILTER('Raw Data'!CH2:CH505,('Raw Data'!B2:B505=7)*('Raw Data'!CH2:CH505&lt;&gt;"")))</f>
        <v>0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P74" s="26">
        <v>0</v>
      </c>
      <c r="Q74" s="26">
        <v>0</v>
      </c>
      <c r="R74" s="26">
        <v>0</v>
      </c>
      <c r="S74" s="26">
        <v>0</v>
      </c>
      <c r="T74" s="26">
        <v>0</v>
      </c>
      <c r="U74" s="26">
        <v>0</v>
      </c>
      <c r="V74" s="26"/>
      <c r="W74" s="26"/>
    </row>
    <row r="75" spans="1:24">
      <c r="A75" s="22" t="s">
        <v>79</v>
      </c>
      <c r="B75" s="2" t="s">
        <v>8</v>
      </c>
      <c r="C75" s="95">
        <f>Reactor1!C75</f>
        <v>0.83860000000000001</v>
      </c>
      <c r="D75" s="23" cm="1">
        <f t="array" ref="D75:U75">TRANSPOSE(_xlfn._xlws.FILTER('Raw Data'!CI2:CI505,('Raw Data'!B2:B505=7)*('Raw Data'!CI2:CI505&lt;&gt;"")))</f>
        <v>1.165435</v>
      </c>
      <c r="E75" s="26">
        <v>0</v>
      </c>
      <c r="F75" s="26">
        <v>0</v>
      </c>
      <c r="G75" s="26">
        <v>0</v>
      </c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P75" s="26">
        <v>0</v>
      </c>
      <c r="Q75" s="26">
        <v>0</v>
      </c>
      <c r="R75" s="26">
        <v>0</v>
      </c>
      <c r="S75" s="26">
        <v>0</v>
      </c>
      <c r="T75" s="26">
        <v>0</v>
      </c>
      <c r="U75" s="26">
        <v>7.6860000000000001E-3</v>
      </c>
      <c r="V75" s="26"/>
      <c r="W75" s="26"/>
    </row>
    <row r="76" spans="1:24">
      <c r="A76" s="22" t="s">
        <v>80</v>
      </c>
      <c r="B76" s="2" t="s">
        <v>8</v>
      </c>
      <c r="C76" s="95">
        <f>Reactor1!C76</f>
        <v>0.84060000000000001</v>
      </c>
      <c r="D76" s="23" cm="1">
        <f t="array" ref="D76:U76">TRANSPOSE(_xlfn._xlws.FILTER('Raw Data'!CJ2:CJ505,('Raw Data'!B2:B505=7)*('Raw Data'!CJ2:CJ505&lt;&gt;"")))</f>
        <v>0.100525</v>
      </c>
      <c r="E76" s="26">
        <v>5.1910000000000003E-3</v>
      </c>
      <c r="F76" s="26">
        <v>7.4330000000000004E-3</v>
      </c>
      <c r="G76" s="26">
        <v>1.9181E-2</v>
      </c>
      <c r="H76" s="26">
        <v>1.6865000000000002E-2</v>
      </c>
      <c r="I76" s="26">
        <v>1.5344E-2</v>
      </c>
      <c r="J76" s="26">
        <v>2.3876000000000001E-2</v>
      </c>
      <c r="K76" s="26">
        <v>2.4396999999999999E-2</v>
      </c>
      <c r="L76" s="26">
        <v>3.4527000000000002E-2</v>
      </c>
      <c r="M76" s="26">
        <v>4.3432999999999999E-2</v>
      </c>
      <c r="N76" s="26">
        <v>4.2520000000000002E-2</v>
      </c>
      <c r="O76" s="26">
        <v>4.1874000000000001E-2</v>
      </c>
      <c r="P76" s="26">
        <v>2.359E-2</v>
      </c>
      <c r="Q76" s="26">
        <v>2.2877999999999999E-2</v>
      </c>
      <c r="R76" s="26">
        <v>2.3715E-2</v>
      </c>
      <c r="S76" s="26">
        <v>2.2634000000000001E-2</v>
      </c>
      <c r="T76" s="26">
        <v>2.3487000000000001E-2</v>
      </c>
      <c r="U76" s="26">
        <v>6.1733000000000003E-2</v>
      </c>
      <c r="V76" s="26"/>
      <c r="W76" s="26"/>
    </row>
    <row r="77" spans="1:24">
      <c r="A77" s="22" t="s">
        <v>644</v>
      </c>
      <c r="B77" s="2" t="s">
        <v>8</v>
      </c>
      <c r="C77" s="95">
        <f>Reactor1!C77</f>
        <v>0.84799999999999998</v>
      </c>
      <c r="D77" s="23" cm="1">
        <f t="array" ref="D77:U77">TRANSPOSE(_xlfn._xlws.FILTER('Raw Data'!CK2:CK505,('Raw Data'!B2:B505=7)*('Raw Data'!CK2:CK505&lt;&gt;"")))</f>
        <v>0.18753</v>
      </c>
      <c r="E77" s="26">
        <v>8.1467999999999999E-2</v>
      </c>
      <c r="F77" s="26">
        <v>8.7890999999999997E-2</v>
      </c>
      <c r="G77" s="26">
        <v>0.10564900000000001</v>
      </c>
      <c r="H77" s="26">
        <v>0.107583</v>
      </c>
      <c r="I77" s="26">
        <v>0.108372</v>
      </c>
      <c r="J77" s="26">
        <v>0.12603900000000001</v>
      </c>
      <c r="K77" s="26">
        <v>0.12518499999999999</v>
      </c>
      <c r="L77" s="26">
        <v>0.12026000000000001</v>
      </c>
      <c r="M77" s="26">
        <v>0.14171400000000001</v>
      </c>
      <c r="N77" s="26">
        <v>0.12275899999999999</v>
      </c>
      <c r="O77" s="26">
        <v>0.13117000000000001</v>
      </c>
      <c r="P77" s="26">
        <v>0.123386</v>
      </c>
      <c r="Q77" s="26">
        <v>0.12230000000000001</v>
      </c>
      <c r="R77" s="26">
        <v>0.12121</v>
      </c>
      <c r="S77" s="26">
        <v>0.12731600000000001</v>
      </c>
      <c r="T77" s="26">
        <v>0.123519</v>
      </c>
      <c r="U77" s="26">
        <v>0.110069</v>
      </c>
      <c r="V77" s="26"/>
      <c r="W77" s="26"/>
    </row>
    <row r="78" spans="1:24">
      <c r="A78" s="22" t="s">
        <v>81</v>
      </c>
      <c r="B78" s="2" t="s">
        <v>8</v>
      </c>
      <c r="D78" s="23">
        <f t="shared" ref="D78:V78" si="91">SUM(D42:D77)</f>
        <v>99.998984999999976</v>
      </c>
      <c r="E78" s="23">
        <f t="shared" si="91"/>
        <v>100.01508799999998</v>
      </c>
      <c r="F78" s="23">
        <f t="shared" si="91"/>
        <v>99.999969000000007</v>
      </c>
      <c r="G78" s="148">
        <f t="shared" si="91"/>
        <v>100.04332200000002</v>
      </c>
      <c r="H78" s="23">
        <f t="shared" si="91"/>
        <v>100.00002300000001</v>
      </c>
      <c r="I78" s="23">
        <f t="shared" si="91"/>
        <v>100.00000800000002</v>
      </c>
      <c r="J78" s="23">
        <f t="shared" si="91"/>
        <v>99.999999000000031</v>
      </c>
      <c r="K78" s="23">
        <f t="shared" si="91"/>
        <v>99.999991999999992</v>
      </c>
      <c r="L78" s="23">
        <f t="shared" si="91"/>
        <v>99.999991000000037</v>
      </c>
      <c r="M78" s="23">
        <f t="shared" si="91"/>
        <v>100.00001700000001</v>
      </c>
      <c r="N78" s="23">
        <f t="shared" si="91"/>
        <v>99.999992999999989</v>
      </c>
      <c r="O78" s="23">
        <f t="shared" si="91"/>
        <v>100.00001200000003</v>
      </c>
      <c r="P78" s="23">
        <f t="shared" si="91"/>
        <v>99.999980999999991</v>
      </c>
      <c r="Q78" s="23">
        <f t="shared" si="91"/>
        <v>99.999993999999973</v>
      </c>
      <c r="R78" s="23">
        <f t="shared" si="91"/>
        <v>99.999992999999989</v>
      </c>
      <c r="S78" s="23">
        <f t="shared" si="91"/>
        <v>99.99900599999998</v>
      </c>
      <c r="T78" s="23">
        <f t="shared" si="91"/>
        <v>100.00001200000001</v>
      </c>
      <c r="U78" s="23">
        <f t="shared" si="91"/>
        <v>100.00001</v>
      </c>
      <c r="V78" s="26">
        <f t="shared" si="91"/>
        <v>0</v>
      </c>
      <c r="W78" s="26"/>
      <c r="X78" s="26"/>
    </row>
    <row r="79" spans="1:24" s="133" customFormat="1">
      <c r="A79" s="131"/>
      <c r="B79" s="131"/>
      <c r="C79" s="131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1"/>
      <c r="O79" s="131"/>
      <c r="P79" s="131"/>
      <c r="Q79" s="131"/>
      <c r="R79" s="131"/>
      <c r="S79" s="131"/>
      <c r="T79" s="131"/>
      <c r="U79" s="131"/>
      <c r="V79" s="131"/>
      <c r="W79" s="131"/>
    </row>
    <row r="80" spans="1:24">
      <c r="A80" s="38" t="s">
        <v>9</v>
      </c>
      <c r="B80" s="2" t="s">
        <v>74</v>
      </c>
      <c r="D80" s="23">
        <f t="shared" ref="D80:I80" si="92">(D36*D42)/(D37)</f>
        <v>0</v>
      </c>
      <c r="E80" s="23">
        <f t="shared" si="92"/>
        <v>0</v>
      </c>
      <c r="F80" s="23">
        <f t="shared" si="92"/>
        <v>0</v>
      </c>
      <c r="G80" s="23">
        <f t="shared" si="92"/>
        <v>0</v>
      </c>
      <c r="H80" s="23">
        <f t="shared" si="92"/>
        <v>0</v>
      </c>
      <c r="I80" s="23">
        <f t="shared" si="92"/>
        <v>0</v>
      </c>
      <c r="J80" s="23">
        <f t="shared" ref="J80:K80" si="93">(J36*J42)/(J37)</f>
        <v>0</v>
      </c>
      <c r="K80" s="23">
        <f t="shared" si="93"/>
        <v>0</v>
      </c>
      <c r="L80" s="23">
        <f t="shared" ref="L80:M80" si="94">(L36*L42)/(L37)</f>
        <v>0</v>
      </c>
      <c r="M80" s="23">
        <f t="shared" si="94"/>
        <v>0</v>
      </c>
      <c r="N80" s="23">
        <f t="shared" ref="N80:T80" si="95">(N36*N42)/(N37)</f>
        <v>0</v>
      </c>
      <c r="O80" s="23">
        <f t="shared" si="95"/>
        <v>0</v>
      </c>
      <c r="P80" s="23">
        <f t="shared" si="95"/>
        <v>0</v>
      </c>
      <c r="Q80" s="23">
        <f t="shared" si="95"/>
        <v>0</v>
      </c>
      <c r="R80" s="23">
        <f t="shared" si="95"/>
        <v>0</v>
      </c>
      <c r="S80" s="23">
        <f t="shared" si="95"/>
        <v>0</v>
      </c>
      <c r="T80" s="23">
        <f t="shared" si="95"/>
        <v>0</v>
      </c>
      <c r="U80" s="23">
        <f t="shared" ref="U80" si="96">(U36*U42)/(U37)</f>
        <v>0</v>
      </c>
      <c r="V80" s="23" t="e">
        <f t="shared" ref="V80" si="97">(V36*V42)/(V37)</f>
        <v>#DIV/0!</v>
      </c>
      <c r="W80" s="23"/>
    </row>
    <row r="81" spans="1:23">
      <c r="A81" s="38" t="s">
        <v>10</v>
      </c>
      <c r="B81" s="2" t="s">
        <v>74</v>
      </c>
      <c r="D81" s="23">
        <f t="shared" ref="D81:I81" si="98">(D36*D43)/(D37)</f>
        <v>0</v>
      </c>
      <c r="E81" s="23">
        <f t="shared" si="98"/>
        <v>0</v>
      </c>
      <c r="F81" s="23">
        <f t="shared" si="98"/>
        <v>0</v>
      </c>
      <c r="G81" s="23">
        <f t="shared" si="98"/>
        <v>0</v>
      </c>
      <c r="H81" s="23">
        <f t="shared" si="98"/>
        <v>0</v>
      </c>
      <c r="I81" s="23">
        <f t="shared" si="98"/>
        <v>0</v>
      </c>
      <c r="J81" s="23">
        <f t="shared" ref="J81:K81" si="99">(J36*J43)/(J37)</f>
        <v>0</v>
      </c>
      <c r="K81" s="23">
        <f t="shared" si="99"/>
        <v>0</v>
      </c>
      <c r="L81" s="23">
        <f t="shared" ref="L81:M81" si="100">(L36*L43)/(L37)</f>
        <v>0</v>
      </c>
      <c r="M81" s="23">
        <f t="shared" si="100"/>
        <v>0</v>
      </c>
      <c r="N81" s="23">
        <f t="shared" ref="N81:T81" si="101">(N36*N43)/(N37)</f>
        <v>0</v>
      </c>
      <c r="O81" s="23">
        <f t="shared" si="101"/>
        <v>0</v>
      </c>
      <c r="P81" s="23">
        <f t="shared" si="101"/>
        <v>0</v>
      </c>
      <c r="Q81" s="23">
        <f t="shared" si="101"/>
        <v>0</v>
      </c>
      <c r="R81" s="23">
        <f t="shared" si="101"/>
        <v>0</v>
      </c>
      <c r="S81" s="23">
        <f t="shared" si="101"/>
        <v>0</v>
      </c>
      <c r="T81" s="23">
        <f t="shared" si="101"/>
        <v>0</v>
      </c>
      <c r="U81" s="23">
        <f t="shared" ref="U81" si="102">(U36*U43)/(U37)</f>
        <v>0</v>
      </c>
      <c r="V81" s="23" t="e">
        <f t="shared" ref="V81" si="103">(V36*V43)/(V37)</f>
        <v>#DIV/0!</v>
      </c>
      <c r="W81" s="23"/>
    </row>
    <row r="82" spans="1:23">
      <c r="A82" s="38" t="s">
        <v>11</v>
      </c>
      <c r="B82" s="2" t="s">
        <v>74</v>
      </c>
      <c r="D82" s="23">
        <f t="shared" ref="D82:I82" si="104">(D36*D44)/(D37)</f>
        <v>3.4851381260769743</v>
      </c>
      <c r="E82" s="23">
        <f t="shared" si="104"/>
        <v>9.3070187223986451</v>
      </c>
      <c r="F82" s="23">
        <f t="shared" si="104"/>
        <v>10.350041312139162</v>
      </c>
      <c r="G82" s="23">
        <f t="shared" si="104"/>
        <v>9.1925013556561268</v>
      </c>
      <c r="H82" s="23">
        <f t="shared" si="104"/>
        <v>9.2737362052610788</v>
      </c>
      <c r="I82" s="23">
        <f t="shared" si="104"/>
        <v>9.3994959986344817</v>
      </c>
      <c r="J82" s="23">
        <f t="shared" ref="J82:K82" si="105">(J36*J44)/(J37)</f>
        <v>7.816124984600596</v>
      </c>
      <c r="K82" s="23">
        <f t="shared" si="105"/>
        <v>7.8344312310383177</v>
      </c>
      <c r="L82" s="23">
        <f t="shared" ref="L82:M82" si="106">(L36*L44)/(L37)</f>
        <v>5.8501949347271553</v>
      </c>
      <c r="M82" s="23">
        <f t="shared" si="106"/>
        <v>4.5251103042253895</v>
      </c>
      <c r="N82" s="23">
        <f t="shared" ref="N82:T82" si="107">(N36*N44)/(N37)</f>
        <v>4.7066331526628833</v>
      </c>
      <c r="O82" s="23">
        <f t="shared" si="107"/>
        <v>4.6525196112283052</v>
      </c>
      <c r="P82" s="23">
        <f t="shared" si="107"/>
        <v>7.8611513894173513</v>
      </c>
      <c r="Q82" s="23">
        <f t="shared" si="107"/>
        <v>7.8670214481218039</v>
      </c>
      <c r="R82" s="23">
        <f t="shared" si="107"/>
        <v>7.8841730685549427</v>
      </c>
      <c r="S82" s="23">
        <f t="shared" si="107"/>
        <v>7.8717839272399832</v>
      </c>
      <c r="T82" s="23">
        <f t="shared" si="107"/>
        <v>7.8247667187122874</v>
      </c>
      <c r="U82" s="23">
        <f t="shared" ref="U82" si="108">(U36*U44)/(U37)</f>
        <v>2.5709129553961581</v>
      </c>
      <c r="V82" s="23" t="e">
        <f t="shared" ref="V82" si="109">(V36*V44)/(V37)</f>
        <v>#DIV/0!</v>
      </c>
      <c r="W82" s="23"/>
    </row>
    <row r="83" spans="1:23">
      <c r="A83" s="38" t="s">
        <v>12</v>
      </c>
      <c r="B83" s="2" t="s">
        <v>74</v>
      </c>
      <c r="D83" s="23">
        <f t="shared" ref="D83:I83" si="110">(D36*D45)/(D37)</f>
        <v>3.0167490733440521</v>
      </c>
      <c r="E83" s="23">
        <f t="shared" si="110"/>
        <v>3.792927269926655</v>
      </c>
      <c r="F83" s="23">
        <f t="shared" si="110"/>
        <v>3.8442694807741939</v>
      </c>
      <c r="G83" s="23">
        <f t="shared" si="110"/>
        <v>3.7028163632780182</v>
      </c>
      <c r="H83" s="23">
        <f t="shared" si="110"/>
        <v>3.7040965027374053</v>
      </c>
      <c r="I83" s="23">
        <f t="shared" si="110"/>
        <v>3.7098116506140317</v>
      </c>
      <c r="J83" s="23">
        <f t="shared" ref="J83:K83" si="111">(J36*J45)/(J37)</f>
        <v>3.5459065293420706</v>
      </c>
      <c r="K83" s="23">
        <f t="shared" si="111"/>
        <v>3.5371060939199337</v>
      </c>
      <c r="L83" s="23">
        <f t="shared" ref="L83:M83" si="112">(L36*L45)/(L37)</f>
        <v>3.3351771919546866</v>
      </c>
      <c r="M83" s="23">
        <f t="shared" si="112"/>
        <v>3.1068096731605128</v>
      </c>
      <c r="N83" s="23">
        <f t="shared" ref="N83:T83" si="113">(N36*N45)/(N37)</f>
        <v>3.1534830155989373</v>
      </c>
      <c r="O83" s="23">
        <f t="shared" si="113"/>
        <v>3.1393691919268152</v>
      </c>
      <c r="P83" s="23">
        <f t="shared" si="113"/>
        <v>3.5397869098101067</v>
      </c>
      <c r="Q83" s="23">
        <f t="shared" si="113"/>
        <v>3.5441211943357822</v>
      </c>
      <c r="R83" s="23">
        <f t="shared" si="113"/>
        <v>3.5430602727708904</v>
      </c>
      <c r="S83" s="23">
        <f t="shared" si="113"/>
        <v>3.5373564608329846</v>
      </c>
      <c r="T83" s="23">
        <f t="shared" si="113"/>
        <v>3.5383008982829409</v>
      </c>
      <c r="U83" s="23">
        <f t="shared" ref="U83" si="114">(U36*U45)/(U37)</f>
        <v>2.6894634333025582</v>
      </c>
      <c r="V83" s="23" t="e">
        <f t="shared" ref="V83" si="115">(V36*V45)/(V37)</f>
        <v>#DIV/0!</v>
      </c>
      <c r="W83" s="23"/>
    </row>
    <row r="84" spans="1:23">
      <c r="A84" s="38" t="s">
        <v>13</v>
      </c>
      <c r="B84" s="2" t="s">
        <v>74</v>
      </c>
      <c r="D84" s="23">
        <f t="shared" ref="D84:I84" si="116">(D36*D46)/(D37)</f>
        <v>8.6028242203785581</v>
      </c>
      <c r="E84" s="23">
        <f t="shared" si="116"/>
        <v>17.628030819617582</v>
      </c>
      <c r="F84" s="23">
        <f t="shared" si="116"/>
        <v>19.184296483683386</v>
      </c>
      <c r="G84" s="23">
        <f t="shared" si="116"/>
        <v>17.669192441175969</v>
      </c>
      <c r="H84" s="23">
        <f t="shared" si="116"/>
        <v>17.801189277031582</v>
      </c>
      <c r="I84" s="23">
        <f t="shared" si="116"/>
        <v>17.984759787722584</v>
      </c>
      <c r="J84" s="23">
        <f t="shared" ref="J84:K84" si="117">(J36*J46)/(J37)</f>
        <v>15.885940608886518</v>
      </c>
      <c r="K84" s="23">
        <f t="shared" si="117"/>
        <v>15.902709140873664</v>
      </c>
      <c r="L84" s="23">
        <f t="shared" ref="L84:M84" si="118">(L36*L46)/(L37)</f>
        <v>12.974130296874266</v>
      </c>
      <c r="M84" s="23">
        <f t="shared" si="118"/>
        <v>11.002184684274871</v>
      </c>
      <c r="N84" s="23">
        <f t="shared" ref="N84:T84" si="119">(N36*N46)/(N37)</f>
        <v>11.295348616245043</v>
      </c>
      <c r="O84" s="23">
        <f t="shared" si="119"/>
        <v>11.222016238335263</v>
      </c>
      <c r="P84" s="23">
        <f t="shared" si="119"/>
        <v>15.935493868432401</v>
      </c>
      <c r="Q84" s="23">
        <f t="shared" si="119"/>
        <v>15.951958433050009</v>
      </c>
      <c r="R84" s="23">
        <f t="shared" si="119"/>
        <v>15.968876803117981</v>
      </c>
      <c r="S84" s="23">
        <f t="shared" si="119"/>
        <v>15.954162831221163</v>
      </c>
      <c r="T84" s="23">
        <f t="shared" si="119"/>
        <v>15.872445557873329</v>
      </c>
      <c r="U84" s="23">
        <f t="shared" ref="U84" si="120">(U36*U46)/(U37)</f>
        <v>7.5723579827091809</v>
      </c>
      <c r="V84" s="23" t="e">
        <f t="shared" ref="V84" si="121">(V36*V46)/(V37)</f>
        <v>#DIV/0!</v>
      </c>
      <c r="W84" s="23"/>
    </row>
    <row r="85" spans="1:23">
      <c r="A85" s="38" t="s">
        <v>14</v>
      </c>
      <c r="B85" s="2" t="s">
        <v>74</v>
      </c>
      <c r="D85" s="23">
        <f t="shared" ref="D85:I85" si="122">(D36*D47)/(D37)</f>
        <v>12.375226379221017</v>
      </c>
      <c r="E85" s="23">
        <f t="shared" si="122"/>
        <v>12.002781350428558</v>
      </c>
      <c r="F85" s="23">
        <f t="shared" si="122"/>
        <v>11.985358607648449</v>
      </c>
      <c r="G85" s="23">
        <f t="shared" si="122"/>
        <v>12.229029154564287</v>
      </c>
      <c r="H85" s="23">
        <f t="shared" si="122"/>
        <v>12.206617853658859</v>
      </c>
      <c r="I85" s="23">
        <f t="shared" si="122"/>
        <v>12.196806191360562</v>
      </c>
      <c r="J85" s="23">
        <f t="shared" ref="J85:K85" si="123">(J36*J47)/(J37)</f>
        <v>12.322759881202643</v>
      </c>
      <c r="K85" s="23">
        <f t="shared" si="123"/>
        <v>12.307329534843435</v>
      </c>
      <c r="L85" s="23">
        <f t="shared" ref="L85:M85" si="124">(L36*L47)/(L37)</f>
        <v>12.484352214949464</v>
      </c>
      <c r="M85" s="23">
        <f t="shared" si="124"/>
        <v>12.53906815263171</v>
      </c>
      <c r="N85" s="23">
        <f t="shared" ref="N85:T85" si="125">(N36*N47)/(N37)</f>
        <v>12.582423328799909</v>
      </c>
      <c r="O85" s="23">
        <f t="shared" si="125"/>
        <v>12.561534761146087</v>
      </c>
      <c r="P85" s="23">
        <f t="shared" si="125"/>
        <v>12.317728305622477</v>
      </c>
      <c r="Q85" s="23">
        <f t="shared" si="125"/>
        <v>12.316744195496897</v>
      </c>
      <c r="R85" s="23">
        <f t="shared" si="125"/>
        <v>12.317759065809579</v>
      </c>
      <c r="S85" s="23">
        <f t="shared" si="125"/>
        <v>12.303277028716865</v>
      </c>
      <c r="T85" s="23">
        <f t="shared" si="125"/>
        <v>12.35863831876898</v>
      </c>
      <c r="U85" s="23">
        <f t="shared" ref="U85" si="126">(U36*U47)/(U37)</f>
        <v>12.661280119532959</v>
      </c>
      <c r="V85" s="23" t="e">
        <f t="shared" ref="V85" si="127">(V36*V47)/(V37)</f>
        <v>#DIV/0!</v>
      </c>
      <c r="W85" s="23"/>
    </row>
    <row r="86" spans="1:23">
      <c r="A86" s="38" t="s">
        <v>15</v>
      </c>
      <c r="B86" s="2" t="s">
        <v>74</v>
      </c>
      <c r="D86" s="23">
        <f t="shared" ref="D86:I86" si="128">(D36*D48)/(D37)</f>
        <v>9.9255443068511191</v>
      </c>
      <c r="E86" s="23">
        <f t="shared" si="128"/>
        <v>11.670736972430589</v>
      </c>
      <c r="F86" s="23">
        <f t="shared" si="128"/>
        <v>11.777568181210711</v>
      </c>
      <c r="G86" s="23">
        <f t="shared" si="128"/>
        <v>11.345965875236381</v>
      </c>
      <c r="H86" s="23">
        <f t="shared" si="128"/>
        <v>11.35914878735729</v>
      </c>
      <c r="I86" s="23">
        <f t="shared" si="128"/>
        <v>11.387339112910366</v>
      </c>
      <c r="J86" s="23">
        <f t="shared" ref="J86:K86" si="129">(J36*J48)/(J37)</f>
        <v>11.008730489387693</v>
      </c>
      <c r="K86" s="23">
        <f t="shared" si="129"/>
        <v>11.000699847114468</v>
      </c>
      <c r="L86" s="23">
        <f t="shared" ref="L86:M86" si="130">(L36*L48)/(L37)</f>
        <v>10.489559411205859</v>
      </c>
      <c r="M86" s="23">
        <f t="shared" si="130"/>
        <v>10.145245986851265</v>
      </c>
      <c r="N86" s="23">
        <f t="shared" ref="N86:T86" si="131">(N36*N48)/(N37)</f>
        <v>10.223514273690899</v>
      </c>
      <c r="O86" s="23">
        <f t="shared" si="131"/>
        <v>10.200267730945312</v>
      </c>
      <c r="P86" s="23">
        <f t="shared" si="131"/>
        <v>10.997569975246542</v>
      </c>
      <c r="Q86" s="23">
        <f t="shared" si="131"/>
        <v>11.005848984410752</v>
      </c>
      <c r="R86" s="23">
        <f t="shared" si="131"/>
        <v>11.007182713558159</v>
      </c>
      <c r="S86" s="23">
        <f t="shared" si="131"/>
        <v>10.99330551627575</v>
      </c>
      <c r="T86" s="23">
        <f t="shared" si="131"/>
        <v>11.015815689086658</v>
      </c>
      <c r="U86" s="23">
        <f t="shared" ref="U86" si="132">(U36*U48)/(U37)</f>
        <v>9.4169249329970945</v>
      </c>
      <c r="V86" s="23" t="e">
        <f t="shared" ref="V86" si="133">(V36*V48)/(V37)</f>
        <v>#DIV/0!</v>
      </c>
      <c r="W86" s="23"/>
    </row>
    <row r="87" spans="1:23">
      <c r="A87" s="38" t="s">
        <v>16</v>
      </c>
      <c r="B87" s="2" t="s">
        <v>74</v>
      </c>
      <c r="D87" s="23">
        <f t="shared" ref="D87:I87" si="134">(D36*D49)/(D37)</f>
        <v>0</v>
      </c>
      <c r="E87" s="23">
        <f t="shared" si="134"/>
        <v>0</v>
      </c>
      <c r="F87" s="23">
        <f t="shared" si="134"/>
        <v>0</v>
      </c>
      <c r="G87" s="23">
        <f t="shared" si="134"/>
        <v>0</v>
      </c>
      <c r="H87" s="23">
        <f t="shared" si="134"/>
        <v>0</v>
      </c>
      <c r="I87" s="23">
        <f t="shared" si="134"/>
        <v>0</v>
      </c>
      <c r="J87" s="23">
        <f t="shared" ref="J87:K87" si="135">(J36*J49)/(J37)</f>
        <v>0</v>
      </c>
      <c r="K87" s="23">
        <f t="shared" si="135"/>
        <v>0</v>
      </c>
      <c r="L87" s="23">
        <f t="shared" ref="L87:M87" si="136">(L36*L49)/(L37)</f>
        <v>0</v>
      </c>
      <c r="M87" s="23">
        <f t="shared" si="136"/>
        <v>0</v>
      </c>
      <c r="N87" s="23">
        <f t="shared" ref="N87:T87" si="137">(N36*N49)/(N37)</f>
        <v>0</v>
      </c>
      <c r="O87" s="23">
        <f t="shared" si="137"/>
        <v>0</v>
      </c>
      <c r="P87" s="23">
        <f t="shared" si="137"/>
        <v>0</v>
      </c>
      <c r="Q87" s="23">
        <f t="shared" si="137"/>
        <v>0</v>
      </c>
      <c r="R87" s="23">
        <f t="shared" si="137"/>
        <v>0</v>
      </c>
      <c r="S87" s="23">
        <f t="shared" si="137"/>
        <v>0</v>
      </c>
      <c r="T87" s="23">
        <f t="shared" si="137"/>
        <v>0</v>
      </c>
      <c r="U87" s="23">
        <f t="shared" ref="U87" si="138">(U36*U49)/(U37)</f>
        <v>0</v>
      </c>
      <c r="V87" s="23" t="e">
        <f t="shared" ref="V87" si="139">(V36*V49)/(V37)</f>
        <v>#DIV/0!</v>
      </c>
      <c r="W87" s="23"/>
    </row>
    <row r="88" spans="1:23">
      <c r="A88" s="38" t="s">
        <v>17</v>
      </c>
      <c r="B88" s="2" t="s">
        <v>74</v>
      </c>
      <c r="D88" s="23">
        <f t="shared" ref="D88:I88" si="140">(D36*D50)/(D37)</f>
        <v>14.575637235451465</v>
      </c>
      <c r="E88" s="23">
        <f t="shared" si="140"/>
        <v>10.780536504115176</v>
      </c>
      <c r="F88" s="23">
        <f t="shared" si="140"/>
        <v>10.917220123130354</v>
      </c>
      <c r="G88" s="23">
        <f t="shared" si="140"/>
        <v>12.424685384193969</v>
      </c>
      <c r="H88" s="23">
        <f t="shared" si="140"/>
        <v>12.368030607448173</v>
      </c>
      <c r="I88" s="23">
        <f t="shared" si="140"/>
        <v>12.279818359981443</v>
      </c>
      <c r="J88" s="23">
        <f t="shared" ref="J88:K88" si="141">(J36*J50)/(J37)</f>
        <v>13.336996204754492</v>
      </c>
      <c r="K88" s="23">
        <f t="shared" si="141"/>
        <v>13.337915940522851</v>
      </c>
      <c r="L88" s="23">
        <f t="shared" ref="L88:M88" si="142">(L36*L50)/(L37)</f>
        <v>14.680654927134494</v>
      </c>
      <c r="M88" s="23">
        <f t="shared" si="142"/>
        <v>15.349000404126709</v>
      </c>
      <c r="N88" s="23">
        <f t="shared" ref="N88:T88" si="143">(N36*N50)/(N37)</f>
        <v>15.25740110321094</v>
      </c>
      <c r="O88" s="23">
        <f t="shared" si="143"/>
        <v>15.275824118086803</v>
      </c>
      <c r="P88" s="23">
        <f t="shared" si="143"/>
        <v>13.334808491142089</v>
      </c>
      <c r="Q88" s="23">
        <f t="shared" si="143"/>
        <v>13.319744699142642</v>
      </c>
      <c r="R88" s="23">
        <f t="shared" si="143"/>
        <v>13.307946394097986</v>
      </c>
      <c r="S88" s="23">
        <f t="shared" si="143"/>
        <v>13.3143017601236</v>
      </c>
      <c r="T88" s="23">
        <f t="shared" si="143"/>
        <v>13.348286592003719</v>
      </c>
      <c r="U88" s="23">
        <f t="shared" ref="U88" si="144">(U36*U50)/(U37)</f>
        <v>16.406403463020542</v>
      </c>
      <c r="V88" s="23" t="e">
        <f t="shared" ref="V88" si="145">(V36*V50)/(V37)</f>
        <v>#DIV/0!</v>
      </c>
      <c r="W88" s="23"/>
    </row>
    <row r="89" spans="1:23">
      <c r="A89" s="38" t="s">
        <v>18</v>
      </c>
      <c r="B89" s="2" t="s">
        <v>74</v>
      </c>
      <c r="D89" s="23">
        <f t="shared" ref="D89:I89" si="146">(D36*D51)/(D37)</f>
        <v>8.2104147790538367</v>
      </c>
      <c r="E89" s="23">
        <f t="shared" si="146"/>
        <v>9.8006814964394149</v>
      </c>
      <c r="F89" s="23">
        <f t="shared" si="146"/>
        <v>9.6585235422598625</v>
      </c>
      <c r="G89" s="23">
        <f t="shared" si="146"/>
        <v>9.0011769165641784</v>
      </c>
      <c r="H89" s="23">
        <f t="shared" si="146"/>
        <v>9.0243152824229558</v>
      </c>
      <c r="I89" s="23">
        <f t="shared" si="146"/>
        <v>9.0568174163210013</v>
      </c>
      <c r="J89" s="23">
        <f t="shared" ref="J89:K89" si="147">(J36*J51)/(J37)</f>
        <v>8.6013825924696032</v>
      </c>
      <c r="K89" s="23">
        <f t="shared" si="147"/>
        <v>8.6211080485774438</v>
      </c>
      <c r="L89" s="23">
        <f t="shared" ref="L89:M89" si="148">(L36*L51)/(L37)</f>
        <v>8.0217367092138296</v>
      </c>
      <c r="M89" s="23">
        <f t="shared" si="148"/>
        <v>7.7689319818581124</v>
      </c>
      <c r="N89" s="23">
        <f t="shared" ref="N89:T89" si="149">(N36*N51)/(N37)</f>
        <v>7.8058447653209404</v>
      </c>
      <c r="O89" s="23">
        <f t="shared" si="149"/>
        <v>7.7969663172227603</v>
      </c>
      <c r="P89" s="23">
        <f t="shared" si="149"/>
        <v>8.6146146653815148</v>
      </c>
      <c r="Q89" s="23">
        <f t="shared" si="149"/>
        <v>8.6246590650712509</v>
      </c>
      <c r="R89" s="23">
        <f t="shared" si="149"/>
        <v>8.6287804641920918</v>
      </c>
      <c r="S89" s="23">
        <f t="shared" si="149"/>
        <v>8.6275678768752471</v>
      </c>
      <c r="T89" s="23">
        <f t="shared" si="149"/>
        <v>8.6225146231124246</v>
      </c>
      <c r="U89" s="23">
        <f t="shared" ref="U89" si="150">(U36*U51)/(U37)</f>
        <v>7.3771252208765237</v>
      </c>
      <c r="V89" s="23" t="e">
        <f t="shared" ref="V89" si="151">(V36*V51)/(V37)</f>
        <v>#DIV/0!</v>
      </c>
      <c r="W89" s="23"/>
    </row>
    <row r="90" spans="1:23">
      <c r="A90" s="38" t="s">
        <v>19</v>
      </c>
      <c r="B90" s="2" t="s">
        <v>74</v>
      </c>
      <c r="D90" s="23">
        <f t="shared" ref="D90:I90" si="152">(D36*D52)/(D37)</f>
        <v>4.9690509293022593</v>
      </c>
      <c r="E90" s="23">
        <f t="shared" si="152"/>
        <v>6.0944155156539157</v>
      </c>
      <c r="F90" s="23">
        <f t="shared" si="152"/>
        <v>5.986637812514779</v>
      </c>
      <c r="G90" s="23">
        <f t="shared" si="152"/>
        <v>5.5221704020403903</v>
      </c>
      <c r="H90" s="23">
        <f t="shared" si="152"/>
        <v>5.5356777848824503</v>
      </c>
      <c r="I90" s="23">
        <f t="shared" si="152"/>
        <v>5.5581014760685674</v>
      </c>
      <c r="J90" s="23">
        <f t="shared" ref="J90:K90" si="153">(J36*J52)/(J37)</f>
        <v>5.247818546528018</v>
      </c>
      <c r="K90" s="23">
        <f t="shared" si="153"/>
        <v>5.2618923776403665</v>
      </c>
      <c r="L90" s="23">
        <f t="shared" ref="L90:M90" si="154">(L36*L52)/(L37)</f>
        <v>4.866194164971235</v>
      </c>
      <c r="M90" s="23">
        <f t="shared" si="154"/>
        <v>4.6956119893591151</v>
      </c>
      <c r="N90" s="23">
        <f t="shared" ref="N90:T90" si="155">(N36*N52)/(N37)</f>
        <v>4.7159115947766548</v>
      </c>
      <c r="O90" s="23">
        <f t="shared" si="155"/>
        <v>4.7115302687871097</v>
      </c>
      <c r="P90" s="23">
        <f t="shared" si="155"/>
        <v>5.2559270342994555</v>
      </c>
      <c r="Q90" s="23">
        <f t="shared" si="155"/>
        <v>5.2594205753353682</v>
      </c>
      <c r="R90" s="23">
        <f t="shared" si="155"/>
        <v>5.2614094133050573</v>
      </c>
      <c r="S90" s="23">
        <f t="shared" si="155"/>
        <v>5.2623357354987474</v>
      </c>
      <c r="T90" s="23">
        <f t="shared" si="155"/>
        <v>5.2588166983167932</v>
      </c>
      <c r="U90" s="23">
        <f t="shared" ref="U90" si="156">(U36*U52)/(U37)</f>
        <v>4.3925460424266749</v>
      </c>
      <c r="V90" s="23" t="e">
        <f t="shared" ref="V90" si="157">(V36*V52)/(V37)</f>
        <v>#DIV/0!</v>
      </c>
      <c r="W90" s="23"/>
    </row>
    <row r="91" spans="1:23">
      <c r="A91" s="38" t="s">
        <v>20</v>
      </c>
      <c r="B91" s="2" t="s">
        <v>74</v>
      </c>
      <c r="D91" s="23">
        <f t="shared" ref="D91:I91" si="158">(D36*D53)/(D37)</f>
        <v>2.0157108682846201</v>
      </c>
      <c r="E91" s="23">
        <f t="shared" si="158"/>
        <v>2.8097437438436845</v>
      </c>
      <c r="F91" s="23">
        <f t="shared" si="158"/>
        <v>2.9024668259480646</v>
      </c>
      <c r="G91" s="23">
        <f t="shared" si="158"/>
        <v>2.8187446141269681</v>
      </c>
      <c r="H91" s="23">
        <f t="shared" si="158"/>
        <v>2.8292226822101623</v>
      </c>
      <c r="I91" s="23">
        <f t="shared" si="158"/>
        <v>2.8428790245867237</v>
      </c>
      <c r="J91" s="23">
        <f t="shared" ref="J91:K91" si="159">(J36*J53)/(J37)</f>
        <v>2.6914837074693505</v>
      </c>
      <c r="K91" s="23">
        <f t="shared" si="159"/>
        <v>2.6976586191048573</v>
      </c>
      <c r="L91" s="23">
        <f t="shared" ref="L91:M91" si="160">(L36*L53)/(L37)</f>
        <v>2.466162256728067</v>
      </c>
      <c r="M91" s="23">
        <f t="shared" si="160"/>
        <v>2.3566544857612506</v>
      </c>
      <c r="N91" s="23">
        <f t="shared" ref="N91:T91" si="161">(N36*N53)/(N37)</f>
        <v>2.374788982723671</v>
      </c>
      <c r="O91" s="23">
        <f t="shared" si="161"/>
        <v>2.3724184765269736</v>
      </c>
      <c r="P91" s="23">
        <f t="shared" si="161"/>
        <v>2.6962604932138281</v>
      </c>
      <c r="Q91" s="23">
        <f t="shared" si="161"/>
        <v>2.69982791275301</v>
      </c>
      <c r="R91" s="23">
        <f t="shared" si="161"/>
        <v>2.7019890256551857</v>
      </c>
      <c r="S91" s="23">
        <f t="shared" si="161"/>
        <v>2.7008910916632902</v>
      </c>
      <c r="T91" s="23">
        <f t="shared" si="161"/>
        <v>2.6990235485006764</v>
      </c>
      <c r="U91" s="23">
        <f t="shared" ref="U91" si="162">(U36*U53)/(U37)</f>
        <v>2.0495332120412493</v>
      </c>
      <c r="V91" s="23" t="e">
        <f t="shared" ref="V91" si="163">(V36*V53)/(V37)</f>
        <v>#DIV/0!</v>
      </c>
      <c r="W91" s="23"/>
    </row>
    <row r="92" spans="1:23">
      <c r="A92" s="38" t="s">
        <v>75</v>
      </c>
      <c r="B92" s="2" t="s">
        <v>74</v>
      </c>
      <c r="D92" s="23">
        <f t="shared" ref="D92:I92" si="164">(D36*D54)/(D37)</f>
        <v>0.29976538064274766</v>
      </c>
      <c r="E92" s="23">
        <f t="shared" si="164"/>
        <v>0.87179494956096315</v>
      </c>
      <c r="F92" s="23">
        <f t="shared" si="164"/>
        <v>0.80554997381108129</v>
      </c>
      <c r="G92" s="23">
        <f t="shared" si="164"/>
        <v>0.58379633671085573</v>
      </c>
      <c r="H92" s="23">
        <f t="shared" si="164"/>
        <v>0.5915795903643194</v>
      </c>
      <c r="I92" s="23">
        <f t="shared" si="164"/>
        <v>0.60361381789559954</v>
      </c>
      <c r="J92" s="23">
        <f t="shared" ref="J92:K92" si="165">(J36*J54)/(J37)</f>
        <v>0.48400255159387279</v>
      </c>
      <c r="K92" s="23">
        <f t="shared" si="165"/>
        <v>0.4862947979529138</v>
      </c>
      <c r="L92" s="23">
        <f t="shared" ref="L92:M92" si="166">(L36*L54)/(L37)</f>
        <v>0.32865558970401276</v>
      </c>
      <c r="M92" s="23">
        <f t="shared" si="166"/>
        <v>0.27157133979328552</v>
      </c>
      <c r="N92" s="23">
        <f t="shared" ref="N92:T92" si="167">(N36*N54)/(N37)</f>
        <v>0.27608111487340459</v>
      </c>
      <c r="O92" s="23">
        <f t="shared" si="167"/>
        <v>0.27638953133688959</v>
      </c>
      <c r="P92" s="23">
        <f t="shared" si="167"/>
        <v>0.48369444655993055</v>
      </c>
      <c r="Q92" s="23">
        <f t="shared" si="167"/>
        <v>0.48491492048497442</v>
      </c>
      <c r="R92" s="23">
        <f t="shared" si="167"/>
        <v>0.48568303524870859</v>
      </c>
      <c r="S92" s="23">
        <f t="shared" si="167"/>
        <v>0.48612711087328447</v>
      </c>
      <c r="T92" s="23">
        <f t="shared" si="167"/>
        <v>0.4839809407032224</v>
      </c>
      <c r="U92" s="23">
        <f t="shared" ref="U92" si="168">(U36*U54)/(U37)</f>
        <v>0.15257007831966923</v>
      </c>
      <c r="V92" s="23" t="e">
        <f t="shared" ref="V92" si="169">(V36*V54)/(V37)</f>
        <v>#DIV/0!</v>
      </c>
      <c r="W92" s="23"/>
    </row>
    <row r="93" spans="1:23">
      <c r="A93" s="38" t="s">
        <v>22</v>
      </c>
      <c r="B93" s="2" t="s">
        <v>74</v>
      </c>
      <c r="D93" s="23">
        <f t="shared" ref="D93:I93" si="170">(D36*D55)/(D37)</f>
        <v>0.33558932983439294</v>
      </c>
      <c r="E93" s="23">
        <f t="shared" si="170"/>
        <v>0.26426986344872511</v>
      </c>
      <c r="F93" s="23">
        <f t="shared" si="170"/>
        <v>0.26038207929407536</v>
      </c>
      <c r="G93" s="23">
        <f t="shared" si="170"/>
        <v>0.28675265740650402</v>
      </c>
      <c r="H93" s="23">
        <f t="shared" si="170"/>
        <v>0.28574309708961582</v>
      </c>
      <c r="I93" s="23">
        <f t="shared" si="170"/>
        <v>0.28418186520076272</v>
      </c>
      <c r="J93" s="23">
        <f t="shared" ref="J93:K93" si="171">(J36*J55)/(J37)</f>
        <v>0.30374637239200031</v>
      </c>
      <c r="K93" s="23">
        <f t="shared" si="171"/>
        <v>0.30319331532714594</v>
      </c>
      <c r="L93" s="23">
        <f t="shared" ref="L93:M93" si="172">(L36*L55)/(L37)</f>
        <v>0.3400455205340408</v>
      </c>
      <c r="M93" s="23">
        <f t="shared" si="172"/>
        <v>0.35520514823511717</v>
      </c>
      <c r="N93" s="23">
        <f t="shared" ref="N93:T93" si="173">(N36*N55)/(N37)</f>
        <v>0.35617786660123379</v>
      </c>
      <c r="O93" s="23">
        <f t="shared" si="173"/>
        <v>0.35509953724278565</v>
      </c>
      <c r="P93" s="23">
        <f t="shared" si="173"/>
        <v>0.30555239590443267</v>
      </c>
      <c r="Q93" s="23">
        <f t="shared" si="173"/>
        <v>0.30551401861279143</v>
      </c>
      <c r="R93" s="23">
        <f t="shared" si="173"/>
        <v>0.30548898732206942</v>
      </c>
      <c r="S93" s="23">
        <f t="shared" si="173"/>
        <v>0.30561396841618133</v>
      </c>
      <c r="T93" s="23">
        <f t="shared" si="173"/>
        <v>0.30355515138933098</v>
      </c>
      <c r="U93" s="23">
        <f t="shared" ref="U93" si="174">(U36*U55)/(U37)</f>
        <v>0.39660375782120522</v>
      </c>
      <c r="V93" s="23" t="e">
        <f t="shared" ref="V93" si="175">(V36*V55)/(V37)</f>
        <v>#DIV/0!</v>
      </c>
      <c r="W93" s="23"/>
    </row>
    <row r="94" spans="1:23">
      <c r="A94" s="38" t="s">
        <v>23</v>
      </c>
      <c r="B94" s="2" t="s">
        <v>74</v>
      </c>
      <c r="D94" s="23">
        <f t="shared" ref="D94:I94" si="176">(D36*D56)/(D37)</f>
        <v>0.65371832336332691</v>
      </c>
      <c r="E94" s="23">
        <f t="shared" si="176"/>
        <v>0.62721328255900322</v>
      </c>
      <c r="F94" s="23">
        <f t="shared" si="176"/>
        <v>0.60293710492178743</v>
      </c>
      <c r="G94" s="23">
        <f t="shared" si="176"/>
        <v>0.59110623324328304</v>
      </c>
      <c r="H94" s="23">
        <f t="shared" si="176"/>
        <v>0.59031689335524395</v>
      </c>
      <c r="I94" s="23">
        <f t="shared" si="176"/>
        <v>0.58833659814491834</v>
      </c>
      <c r="J94" s="23">
        <f t="shared" ref="J94:K94" si="177">(J36*J56)/(J37)</f>
        <v>0.58171426380094771</v>
      </c>
      <c r="K94" s="23">
        <f t="shared" si="177"/>
        <v>0.58285687013112331</v>
      </c>
      <c r="L94" s="23">
        <f t="shared" ref="L94:M94" si="178">(L36*L56)/(L37)</f>
        <v>0.58373194481464408</v>
      </c>
      <c r="M94" s="23">
        <f t="shared" si="178"/>
        <v>0.56780897839193845</v>
      </c>
      <c r="N94" s="23">
        <f t="shared" ref="N94:T94" si="179">(N36*N56)/(N37)</f>
        <v>0.57157091855511022</v>
      </c>
      <c r="O94" s="23">
        <f t="shared" si="179"/>
        <v>0.57033390211198631</v>
      </c>
      <c r="P94" s="23">
        <f t="shared" si="179"/>
        <v>0.58371898832108449</v>
      </c>
      <c r="Q94" s="23">
        <f t="shared" si="179"/>
        <v>0.58354043900385766</v>
      </c>
      <c r="R94" s="23">
        <f t="shared" si="179"/>
        <v>0.58374274424431793</v>
      </c>
      <c r="S94" s="23">
        <f t="shared" si="179"/>
        <v>0.58396451363436042</v>
      </c>
      <c r="T94" s="23">
        <f t="shared" si="179"/>
        <v>0.58131463501538239</v>
      </c>
      <c r="U94" s="23">
        <f t="shared" ref="U94" si="180">(U36*U56)/(U37)</f>
        <v>0.5611272922941053</v>
      </c>
      <c r="V94" s="23" t="e">
        <f t="shared" ref="V94" si="181">(V36*V56)/(V37)</f>
        <v>#DIV/0!</v>
      </c>
      <c r="W94" s="23"/>
    </row>
    <row r="95" spans="1:23">
      <c r="A95" s="38" t="s">
        <v>24</v>
      </c>
      <c r="B95" s="2" t="s">
        <v>74</v>
      </c>
      <c r="D95" s="23">
        <f t="shared" ref="D95:I95" si="182">(D36*D57)/(D37)</f>
        <v>0</v>
      </c>
      <c r="E95" s="23">
        <f t="shared" si="182"/>
        <v>0</v>
      </c>
      <c r="F95" s="23">
        <f t="shared" si="182"/>
        <v>0</v>
      </c>
      <c r="G95" s="23">
        <f t="shared" si="182"/>
        <v>0</v>
      </c>
      <c r="H95" s="23">
        <f t="shared" si="182"/>
        <v>0</v>
      </c>
      <c r="I95" s="23">
        <f t="shared" si="182"/>
        <v>0</v>
      </c>
      <c r="J95" s="23">
        <f t="shared" ref="J95:K95" si="183">(J36*J57)/(J37)</f>
        <v>0</v>
      </c>
      <c r="K95" s="23">
        <f t="shared" si="183"/>
        <v>0</v>
      </c>
      <c r="L95" s="23">
        <f t="shared" ref="L95:M95" si="184">(L36*L57)/(L37)</f>
        <v>0</v>
      </c>
      <c r="M95" s="23">
        <f t="shared" si="184"/>
        <v>0</v>
      </c>
      <c r="N95" s="23">
        <f t="shared" ref="N95:T95" si="185">(N36*N57)/(N37)</f>
        <v>0</v>
      </c>
      <c r="O95" s="23">
        <f t="shared" si="185"/>
        <v>0</v>
      </c>
      <c r="P95" s="23">
        <f t="shared" si="185"/>
        <v>0</v>
      </c>
      <c r="Q95" s="23">
        <f t="shared" si="185"/>
        <v>0</v>
      </c>
      <c r="R95" s="23">
        <f t="shared" si="185"/>
        <v>0</v>
      </c>
      <c r="S95" s="23">
        <f t="shared" si="185"/>
        <v>0</v>
      </c>
      <c r="T95" s="23">
        <f t="shared" si="185"/>
        <v>0</v>
      </c>
      <c r="U95" s="23">
        <f t="shared" ref="U95" si="186">(U36*U57)/(U37)</f>
        <v>0</v>
      </c>
      <c r="V95" s="23" t="e">
        <f t="shared" ref="V95" si="187">(V36*V57)/(V37)</f>
        <v>#DIV/0!</v>
      </c>
      <c r="W95" s="23"/>
    </row>
    <row r="96" spans="1:23">
      <c r="A96" s="38" t="s">
        <v>25</v>
      </c>
      <c r="B96" s="2" t="s">
        <v>74</v>
      </c>
      <c r="D96" s="23">
        <f t="shared" ref="D96:I96" si="188">(D36*D58)/(D37)</f>
        <v>8.1489166985159862</v>
      </c>
      <c r="E96" s="23">
        <f t="shared" si="188"/>
        <v>2.7849771908191898</v>
      </c>
      <c r="F96" s="23">
        <f t="shared" si="188"/>
        <v>2.6100834311429568</v>
      </c>
      <c r="G96" s="23">
        <f t="shared" si="188"/>
        <v>4.2017079951182197</v>
      </c>
      <c r="H96" s="23">
        <f t="shared" si="188"/>
        <v>4.1396333258749305</v>
      </c>
      <c r="I96" s="23">
        <f t="shared" si="188"/>
        <v>4.0120198496594286</v>
      </c>
      <c r="J96" s="23">
        <f t="shared" ref="J96:K96" si="189">(J36*J58)/(J37)</f>
        <v>5.5778605794200615</v>
      </c>
      <c r="K96" s="23">
        <f t="shared" si="189"/>
        <v>5.5556929063742349</v>
      </c>
      <c r="L96" s="23">
        <f t="shared" ref="L96:M96" si="190">(L36*L58)/(L37)</f>
        <v>7.8990105060539202</v>
      </c>
      <c r="M96" s="23">
        <f t="shared" si="190"/>
        <v>9.3244454911995511</v>
      </c>
      <c r="N96" s="23">
        <f t="shared" ref="N96:T96" si="191">(N36*N58)/(N37)</f>
        <v>9.0867278228807553</v>
      </c>
      <c r="O96" s="23">
        <f t="shared" si="191"/>
        <v>9.151752538120256</v>
      </c>
      <c r="P96" s="23">
        <f t="shared" si="191"/>
        <v>5.5329334756553212</v>
      </c>
      <c r="Q96" s="23">
        <f t="shared" si="191"/>
        <v>5.5106335570628229</v>
      </c>
      <c r="R96" s="23">
        <f t="shared" si="191"/>
        <v>5.4952538565355011</v>
      </c>
      <c r="S96" s="23">
        <f t="shared" si="191"/>
        <v>5.5126239219950559</v>
      </c>
      <c r="T96" s="23">
        <f t="shared" si="191"/>
        <v>5.5398543457519009</v>
      </c>
      <c r="U96" s="23">
        <f t="shared" ref="U96" si="192">(U36*U58)/(U37)</f>
        <v>11.855273497893648</v>
      </c>
      <c r="V96" s="23" t="e">
        <f t="shared" ref="V96" si="193">(V36*V58)/(V37)</f>
        <v>#DIV/0!</v>
      </c>
      <c r="W96" s="23"/>
    </row>
    <row r="97" spans="1:23">
      <c r="A97" s="38" t="s">
        <v>26</v>
      </c>
      <c r="B97" s="2" t="s">
        <v>74</v>
      </c>
      <c r="D97" s="23">
        <f t="shared" ref="D97:I97" si="194">(D36*D59)/(D37)</f>
        <v>13.055996832536479</v>
      </c>
      <c r="E97" s="23">
        <f t="shared" si="194"/>
        <v>7.1340167239711469</v>
      </c>
      <c r="F97" s="23">
        <f t="shared" si="194"/>
        <v>5.5262039367751044</v>
      </c>
      <c r="G97" s="23">
        <f t="shared" si="194"/>
        <v>6.2619021399975106</v>
      </c>
      <c r="H97" s="23">
        <f t="shared" si="194"/>
        <v>6.1950362118296125</v>
      </c>
      <c r="I97" s="23">
        <f t="shared" si="194"/>
        <v>6.0653855305108566</v>
      </c>
      <c r="J97" s="23">
        <f t="shared" ref="J97:K97" si="195">(J36*J59)/(J37)</f>
        <v>7.5698116994261069</v>
      </c>
      <c r="K97" s="23">
        <f t="shared" si="195"/>
        <v>7.5516414429247192</v>
      </c>
      <c r="L97" s="23">
        <f t="shared" ref="L97:M97" si="196">(L36*L59)/(L37)</f>
        <v>9.1968364358106189</v>
      </c>
      <c r="M97" s="23">
        <f t="shared" si="196"/>
        <v>10.150578181987781</v>
      </c>
      <c r="N97" s="23">
        <f t="shared" ref="N97:T97" si="197">(N36*N59)/(N37)</f>
        <v>10.024887106474592</v>
      </c>
      <c r="O97" s="23">
        <f t="shared" si="197"/>
        <v>10.06852055435702</v>
      </c>
      <c r="P97" s="23">
        <f t="shared" si="197"/>
        <v>7.5397201176323776</v>
      </c>
      <c r="Q97" s="23">
        <f t="shared" si="197"/>
        <v>7.5362163839967833</v>
      </c>
      <c r="R97" s="23">
        <f t="shared" si="197"/>
        <v>7.525866832224227</v>
      </c>
      <c r="S97" s="23">
        <f t="shared" si="197"/>
        <v>7.54698946895481</v>
      </c>
      <c r="T97" s="23">
        <f t="shared" si="197"/>
        <v>7.5495367942685467</v>
      </c>
      <c r="U97" s="23">
        <f t="shared" ref="U97" si="198">(U36*U59)/(U37)</f>
        <v>11.240990642650269</v>
      </c>
      <c r="V97" s="23" t="e">
        <f t="shared" ref="V97" si="199">(V36*V59)/(V37)</f>
        <v>#DIV/0!</v>
      </c>
      <c r="W97" s="23"/>
    </row>
    <row r="98" spans="1:23">
      <c r="A98" s="38" t="s">
        <v>27</v>
      </c>
      <c r="B98" s="2" t="s">
        <v>74</v>
      </c>
      <c r="D98" s="23">
        <f t="shared" ref="D98:I98" si="200">(D36*D60)/(D37)</f>
        <v>3.4821974589863842</v>
      </c>
      <c r="E98" s="23">
        <f t="shared" si="200"/>
        <v>3.0757100844600287</v>
      </c>
      <c r="F98" s="23">
        <f t="shared" si="200"/>
        <v>2.41971978285572</v>
      </c>
      <c r="G98" s="23">
        <f t="shared" si="200"/>
        <v>2.6363424155361854</v>
      </c>
      <c r="H98" s="23">
        <f t="shared" si="200"/>
        <v>2.6262849188855522</v>
      </c>
      <c r="I98" s="23">
        <f t="shared" si="200"/>
        <v>2.5921165181537322</v>
      </c>
      <c r="J98" s="23">
        <f t="shared" ref="J98:K98" si="201">(J36*J60)/(J37)</f>
        <v>3.0688355919360299</v>
      </c>
      <c r="K98" s="23">
        <f t="shared" si="201"/>
        <v>3.0610633690895588</v>
      </c>
      <c r="L98" s="23">
        <f t="shared" ref="L98:M98" si="202">(L36*L60)/(L37)</f>
        <v>3.4867943386177997</v>
      </c>
      <c r="M98" s="23">
        <f t="shared" si="202"/>
        <v>3.8171787905008552</v>
      </c>
      <c r="N98" s="23">
        <f t="shared" ref="N98:T98" si="203">(N36*N60)/(N37)</f>
        <v>3.7835451850239039</v>
      </c>
      <c r="O98" s="23">
        <f t="shared" si="203"/>
        <v>3.8019611730889751</v>
      </c>
      <c r="P98" s="23">
        <f t="shared" si="203"/>
        <v>3.0636902955658694</v>
      </c>
      <c r="Q98" s="23">
        <f t="shared" si="203"/>
        <v>3.0648702203472604</v>
      </c>
      <c r="R98" s="23">
        <f t="shared" si="203"/>
        <v>3.0644147075564061</v>
      </c>
      <c r="S98" s="23">
        <f t="shared" si="203"/>
        <v>3.0688974971430825</v>
      </c>
      <c r="T98" s="23">
        <f t="shared" si="203"/>
        <v>3.069099868012874</v>
      </c>
      <c r="U98" s="23">
        <f t="shared" ref="U98" si="204">(U36*U60)/(U37)</f>
        <v>4.0480987167785925</v>
      </c>
      <c r="V98" s="23" t="e">
        <f t="shared" ref="V98" si="205">(V36*V60)/(V37)</f>
        <v>#DIV/0!</v>
      </c>
      <c r="W98" s="23"/>
    </row>
    <row r="99" spans="1:23">
      <c r="A99" s="38" t="s">
        <v>28</v>
      </c>
      <c r="B99" s="2" t="s">
        <v>74</v>
      </c>
      <c r="D99" s="23">
        <f t="shared" ref="D99:I99" si="206">(D36*D61)/(D37)</f>
        <v>1.0782211816012905</v>
      </c>
      <c r="E99" s="23">
        <f t="shared" si="206"/>
        <v>0.94924190099407579</v>
      </c>
      <c r="F99" s="23">
        <f t="shared" si="206"/>
        <v>0.9214944183007423</v>
      </c>
      <c r="G99" s="23">
        <f t="shared" si="206"/>
        <v>0.94918145952910082</v>
      </c>
      <c r="H99" s="23">
        <f t="shared" si="206"/>
        <v>0.95046244818057191</v>
      </c>
      <c r="I99" s="23">
        <f t="shared" si="206"/>
        <v>0.95001427775166492</v>
      </c>
      <c r="J99" s="23">
        <f t="shared" ref="J99:K99" si="207">(J36*J61)/(J37)</f>
        <v>0.96823451355714973</v>
      </c>
      <c r="K99" s="23">
        <f t="shared" si="207"/>
        <v>0.97175546413444824</v>
      </c>
      <c r="L99" s="23">
        <f t="shared" ref="L99:M99" si="208">(L36*L61)/(L37)</f>
        <v>1.0081998497650757</v>
      </c>
      <c r="M99" s="23">
        <f t="shared" si="208"/>
        <v>1.0206729440887232</v>
      </c>
      <c r="N99" s="23">
        <f t="shared" ref="N99:T99" si="209">(N36*N61)/(N37)</f>
        <v>1.0107002876135591</v>
      </c>
      <c r="O99" s="23">
        <f t="shared" si="209"/>
        <v>1.0115985015237781</v>
      </c>
      <c r="P99" s="23">
        <f t="shared" si="209"/>
        <v>0.97467882758247537</v>
      </c>
      <c r="Q99" s="23">
        <f t="shared" si="209"/>
        <v>0.97405390339526565</v>
      </c>
      <c r="R99" s="23">
        <f t="shared" si="209"/>
        <v>0.97425390850116678</v>
      </c>
      <c r="S99" s="23">
        <f t="shared" si="209"/>
        <v>0.97358443933164962</v>
      </c>
      <c r="T99" s="23">
        <f t="shared" si="209"/>
        <v>0.97179143679541546</v>
      </c>
      <c r="U99" s="23">
        <f t="shared" ref="U99" si="210">(U36*U61)/(U37)</f>
        <v>1.0499460056659897</v>
      </c>
      <c r="V99" s="23" t="e">
        <f t="shared" ref="V99" si="211">(V36*V61)/(V37)</f>
        <v>#DIV/0!</v>
      </c>
      <c r="W99" s="23"/>
    </row>
    <row r="100" spans="1:23" ht="16.5">
      <c r="A100" s="137" t="s">
        <v>29</v>
      </c>
      <c r="B100" s="2" t="s">
        <v>74</v>
      </c>
      <c r="D100" s="23">
        <f t="shared" ref="D100:I100" si="212">(D36*D62)/(D37)</f>
        <v>0</v>
      </c>
      <c r="E100" s="23">
        <f t="shared" si="212"/>
        <v>0</v>
      </c>
      <c r="F100" s="23">
        <f t="shared" si="212"/>
        <v>0</v>
      </c>
      <c r="G100" s="23">
        <f t="shared" si="212"/>
        <v>0</v>
      </c>
      <c r="H100" s="23">
        <f t="shared" si="212"/>
        <v>0</v>
      </c>
      <c r="I100" s="23">
        <f t="shared" si="212"/>
        <v>0</v>
      </c>
      <c r="J100" s="23">
        <f t="shared" ref="J100:K100" si="213">(J36*J62)/(J37)</f>
        <v>0</v>
      </c>
      <c r="K100" s="23">
        <f t="shared" si="213"/>
        <v>0</v>
      </c>
      <c r="L100" s="23">
        <f t="shared" ref="L100:M100" si="214">(L36*L62)/(L37)</f>
        <v>0</v>
      </c>
      <c r="M100" s="23">
        <f t="shared" si="214"/>
        <v>0</v>
      </c>
      <c r="N100" s="23">
        <f t="shared" ref="N100:T100" si="215">(N36*N62)/(N37)</f>
        <v>0</v>
      </c>
      <c r="O100" s="23">
        <f t="shared" si="215"/>
        <v>0</v>
      </c>
      <c r="P100" s="23">
        <f t="shared" si="215"/>
        <v>0</v>
      </c>
      <c r="Q100" s="23">
        <f t="shared" si="215"/>
        <v>0</v>
      </c>
      <c r="R100" s="23">
        <f t="shared" si="215"/>
        <v>0</v>
      </c>
      <c r="S100" s="23">
        <f t="shared" si="215"/>
        <v>0</v>
      </c>
      <c r="T100" s="23">
        <f t="shared" si="215"/>
        <v>0</v>
      </c>
      <c r="U100" s="23">
        <f t="shared" ref="U100" si="216">(U36*U62)/(U37)</f>
        <v>0</v>
      </c>
      <c r="V100" s="23" t="e">
        <f t="shared" ref="V100" si="217">(V36*V62)/(V37)</f>
        <v>#DIV/0!</v>
      </c>
      <c r="W100" s="23"/>
    </row>
    <row r="101" spans="1:23">
      <c r="A101" s="38" t="s">
        <v>30</v>
      </c>
      <c r="B101" s="2" t="s">
        <v>74</v>
      </c>
      <c r="D101" s="23">
        <f t="shared" ref="D101:I101" si="218">(D36*SUM(D63,D64,D65,D66,D67,D68,D69,D70,D71,D77))/(D37)</f>
        <v>4.8400389461989128</v>
      </c>
      <c r="E101" s="23">
        <f t="shared" si="218"/>
        <v>1.0769841146873858</v>
      </c>
      <c r="F101" s="23">
        <f t="shared" si="218"/>
        <v>0.96430321772345939</v>
      </c>
      <c r="G101" s="23">
        <f t="shared" si="218"/>
        <v>1.2386042471160439</v>
      </c>
      <c r="H101" s="23">
        <f t="shared" si="218"/>
        <v>1.181292322471202</v>
      </c>
      <c r="I101" s="23">
        <f t="shared" si="218"/>
        <v>1.1584887632097622</v>
      </c>
      <c r="J101" s="23">
        <f t="shared" ref="J101:K101" si="219">(J36*SUM(J63,J64,J65,J66,J67,J68,J69,J70,J71,J77))/(J37)</f>
        <v>1.572433005931372</v>
      </c>
      <c r="K101" s="23">
        <f t="shared" si="219"/>
        <v>1.5698168761199911</v>
      </c>
      <c r="L101" s="23">
        <f t="shared" ref="L101:M101" si="220">(L36*SUM(L63,L64,L65,L66,L67,L68,L69,L70,L71,L77))/(L37)</f>
        <v>2.4566559060582458</v>
      </c>
      <c r="M101" s="23">
        <f t="shared" si="220"/>
        <v>3.390768900468168</v>
      </c>
      <c r="N101" s="23">
        <f t="shared" ref="N101:T101" si="221">(N36*SUM(N63,N64,N65,N66,N67,N68,N69,N70,N71,N77))/(N37)</f>
        <v>3.1747469910353785</v>
      </c>
      <c r="O101" s="23">
        <f t="shared" si="221"/>
        <v>3.2294014013085635</v>
      </c>
      <c r="P101" s="23">
        <f t="shared" si="221"/>
        <v>1.5491337128535543</v>
      </c>
      <c r="Q101" s="23">
        <f t="shared" si="221"/>
        <v>1.5389090543481154</v>
      </c>
      <c r="R101" s="23">
        <f t="shared" si="221"/>
        <v>1.5317686438933129</v>
      </c>
      <c r="S101" s="23">
        <f t="shared" si="221"/>
        <v>1.5448384321379176</v>
      </c>
      <c r="T101" s="23">
        <f t="shared" si="221"/>
        <v>1.5478084866497546</v>
      </c>
      <c r="U101" s="23">
        <f t="shared" ref="U101" si="222">(U36*SUM(U63,U64,U65,U66,U67,U68,U69,U70,U71,U77))/(U37)</f>
        <v>5.7988466852998997</v>
      </c>
      <c r="V101" s="23" t="e">
        <f t="shared" ref="V101" si="223">(V36*SUM(V63,V64,V65,V66,V67,V68,V69,V70,V71,V77))/(V37)</f>
        <v>#DIV/0!</v>
      </c>
      <c r="W101" s="23"/>
    </row>
    <row r="102" spans="1:23">
      <c r="A102" s="22" t="s">
        <v>76</v>
      </c>
      <c r="B102" s="2" t="s">
        <v>74</v>
      </c>
      <c r="D102" s="23">
        <f t="shared" ref="D102:I102" si="224">(D36*D72)/(D37)</f>
        <v>2.1736849094880197E-2</v>
      </c>
      <c r="E102" s="23">
        <f t="shared" si="224"/>
        <v>2.0021451012036437E-2</v>
      </c>
      <c r="F102" s="23">
        <f t="shared" si="224"/>
        <v>2.018028365349547E-2</v>
      </c>
      <c r="G102" s="23">
        <f t="shared" si="224"/>
        <v>1.4311817250601013E-2</v>
      </c>
      <c r="H102" s="23">
        <f t="shared" si="224"/>
        <v>1.419879627190793E-2</v>
      </c>
      <c r="I102" s="23">
        <f t="shared" si="224"/>
        <v>1.4720347921393413E-2</v>
      </c>
      <c r="J102" s="23">
        <f t="shared" ref="J102:K102" si="225">(J36*J72)/(J37)</f>
        <v>1.0776250247013947E-2</v>
      </c>
      <c r="K102" s="23">
        <f t="shared" si="225"/>
        <v>1.1309579143913343E-2</v>
      </c>
      <c r="L102" s="23">
        <f t="shared" ref="L102:M102" si="226">(L36*L72)/(L37)</f>
        <v>8.409773319347353E-3</v>
      </c>
      <c r="M102" s="23">
        <f t="shared" si="226"/>
        <v>6.44905348871144E-3</v>
      </c>
      <c r="N102" s="23">
        <f t="shared" ref="N102:T102" si="227">(N36*N72)/(N37)</f>
        <v>6.149466560626175E-3</v>
      </c>
      <c r="O102" s="23">
        <f t="shared" si="227"/>
        <v>5.8298499799367184E-3</v>
      </c>
      <c r="P102" s="23">
        <f t="shared" si="227"/>
        <v>9.9946057994682695E-3</v>
      </c>
      <c r="Q102" s="23">
        <f t="shared" si="227"/>
        <v>9.804493633226866E-3</v>
      </c>
      <c r="R102" s="23">
        <f t="shared" si="227"/>
        <v>1.0013854987217592E-2</v>
      </c>
      <c r="S102" s="23">
        <f t="shared" si="227"/>
        <v>1.0206049141809812E-2</v>
      </c>
      <c r="T102" s="23">
        <f t="shared" si="227"/>
        <v>9.7308539586798953E-3</v>
      </c>
      <c r="U102" s="23">
        <f t="shared" ref="U102" si="228">(U36*U72)/(U37)</f>
        <v>4.7037391660371946E-3</v>
      </c>
      <c r="V102" s="23" t="e">
        <f t="shared" ref="V102" si="229">(V36*V72)/(V37)</f>
        <v>#DIV/0!</v>
      </c>
      <c r="W102" s="23"/>
    </row>
    <row r="103" spans="1:23">
      <c r="A103" s="22" t="s">
        <v>77</v>
      </c>
      <c r="B103" s="2" t="s">
        <v>74</v>
      </c>
      <c r="D103" s="23">
        <f t="shared" ref="D103:I103" si="230">(D36*D73)/(D37)</f>
        <v>0</v>
      </c>
      <c r="E103" s="23">
        <f t="shared" si="230"/>
        <v>0</v>
      </c>
      <c r="F103" s="23">
        <f t="shared" si="230"/>
        <v>5.5362285909115131E-3</v>
      </c>
      <c r="G103" s="23">
        <f t="shared" si="230"/>
        <v>0</v>
      </c>
      <c r="H103" s="23">
        <f t="shared" si="230"/>
        <v>0</v>
      </c>
      <c r="I103" s="23">
        <f t="shared" si="230"/>
        <v>0</v>
      </c>
      <c r="J103" s="23">
        <f t="shared" ref="J103:K103" si="231">(J36*J73)/(J37)</f>
        <v>0</v>
      </c>
      <c r="K103" s="23">
        <f t="shared" si="231"/>
        <v>0</v>
      </c>
      <c r="L103" s="23">
        <f t="shared" ref="L103:M103" si="232">(L36*L73)/(L37)</f>
        <v>0</v>
      </c>
      <c r="M103" s="23">
        <f t="shared" si="232"/>
        <v>0</v>
      </c>
      <c r="N103" s="23">
        <f t="shared" ref="N103:T103" si="233">(N36*N73)/(N37)</f>
        <v>0</v>
      </c>
      <c r="O103" s="23">
        <f t="shared" si="233"/>
        <v>0</v>
      </c>
      <c r="P103" s="23">
        <f t="shared" si="233"/>
        <v>0</v>
      </c>
      <c r="Q103" s="23">
        <f t="shared" si="233"/>
        <v>0</v>
      </c>
      <c r="R103" s="23">
        <f t="shared" si="233"/>
        <v>0</v>
      </c>
      <c r="S103" s="23">
        <f t="shared" si="233"/>
        <v>0</v>
      </c>
      <c r="T103" s="23">
        <f t="shared" si="233"/>
        <v>0</v>
      </c>
      <c r="U103" s="23">
        <f t="shared" ref="U103" si="234">(U36*U73)/(U37)</f>
        <v>0</v>
      </c>
      <c r="V103" s="23" t="e">
        <f t="shared" ref="V103" si="235">(V36*V73)/(V37)</f>
        <v>#DIV/0!</v>
      </c>
      <c r="W103" s="23"/>
    </row>
    <row r="104" spans="1:23">
      <c r="A104" s="22" t="s">
        <v>78</v>
      </c>
      <c r="B104" s="2" t="s">
        <v>74</v>
      </c>
      <c r="D104" s="23">
        <f t="shared" ref="D104:I104" si="236">(D36*D74)/(D37)</f>
        <v>0</v>
      </c>
      <c r="E104" s="23">
        <f t="shared" si="236"/>
        <v>0</v>
      </c>
      <c r="F104" s="23">
        <f t="shared" si="236"/>
        <v>0</v>
      </c>
      <c r="G104" s="23">
        <f t="shared" si="236"/>
        <v>0</v>
      </c>
      <c r="H104" s="23">
        <f t="shared" si="236"/>
        <v>0</v>
      </c>
      <c r="I104" s="23">
        <f t="shared" si="236"/>
        <v>0</v>
      </c>
      <c r="J104" s="23">
        <f t="shared" ref="J104:K104" si="237">(J36*J74)/(J37)</f>
        <v>0</v>
      </c>
      <c r="K104" s="23">
        <f t="shared" si="237"/>
        <v>0</v>
      </c>
      <c r="L104" s="23">
        <f t="shared" ref="L104:M104" si="238">(L36*L74)/(L37)</f>
        <v>0</v>
      </c>
      <c r="M104" s="23">
        <f t="shared" si="238"/>
        <v>0</v>
      </c>
      <c r="N104" s="23">
        <f t="shared" ref="N104:T104" si="239">(N36*N74)/(N37)</f>
        <v>0</v>
      </c>
      <c r="O104" s="23">
        <f t="shared" si="239"/>
        <v>0</v>
      </c>
      <c r="P104" s="23">
        <f t="shared" si="239"/>
        <v>0</v>
      </c>
      <c r="Q104" s="23">
        <f t="shared" si="239"/>
        <v>0</v>
      </c>
      <c r="R104" s="23">
        <f t="shared" si="239"/>
        <v>0</v>
      </c>
      <c r="S104" s="23">
        <f t="shared" si="239"/>
        <v>0</v>
      </c>
      <c r="T104" s="23">
        <f t="shared" si="239"/>
        <v>0</v>
      </c>
      <c r="U104" s="23">
        <f t="shared" ref="U104" si="240">(U36*U74)/(U37)</f>
        <v>0</v>
      </c>
      <c r="V104" s="23" t="e">
        <f t="shared" ref="V104" si="241">(V36*V74)/(V37)</f>
        <v>#DIV/0!</v>
      </c>
      <c r="W104" s="23"/>
    </row>
    <row r="105" spans="1:23">
      <c r="A105" s="22" t="s">
        <v>79</v>
      </c>
      <c r="B105" s="2" t="s">
        <v>74</v>
      </c>
      <c r="D105" s="23">
        <f t="shared" ref="D105:I105" si="242">(D36*D75)/(D37)</f>
        <v>1.1696779353999309</v>
      </c>
      <c r="E105" s="23">
        <f t="shared" si="242"/>
        <v>0</v>
      </c>
      <c r="F105" s="23">
        <f t="shared" si="242"/>
        <v>0</v>
      </c>
      <c r="G105" s="23">
        <f t="shared" si="242"/>
        <v>0</v>
      </c>
      <c r="H105" s="23">
        <f t="shared" si="242"/>
        <v>0</v>
      </c>
      <c r="I105" s="23">
        <f t="shared" si="242"/>
        <v>0</v>
      </c>
      <c r="J105" s="23">
        <f t="shared" ref="J105:K105" si="243">(J36*J75)/(J37)</f>
        <v>0</v>
      </c>
      <c r="K105" s="23">
        <f t="shared" si="243"/>
        <v>0</v>
      </c>
      <c r="L105" s="23">
        <f t="shared" ref="L105:M105" si="244">(L36*L75)/(L37)</f>
        <v>0</v>
      </c>
      <c r="M105" s="23">
        <f t="shared" si="244"/>
        <v>0</v>
      </c>
      <c r="N105" s="23">
        <f t="shared" ref="N105:T105" si="245">(N36*N75)/(N37)</f>
        <v>0</v>
      </c>
      <c r="O105" s="23">
        <f t="shared" si="245"/>
        <v>0</v>
      </c>
      <c r="P105" s="23">
        <f t="shared" si="245"/>
        <v>0</v>
      </c>
      <c r="Q105" s="23">
        <f t="shared" si="245"/>
        <v>0</v>
      </c>
      <c r="R105" s="23">
        <f t="shared" si="245"/>
        <v>0</v>
      </c>
      <c r="S105" s="23">
        <f t="shared" si="245"/>
        <v>0</v>
      </c>
      <c r="T105" s="23">
        <f t="shared" si="245"/>
        <v>0</v>
      </c>
      <c r="U105" s="23">
        <f t="shared" ref="U105" si="246">(U36*U75)/(U37)</f>
        <v>7.7101597846367838E-3</v>
      </c>
      <c r="V105" s="23" t="e">
        <f t="shared" ref="V105" si="247">(V36*V75)/(V37)</f>
        <v>#DIV/0!</v>
      </c>
      <c r="W105" s="23"/>
    </row>
    <row r="106" spans="1:23">
      <c r="A106" s="22" t="s">
        <v>80</v>
      </c>
      <c r="B106" s="2" t="s">
        <v>74</v>
      </c>
      <c r="D106" s="23">
        <f t="shared" ref="D106:I106" si="248">(D36*D76)/(D37)</f>
        <v>0.10089097586401478</v>
      </c>
      <c r="E106" s="23">
        <f t="shared" si="248"/>
        <v>5.226357849918593E-3</v>
      </c>
      <c r="F106" s="23">
        <f t="shared" si="248"/>
        <v>7.4887692659227076E-3</v>
      </c>
      <c r="G106" s="23">
        <f t="shared" si="248"/>
        <v>1.9304849977762169E-2</v>
      </c>
      <c r="H106" s="23">
        <f t="shared" si="248"/>
        <v>1.6981965756026327E-2</v>
      </c>
      <c r="I106" s="23">
        <f t="shared" si="248"/>
        <v>1.5451431010114963E-2</v>
      </c>
      <c r="J106" s="23">
        <f t="shared" ref="J106:K106" si="249">(J36*J76)/(J37)</f>
        <v>2.4023692894276843E-2</v>
      </c>
      <c r="K106" s="23">
        <f t="shared" si="249"/>
        <v>2.4548025122246783E-2</v>
      </c>
      <c r="L106" s="23">
        <f t="shared" ref="L106:M106" si="250">(L36*L76)/(L37)</f>
        <v>3.4703507039214307E-2</v>
      </c>
      <c r="M106" s="23">
        <f t="shared" si="250"/>
        <v>4.3622759722037677E-2</v>
      </c>
      <c r="N106" s="23">
        <f t="shared" ref="N106:T106" si="251">(N36*N76)/(N37)</f>
        <v>4.27107674220557E-2</v>
      </c>
      <c r="O106" s="23">
        <f t="shared" si="251"/>
        <v>4.2060499321135453E-2</v>
      </c>
      <c r="P106" s="23">
        <f t="shared" si="251"/>
        <v>2.3736308346869673E-2</v>
      </c>
      <c r="Q106" s="23">
        <f t="shared" si="251"/>
        <v>2.3020033388851009E-2</v>
      </c>
      <c r="R106" s="23">
        <f t="shared" si="251"/>
        <v>2.3862396605894814E-2</v>
      </c>
      <c r="S106" s="23">
        <f t="shared" si="251"/>
        <v>2.2774693510373985E-2</v>
      </c>
      <c r="T106" s="23">
        <f t="shared" si="251"/>
        <v>2.3632361382226727E-2</v>
      </c>
      <c r="U106" s="23">
        <f t="shared" ref="U106" si="252">(U36*U76)/(U37)</f>
        <v>6.1927048397733872E-2</v>
      </c>
      <c r="V106" s="23" t="e">
        <f t="shared" ref="V106" si="253">(V36*V76)/(V37)</f>
        <v>#DIV/0!</v>
      </c>
      <c r="W106" s="23"/>
    </row>
    <row r="107" spans="1:23">
      <c r="A107" s="22" t="s">
        <v>81</v>
      </c>
      <c r="B107" s="2" t="s">
        <v>74</v>
      </c>
      <c r="D107" s="23">
        <f t="shared" ref="D107:J107" si="254">SUM(D80:D106)</f>
        <v>100.36304583000225</v>
      </c>
      <c r="E107" s="23">
        <f t="shared" si="254"/>
        <v>100.69632831421671</v>
      </c>
      <c r="F107" s="23">
        <f t="shared" si="254"/>
        <v>100.75026159564422</v>
      </c>
      <c r="G107" s="23">
        <f t="shared" si="254"/>
        <v>100.68929265872238</v>
      </c>
      <c r="H107" s="23">
        <f t="shared" si="254"/>
        <v>100.69356455308896</v>
      </c>
      <c r="I107" s="23">
        <f t="shared" si="254"/>
        <v>100.700158017658</v>
      </c>
      <c r="J107" s="23">
        <f t="shared" si="254"/>
        <v>100.61858206583983</v>
      </c>
      <c r="K107" s="23">
        <f t="shared" ref="K107:L107" si="255">SUM(K80:K106)</f>
        <v>100.6190234799556</v>
      </c>
      <c r="L107" s="23">
        <f t="shared" si="255"/>
        <v>100.51120547947599</v>
      </c>
      <c r="M107" s="23">
        <f t="shared" ref="M107:N107" si="256">SUM(M80:M106)</f>
        <v>100.43691925012513</v>
      </c>
      <c r="N107" s="23">
        <f t="shared" si="256"/>
        <v>100.4486463600705</v>
      </c>
      <c r="O107" s="23">
        <f t="shared" ref="O107:T107" si="257">SUM(O80:O106)</f>
        <v>100.44539420259675</v>
      </c>
      <c r="P107" s="23">
        <f t="shared" si="257"/>
        <v>100.62019430678714</v>
      </c>
      <c r="Q107" s="23">
        <f t="shared" si="257"/>
        <v>100.62082353199145</v>
      </c>
      <c r="R107" s="23">
        <f t="shared" si="257"/>
        <v>100.6215261881807</v>
      </c>
      <c r="S107" s="23">
        <f t="shared" si="257"/>
        <v>100.62060232358616</v>
      </c>
      <c r="T107" s="23">
        <f t="shared" si="257"/>
        <v>100.61891351858516</v>
      </c>
      <c r="U107" s="23">
        <f t="shared" ref="U107" si="258">SUM(U80:U106)</f>
        <v>100.31434498637473</v>
      </c>
      <c r="V107" s="23" t="e">
        <f t="shared" ref="V107" si="259">SUM(V80:V106)</f>
        <v>#DIV/0!</v>
      </c>
      <c r="W107" s="23"/>
    </row>
    <row r="108" spans="1:23" s="133" customFormat="1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</row>
    <row r="109" spans="1:23" s="85" customFormat="1">
      <c r="A109" s="153" t="s">
        <v>967</v>
      </c>
      <c r="B109" s="84" t="s">
        <v>74</v>
      </c>
      <c r="C109" s="84"/>
      <c r="D109" s="88">
        <f t="shared" ref="D109" si="260">SUM(D102,D80,D81,D82,D83,D84)</f>
        <v>15.126448268894464</v>
      </c>
      <c r="E109" s="88">
        <f t="shared" ref="E109:I109" si="261">SUM(E102,E80,E81,E82,E83,E84)</f>
        <v>30.747998262954919</v>
      </c>
      <c r="F109" s="88">
        <f t="shared" si="261"/>
        <v>33.398787560250241</v>
      </c>
      <c r="G109" s="88">
        <f t="shared" si="261"/>
        <v>30.578821977360715</v>
      </c>
      <c r="H109" s="88">
        <f t="shared" si="261"/>
        <v>30.793220781301976</v>
      </c>
      <c r="I109" s="88">
        <f t="shared" si="261"/>
        <v>31.108787784892492</v>
      </c>
      <c r="J109" s="88">
        <f t="shared" ref="J109:K109" si="262">SUM(J102,J80,J81,J82,J83,J84)</f>
        <v>27.258748373076198</v>
      </c>
      <c r="K109" s="88">
        <f t="shared" si="262"/>
        <v>27.285556044975827</v>
      </c>
      <c r="L109" s="88">
        <f t="shared" ref="L109:M109" si="263">SUM(L102,L80,L81,L82,L83,L84)</f>
        <v>22.167912196875456</v>
      </c>
      <c r="M109" s="88">
        <f t="shared" si="263"/>
        <v>18.640553715149487</v>
      </c>
      <c r="N109" s="88">
        <f t="shared" ref="N109:T109" si="264">SUM(N102,N80,N81,N82,N83,N84)</f>
        <v>19.16161425106749</v>
      </c>
      <c r="O109" s="88">
        <f t="shared" si="264"/>
        <v>19.019734891470321</v>
      </c>
      <c r="P109" s="88"/>
      <c r="Q109" s="88">
        <f t="shared" si="264"/>
        <v>27.372905569140823</v>
      </c>
      <c r="R109" s="88">
        <f t="shared" si="264"/>
        <v>27.406123999431031</v>
      </c>
      <c r="S109" s="88">
        <f t="shared" si="264"/>
        <v>27.373509268435939</v>
      </c>
      <c r="T109" s="88">
        <f t="shared" si="264"/>
        <v>27.245244028827237</v>
      </c>
      <c r="U109" s="88">
        <f t="shared" ref="U109" si="265">SUM(U102,U80,U81,U82,U83,U84)</f>
        <v>12.837438110573935</v>
      </c>
      <c r="V109" s="88" t="e">
        <f t="shared" ref="V109" si="266">SUM(V102,V80,V81,V82,V83,V84)</f>
        <v>#DIV/0!</v>
      </c>
      <c r="W109" s="88"/>
    </row>
    <row r="110" spans="1:23" s="85" customFormat="1">
      <c r="A110" s="153" t="s">
        <v>968</v>
      </c>
      <c r="B110" s="84" t="s">
        <v>74</v>
      </c>
      <c r="C110" s="84"/>
      <c r="D110" s="88">
        <f t="shared" ref="D110" si="267">D107-D109</f>
        <v>85.236597561107786</v>
      </c>
      <c r="E110" s="88">
        <f t="shared" ref="E110:J110" si="268">E107-E109</f>
        <v>69.948330051261792</v>
      </c>
      <c r="F110" s="88">
        <f t="shared" si="268"/>
        <v>67.351474035393977</v>
      </c>
      <c r="G110" s="88">
        <f t="shared" si="268"/>
        <v>70.110470681361662</v>
      </c>
      <c r="H110" s="88">
        <f t="shared" si="268"/>
        <v>69.900343771786993</v>
      </c>
      <c r="I110" s="88">
        <f t="shared" si="268"/>
        <v>69.591370232765513</v>
      </c>
      <c r="J110" s="88">
        <f t="shared" si="268"/>
        <v>73.35983369276363</v>
      </c>
      <c r="K110" s="88">
        <f t="shared" ref="K110:L110" si="269">K107-K109</f>
        <v>73.333467434979781</v>
      </c>
      <c r="L110" s="88">
        <f t="shared" si="269"/>
        <v>78.343293282600541</v>
      </c>
      <c r="M110" s="88">
        <f t="shared" ref="M110:N110" si="270">M107-M109</f>
        <v>81.796365534975649</v>
      </c>
      <c r="N110" s="88">
        <f t="shared" si="270"/>
        <v>81.287032109003007</v>
      </c>
      <c r="O110" s="88">
        <f t="shared" ref="O110:T110" si="271">O107-O109</f>
        <v>81.425659311126424</v>
      </c>
      <c r="P110" s="88"/>
      <c r="Q110" s="88">
        <f t="shared" si="271"/>
        <v>73.247917962850622</v>
      </c>
      <c r="R110" s="88">
        <f t="shared" si="271"/>
        <v>73.215402188749664</v>
      </c>
      <c r="S110" s="88">
        <f t="shared" si="271"/>
        <v>73.247093055150216</v>
      </c>
      <c r="T110" s="88">
        <f t="shared" si="271"/>
        <v>73.37366948975793</v>
      </c>
      <c r="U110" s="88">
        <f t="shared" ref="U110" si="272">U107-U109</f>
        <v>87.476906875800807</v>
      </c>
      <c r="V110" s="88" t="e">
        <f t="shared" ref="V110" si="273">V107-V109</f>
        <v>#DIV/0!</v>
      </c>
      <c r="W110" s="88"/>
    </row>
    <row r="111" spans="1:23">
      <c r="A111" s="22" t="s">
        <v>996</v>
      </c>
      <c r="B111" s="2" t="s">
        <v>74</v>
      </c>
      <c r="D111" s="23">
        <f>D107-100</f>
        <v>0.36304583000224966</v>
      </c>
      <c r="E111" s="23">
        <f t="shared" ref="E111:F111" si="274">E107-100</f>
        <v>0.69632831421671426</v>
      </c>
      <c r="F111" s="23">
        <f t="shared" si="274"/>
        <v>0.75026159564421846</v>
      </c>
      <c r="G111" s="23">
        <f t="shared" ref="G111:H111" si="275">G107-100</f>
        <v>0.68929265872237977</v>
      </c>
      <c r="H111" s="23">
        <f t="shared" si="275"/>
        <v>0.69356455308896159</v>
      </c>
      <c r="I111" s="23">
        <f t="shared" ref="I111:J111" si="276">I107-100</f>
        <v>0.70015801765799779</v>
      </c>
      <c r="J111" s="23">
        <f t="shared" si="276"/>
        <v>0.61858206583983133</v>
      </c>
      <c r="K111" s="23">
        <f t="shared" ref="K111:L111" si="277">K107-100</f>
        <v>0.61902347995560092</v>
      </c>
      <c r="L111" s="23">
        <f t="shared" si="277"/>
        <v>0.51120547947598993</v>
      </c>
      <c r="M111" s="23">
        <f t="shared" ref="M111:N111" si="278">M107-100</f>
        <v>0.43691925012512911</v>
      </c>
      <c r="N111" s="23">
        <f t="shared" si="278"/>
        <v>0.44864636007049796</v>
      </c>
      <c r="O111" s="23">
        <f t="shared" ref="O111:T111" si="279">O107-100</f>
        <v>0.445394202596745</v>
      </c>
      <c r="P111" s="23"/>
      <c r="Q111" s="23">
        <f t="shared" si="279"/>
        <v>0.62082353199144791</v>
      </c>
      <c r="R111" s="23">
        <f t="shared" si="279"/>
        <v>0.62152618818069527</v>
      </c>
      <c r="S111" s="23">
        <f t="shared" si="279"/>
        <v>0.62060232358615508</v>
      </c>
      <c r="T111" s="23">
        <f t="shared" si="279"/>
        <v>0.61891351858515975</v>
      </c>
      <c r="U111" s="23">
        <f t="shared" ref="U111" si="280">U107-100</f>
        <v>0.31434498637473496</v>
      </c>
      <c r="V111" s="23" t="e">
        <f t="shared" ref="V111" si="281">V107-100</f>
        <v>#DIV/0!</v>
      </c>
      <c r="W111" s="23"/>
    </row>
    <row r="112" spans="1:23" ht="15.75" customHeight="1">
      <c r="A112" s="22" t="s">
        <v>997</v>
      </c>
      <c r="B112" s="2" t="s">
        <v>74</v>
      </c>
      <c r="D112" s="23">
        <f>((D36*D34)-(D37*$D$3))/(D37)</f>
        <v>0.36406452525718036</v>
      </c>
      <c r="E112" s="23">
        <f t="shared" ref="E112:F112" si="282">((E36*E34)-(E37*$D$3))/(E37)</f>
        <v>0.68113754418403161</v>
      </c>
      <c r="F112" s="23">
        <f t="shared" si="282"/>
        <v>0.7502928282350001</v>
      </c>
      <c r="G112" s="23">
        <f t="shared" ref="G112:H112" si="283">((G36*G34)-(G37*$D$3))/(G37)</f>
        <v>0.64569093249658149</v>
      </c>
      <c r="H112" s="23">
        <f t="shared" si="283"/>
        <v>0.69354139357441535</v>
      </c>
      <c r="I112" s="23">
        <f t="shared" ref="I112:J112" si="284">((I36*I34)-(I37*$D$3))/(I37)</f>
        <v>0.70014996164599841</v>
      </c>
      <c r="J112" s="23">
        <f t="shared" si="284"/>
        <v>0.61858307202565177</v>
      </c>
      <c r="K112" s="23">
        <f t="shared" ref="K112:L112" si="285">((K36*K34)-(K37*$D$3))/(K37)</f>
        <v>0.61903152947814732</v>
      </c>
      <c r="L112" s="23">
        <f t="shared" si="285"/>
        <v>0.51121452548527679</v>
      </c>
      <c r="M112" s="23">
        <f t="shared" ref="M112:N112" si="286">((M36*M34)-(M37*$D$3))/(M37)</f>
        <v>0.43690217585174601</v>
      </c>
      <c r="N112" s="23">
        <f t="shared" si="286"/>
        <v>0.44865339147623445</v>
      </c>
      <c r="O112" s="23">
        <f t="shared" ref="O112:T112" si="287">((O36*O34)-(O37*$D$3))/(O37)</f>
        <v>0.44538214915088514</v>
      </c>
      <c r="P112" s="23"/>
      <c r="Q112" s="23">
        <f t="shared" si="287"/>
        <v>0.62082956924123023</v>
      </c>
      <c r="R112" s="23">
        <f t="shared" si="287"/>
        <v>0.62153323168801122</v>
      </c>
      <c r="S112" s="23">
        <f t="shared" si="287"/>
        <v>0.62160250231501835</v>
      </c>
      <c r="T112" s="23">
        <f t="shared" si="287"/>
        <v>0.61890144431696903</v>
      </c>
      <c r="U112" s="23">
        <f t="shared" ref="U112" si="288">((U36*U34)-(U37*$D$3))/(U37)</f>
        <v>0.31433495494123848</v>
      </c>
      <c r="V112" s="23" t="e">
        <f t="shared" ref="V112" si="289">((V36*V34)-(V37*$D$3))/(V37)</f>
        <v>#DIV/0!</v>
      </c>
      <c r="W112" s="23"/>
    </row>
    <row r="113" spans="1:23">
      <c r="A113" s="22"/>
      <c r="D113" s="26"/>
      <c r="E113" s="26"/>
      <c r="F113" s="26"/>
      <c r="G113" s="26"/>
      <c r="H113" s="26"/>
      <c r="I113" s="26"/>
      <c r="J113" s="26"/>
      <c r="K113" s="26"/>
      <c r="L113" s="26"/>
      <c r="M113" s="26"/>
    </row>
    <row r="114" spans="1:23" s="85" customFormat="1">
      <c r="A114" s="228" t="s">
        <v>990</v>
      </c>
      <c r="B114" s="84"/>
      <c r="C114" s="84"/>
      <c r="D114" s="90"/>
      <c r="E114" s="90">
        <v>65.099999999999994</v>
      </c>
      <c r="F114" s="90">
        <v>65.099999999999994</v>
      </c>
      <c r="G114" s="90">
        <v>62.7</v>
      </c>
      <c r="H114" s="90">
        <v>62.8</v>
      </c>
      <c r="I114" s="90"/>
      <c r="J114" s="90">
        <v>60.6</v>
      </c>
      <c r="K114" s="90"/>
      <c r="L114" s="90">
        <v>57.2</v>
      </c>
      <c r="M114" s="90">
        <v>55.3</v>
      </c>
      <c r="N114" s="84">
        <v>55.7</v>
      </c>
      <c r="O114" s="84"/>
      <c r="P114" s="84"/>
      <c r="Q114" s="84">
        <v>60.6</v>
      </c>
      <c r="R114" s="84"/>
      <c r="S114" s="84">
        <v>60.6</v>
      </c>
      <c r="T114" s="84"/>
      <c r="U114" s="84">
        <v>51.8</v>
      </c>
      <c r="V114" s="84"/>
      <c r="W114" s="84"/>
    </row>
    <row r="115" spans="1:23" s="85" customFormat="1">
      <c r="A115" s="153" t="s">
        <v>969</v>
      </c>
      <c r="B115" s="84" t="s">
        <v>8</v>
      </c>
      <c r="C115" s="84"/>
      <c r="D115" s="90"/>
      <c r="E115" s="90">
        <f t="shared" ref="E115:U115" si="290">100*(E37*$D$8-E36*E50)/(E37*$D$8)</f>
        <v>39.465097692165969</v>
      </c>
      <c r="F115" s="90">
        <f t="shared" si="290"/>
        <v>38.697591407018969</v>
      </c>
      <c r="G115" s="90">
        <f t="shared" si="290"/>
        <v>30.232867756567469</v>
      </c>
      <c r="H115" s="90">
        <f t="shared" si="290"/>
        <v>30.550995836210795</v>
      </c>
      <c r="I115" s="90">
        <f t="shared" si="290"/>
        <v>31.046325524182691</v>
      </c>
      <c r="J115" s="90">
        <f t="shared" si="290"/>
        <v>25.11005718253622</v>
      </c>
      <c r="K115" s="90">
        <f t="shared" si="290"/>
        <v>25.104892679372082</v>
      </c>
      <c r="L115" s="90">
        <f t="shared" si="290"/>
        <v>17.565140520615564</v>
      </c>
      <c r="M115" s="90">
        <f t="shared" si="290"/>
        <v>13.812244907102945</v>
      </c>
      <c r="N115" s="90">
        <f t="shared" si="290"/>
        <v>14.326593588199218</v>
      </c>
      <c r="O115" s="90">
        <f t="shared" si="290"/>
        <v>14.223144617426735</v>
      </c>
      <c r="P115" s="90"/>
      <c r="Q115" s="90">
        <f t="shared" si="290"/>
        <v>25.206927890824041</v>
      </c>
      <c r="R115" s="90">
        <f t="shared" si="290"/>
        <v>25.2731777702251</v>
      </c>
      <c r="S115" s="90">
        <f t="shared" si="290"/>
        <v>25.237491099033523</v>
      </c>
      <c r="T115" s="90">
        <f t="shared" si="290"/>
        <v>25.046659364729223</v>
      </c>
      <c r="U115" s="90">
        <f t="shared" si="290"/>
        <v>7.8747119424207943</v>
      </c>
      <c r="V115" s="84"/>
      <c r="W115" s="84"/>
    </row>
    <row r="116" spans="1:23" s="85" customFormat="1">
      <c r="A116" s="153" t="s">
        <v>970</v>
      </c>
      <c r="B116" s="84" t="s">
        <v>8</v>
      </c>
      <c r="C116" s="84"/>
      <c r="D116" s="90"/>
      <c r="E116" s="90">
        <f>100*(E37*$D$13-E36*E58)/(E37*$D$13)</f>
        <v>82.671090277931853</v>
      </c>
      <c r="F116" s="90">
        <f t="shared" ref="F116:U116" si="291">100*(F37*$D$13-F36*F58)/(F37*$D$13)</f>
        <v>83.75932833689096</v>
      </c>
      <c r="G116" s="90">
        <f t="shared" si="291"/>
        <v>73.855793589290201</v>
      </c>
      <c r="H116" s="90">
        <f t="shared" si="291"/>
        <v>74.242039603401281</v>
      </c>
      <c r="I116" s="90">
        <f t="shared" si="291"/>
        <v>75.036086468829026</v>
      </c>
      <c r="J116" s="90">
        <f t="shared" si="291"/>
        <v>65.292985974286779</v>
      </c>
      <c r="K116" s="90">
        <f t="shared" si="291"/>
        <v>65.4309194576294</v>
      </c>
      <c r="L116" s="90">
        <f t="shared" si="291"/>
        <v>50.850139669254084</v>
      </c>
      <c r="M116" s="90">
        <f t="shared" si="291"/>
        <v>41.980683124441072</v>
      </c>
      <c r="N116" s="90">
        <f t="shared" si="291"/>
        <v>43.459829175337546</v>
      </c>
      <c r="O116" s="90">
        <f t="shared" si="291"/>
        <v>43.055227147068486</v>
      </c>
      <c r="P116" s="90"/>
      <c r="Q116" s="90">
        <f t="shared" si="291"/>
        <v>65.711291375549095</v>
      </c>
      <c r="R116" s="90">
        <f t="shared" si="291"/>
        <v>65.80698818874707</v>
      </c>
      <c r="S116" s="90">
        <f t="shared" si="291"/>
        <v>65.698906766318416</v>
      </c>
      <c r="T116" s="90">
        <f t="shared" si="291"/>
        <v>65.529471427123696</v>
      </c>
      <c r="U116" s="90">
        <f t="shared" si="291"/>
        <v>26.233160956339049</v>
      </c>
      <c r="V116" s="84"/>
      <c r="W116" s="84"/>
    </row>
    <row r="117" spans="1:23" s="85" customFormat="1">
      <c r="A117" s="153" t="s">
        <v>971</v>
      </c>
      <c r="B117" s="84" t="s">
        <v>8</v>
      </c>
      <c r="C117" s="84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84"/>
      <c r="O117" s="84"/>
      <c r="P117" s="84"/>
      <c r="Q117" s="84"/>
      <c r="R117" s="84"/>
      <c r="S117" s="99"/>
      <c r="T117" s="84"/>
      <c r="U117" s="84"/>
      <c r="V117" s="84"/>
      <c r="W117" s="84"/>
    </row>
    <row r="118" spans="1:23">
      <c r="A118" s="22"/>
      <c r="D118" s="26"/>
      <c r="E118" s="26"/>
      <c r="F118" s="26"/>
      <c r="G118" s="26"/>
      <c r="H118" s="26"/>
      <c r="I118" s="26"/>
      <c r="J118" s="26"/>
      <c r="K118" s="26"/>
      <c r="L118" s="26"/>
      <c r="M118" s="26"/>
    </row>
    <row r="119" spans="1:23">
      <c r="A119" s="38" t="s">
        <v>18</v>
      </c>
      <c r="B119" s="2" t="s">
        <v>8</v>
      </c>
      <c r="D119" s="26"/>
      <c r="E119" s="26">
        <f>100*(E36*E51-E37*$D$9)/(E37*$D$8-E36*E50)</f>
        <v>25.267963758719816</v>
      </c>
      <c r="F119" s="26">
        <f t="shared" ref="F119:U119" si="292">100*(F36*F51-F37*$D$9)/(F37*$D$8-F36*F50)</f>
        <v>23.706335354623501</v>
      </c>
      <c r="G119" s="26">
        <f t="shared" si="292"/>
        <v>18.134720159385289</v>
      </c>
      <c r="H119" s="26">
        <f t="shared" si="292"/>
        <v>18.37116085598511</v>
      </c>
      <c r="I119" s="26">
        <f t="shared" si="292"/>
        <v>18.665908362063668</v>
      </c>
      <c r="J119" s="26">
        <f t="shared" si="292"/>
        <v>12.894114898862183</v>
      </c>
      <c r="K119" s="26">
        <f t="shared" si="292"/>
        <v>13.337966068625796</v>
      </c>
      <c r="L119" s="26">
        <f t="shared" si="292"/>
        <v>-9.7407435687471858E-2</v>
      </c>
      <c r="M119" s="26">
        <f t="shared" si="292"/>
        <v>-10.401347924517406</v>
      </c>
      <c r="N119" s="26">
        <f t="shared" si="292"/>
        <v>-8.5811526949044836</v>
      </c>
      <c r="O119" s="26">
        <f t="shared" si="292"/>
        <v>-8.9940810962015121</v>
      </c>
      <c r="P119" s="26"/>
      <c r="Q119" s="26">
        <f t="shared" si="292"/>
        <v>13.363079232246037</v>
      </c>
      <c r="R119" s="26">
        <f t="shared" si="292"/>
        <v>13.419619290218074</v>
      </c>
      <c r="S119" s="26">
        <f t="shared" si="292"/>
        <v>13.411615686863577</v>
      </c>
      <c r="T119" s="26">
        <f t="shared" si="292"/>
        <v>13.400510702819396</v>
      </c>
      <c r="U119" s="26">
        <f t="shared" si="292"/>
        <v>-46.182441030308908</v>
      </c>
    </row>
    <row r="120" spans="1:23">
      <c r="A120" s="38" t="s">
        <v>19</v>
      </c>
      <c r="B120" s="2" t="s">
        <v>8</v>
      </c>
      <c r="D120" s="26"/>
      <c r="E120" s="26">
        <f>100*(E36*E52-E37*$D$10)/(E37*$D$8-E36*E50)</f>
        <v>34.234150645541675</v>
      </c>
      <c r="F120" s="26">
        <f t="shared" ref="F120:U120" si="293">100*(F36*F52-F37*$D$10)/(F37*$D$8-F36*F50)</f>
        <v>33.349226221159391</v>
      </c>
      <c r="G120" s="26">
        <f t="shared" si="293"/>
        <v>34.059846809331255</v>
      </c>
      <c r="H120" s="26">
        <f t="shared" si="293"/>
        <v>33.953443606103782</v>
      </c>
      <c r="I120" s="26">
        <f t="shared" si="293"/>
        <v>33.817298974978833</v>
      </c>
      <c r="J120" s="26">
        <f t="shared" si="293"/>
        <v>34.873385523730057</v>
      </c>
      <c r="K120" s="26">
        <f t="shared" si="293"/>
        <v>35.195348491774155</v>
      </c>
      <c r="L120" s="26">
        <f t="shared" si="293"/>
        <v>37.653149528727951</v>
      </c>
      <c r="M120" s="26">
        <f t="shared" si="293"/>
        <v>40.94899197768143</v>
      </c>
      <c r="N120" s="26">
        <f t="shared" si="293"/>
        <v>40.274482774143642</v>
      </c>
      <c r="O120" s="26">
        <f t="shared" si="293"/>
        <v>40.394438683810677</v>
      </c>
      <c r="P120" s="26"/>
      <c r="Q120" s="26">
        <f t="shared" si="293"/>
        <v>34.997818191742198</v>
      </c>
      <c r="R120" s="26">
        <f t="shared" si="293"/>
        <v>34.95026468159692</v>
      </c>
      <c r="S120" s="26">
        <f t="shared" si="293"/>
        <v>35.020295705078695</v>
      </c>
      <c r="T120" s="26">
        <f t="shared" si="293"/>
        <v>35.208223876946498</v>
      </c>
      <c r="U120" s="26">
        <f t="shared" si="293"/>
        <v>50.213877465212043</v>
      </c>
    </row>
    <row r="121" spans="1:23">
      <c r="A121" s="38" t="s">
        <v>20</v>
      </c>
      <c r="B121" s="2" t="s">
        <v>8</v>
      </c>
      <c r="D121" s="26"/>
      <c r="E121" s="26">
        <f>100*(E36*E53-E37*$D$11)/(E37*$D$8-E36*E50)</f>
        <v>29.722036680521775</v>
      </c>
      <c r="F121" s="26">
        <f t="shared" ref="F121:U121" si="294">100*(F36*F53-F37*$D$11)/(F37*$D$8-F36*F50)</f>
        <v>31.656982534034313</v>
      </c>
      <c r="G121" s="26">
        <f t="shared" si="294"/>
        <v>38.96544853733473</v>
      </c>
      <c r="H121" s="26">
        <f t="shared" si="294"/>
        <v>38.752285101284883</v>
      </c>
      <c r="I121" s="26">
        <f t="shared" si="294"/>
        <v>38.381006263975046</v>
      </c>
      <c r="J121" s="26">
        <f t="shared" si="294"/>
        <v>44.069101895580971</v>
      </c>
      <c r="K121" s="26">
        <f t="shared" si="294"/>
        <v>44.216281705386734</v>
      </c>
      <c r="L121" s="26">
        <f t="shared" si="294"/>
        <v>55.795460099646171</v>
      </c>
      <c r="M121" s="26">
        <f t="shared" si="294"/>
        <v>66.503618016102052</v>
      </c>
      <c r="N121" s="26">
        <f t="shared" si="294"/>
        <v>64.826795144105688</v>
      </c>
      <c r="O121" s="26">
        <f t="shared" si="294"/>
        <v>65.204712826831198</v>
      </c>
      <c r="P121" s="26"/>
      <c r="Q121" s="26">
        <f t="shared" si="294"/>
        <v>44.085622577877892</v>
      </c>
      <c r="R121" s="26">
        <f t="shared" si="294"/>
        <v>44.018074349410881</v>
      </c>
      <c r="S121" s="26">
        <f t="shared" si="294"/>
        <v>44.055888976205594</v>
      </c>
      <c r="T121" s="26">
        <f t="shared" si="294"/>
        <v>44.349684574712654</v>
      </c>
      <c r="U121" s="26">
        <f t="shared" si="294"/>
        <v>94.747519781240115</v>
      </c>
    </row>
    <row r="122" spans="1:23">
      <c r="A122" s="38" t="s">
        <v>75</v>
      </c>
      <c r="B122" s="2" t="s">
        <v>8</v>
      </c>
      <c r="D122" s="26"/>
      <c r="E122" s="26">
        <f>100*(E36*E54-E37*$D$12)/(E37*$D$8-E36*E50)</f>
        <v>12.166237275951337</v>
      </c>
      <c r="F122" s="26">
        <f t="shared" ref="F122:U122" si="295">100*(F36*F54-F37*$D$12)/(F37*$D$8-F36*F50)</f>
        <v>11.446289730876654</v>
      </c>
      <c r="G122" s="26">
        <f t="shared" si="295"/>
        <v>10.53240049899992</v>
      </c>
      <c r="H122" s="26">
        <f t="shared" si="295"/>
        <v>10.565780840753353</v>
      </c>
      <c r="I122" s="26">
        <f t="shared" si="295"/>
        <v>10.614866143308486</v>
      </c>
      <c r="J122" s="26">
        <f t="shared" si="295"/>
        <v>10.449535502682588</v>
      </c>
      <c r="K122" s="26">
        <f t="shared" si="295"/>
        <v>10.50295574904721</v>
      </c>
      <c r="L122" s="26">
        <f t="shared" si="295"/>
        <v>9.9719076629466965</v>
      </c>
      <c r="M122" s="26">
        <f t="shared" si="295"/>
        <v>10.360661460208645</v>
      </c>
      <c r="N122" s="26">
        <f t="shared" si="295"/>
        <v>10.165453700169367</v>
      </c>
      <c r="O122" s="26">
        <f>100*(O36*O54-O37*$D$12)/(O37*$D$8-O36*O50)</f>
        <v>10.25156600969971</v>
      </c>
      <c r="P122" s="26"/>
      <c r="Q122" s="26">
        <f t="shared" si="295"/>
        <v>10.429702056798289</v>
      </c>
      <c r="R122" s="26">
        <f t="shared" si="295"/>
        <v>10.419428142557891</v>
      </c>
      <c r="S122" s="26">
        <f t="shared" si="295"/>
        <v>10.444042007198533</v>
      </c>
      <c r="T122" s="26">
        <f t="shared" si="295"/>
        <v>10.475500753553648</v>
      </c>
      <c r="U122" s="26">
        <f t="shared" si="295"/>
        <v>9.6870042320549015</v>
      </c>
    </row>
    <row r="123" spans="1:23" s="85" customFormat="1">
      <c r="A123" s="151" t="s">
        <v>972</v>
      </c>
      <c r="B123" s="84" t="s">
        <v>8</v>
      </c>
      <c r="C123" s="84"/>
      <c r="D123" s="90"/>
      <c r="E123" s="90">
        <f>SUM(E119:E122)</f>
        <v>101.3903883607346</v>
      </c>
      <c r="F123" s="90">
        <f t="shared" ref="F123:U123" si="296">SUM(F119:F122)</f>
        <v>100.15883384069386</v>
      </c>
      <c r="G123" s="90">
        <f t="shared" si="296"/>
        <v>101.6924160050512</v>
      </c>
      <c r="H123" s="90">
        <f t="shared" si="296"/>
        <v>101.64267040412713</v>
      </c>
      <c r="I123" s="90">
        <f t="shared" si="296"/>
        <v>101.47907974432604</v>
      </c>
      <c r="J123" s="90">
        <f t="shared" si="296"/>
        <v>102.28613782085581</v>
      </c>
      <c r="K123" s="90">
        <f t="shared" si="296"/>
        <v>103.2525520148339</v>
      </c>
      <c r="L123" s="90">
        <f t="shared" si="296"/>
        <v>103.32310985563335</v>
      </c>
      <c r="M123" s="90">
        <f t="shared" si="296"/>
        <v>107.41192352947472</v>
      </c>
      <c r="N123" s="90">
        <f t="shared" si="296"/>
        <v>106.68557892351421</v>
      </c>
      <c r="O123" s="90">
        <f t="shared" si="296"/>
        <v>106.85663642414008</v>
      </c>
      <c r="P123" s="90"/>
      <c r="Q123" s="90">
        <f t="shared" si="296"/>
        <v>102.87622205866442</v>
      </c>
      <c r="R123" s="90">
        <f t="shared" si="296"/>
        <v>102.80738646378377</v>
      </c>
      <c r="S123" s="90">
        <f t="shared" si="296"/>
        <v>102.93184237534641</v>
      </c>
      <c r="T123" s="90">
        <f t="shared" si="296"/>
        <v>103.43391990803219</v>
      </c>
      <c r="U123" s="90">
        <f t="shared" si="296"/>
        <v>108.46596044819816</v>
      </c>
      <c r="V123" s="84"/>
      <c r="W123" s="84"/>
    </row>
    <row r="124" spans="1:23">
      <c r="D124" s="26"/>
      <c r="E124" s="26"/>
      <c r="F124" s="26"/>
      <c r="G124" s="26"/>
      <c r="H124" s="26"/>
      <c r="I124" s="26"/>
      <c r="J124" s="26"/>
      <c r="K124" s="26"/>
      <c r="L124" s="26"/>
      <c r="M124" s="26"/>
    </row>
    <row r="125" spans="1:23">
      <c r="A125" s="38" t="s">
        <v>26</v>
      </c>
      <c r="B125" s="2" t="s">
        <v>8</v>
      </c>
      <c r="D125" s="26"/>
      <c r="E125" s="26">
        <f>100*(E36*E59-E37*$D$14)/(E37*$D$13-E36*E58)</f>
        <v>-49.944073475544521</v>
      </c>
      <c r="F125" s="26">
        <f>100*(F36*F59-F37*$D$14)/(F37*$D$13-F36*F58)</f>
        <v>-61.239235683761208</v>
      </c>
      <c r="G125" s="26">
        <f t="shared" ref="G125:U125" si="297">100*(G36*G59-G37*$D$14)/(G37*$D$13-G36*G58)</f>
        <v>-63.252792385171489</v>
      </c>
      <c r="H125" s="26">
        <f t="shared" si="297"/>
        <v>-63.484126523331149</v>
      </c>
      <c r="I125" s="26">
        <f t="shared" si="297"/>
        <v>-63.887438082992311</v>
      </c>
      <c r="J125" s="26">
        <f t="shared" si="297"/>
        <v>-59.083944235166371</v>
      </c>
      <c r="K125" s="26">
        <f t="shared" si="297"/>
        <v>-59.132184262292704</v>
      </c>
      <c r="L125" s="26">
        <f t="shared" si="297"/>
        <v>-55.956319986015288</v>
      </c>
      <c r="M125" s="26">
        <f t="shared" si="297"/>
        <v>-53.642333486865198</v>
      </c>
      <c r="N125" s="26">
        <f t="shared" si="297"/>
        <v>-53.616186792585374</v>
      </c>
      <c r="O125" s="26">
        <f t="shared" si="297"/>
        <v>-53.489448685733251</v>
      </c>
      <c r="P125" s="26"/>
      <c r="Q125" s="26">
        <f t="shared" si="297"/>
        <v>-59.025945301277602</v>
      </c>
      <c r="R125" s="26">
        <f t="shared" si="297"/>
        <v>-59.037968138779078</v>
      </c>
      <c r="S125" s="26">
        <f t="shared" si="297"/>
        <v>-58.935041162248041</v>
      </c>
      <c r="T125" s="26">
        <f t="shared" si="297"/>
        <v>-59.063237853027893</v>
      </c>
      <c r="U125" s="26">
        <f t="shared" si="297"/>
        <v>-59.97967876955876</v>
      </c>
    </row>
    <row r="126" spans="1:23">
      <c r="A126" s="38" t="s">
        <v>27</v>
      </c>
      <c r="B126" s="2" t="s">
        <v>8</v>
      </c>
      <c r="D126" s="26"/>
      <c r="E126" s="26">
        <f>100*(E36*E60-E37*$D$15)/(E37*$D$13-E36*E58)</f>
        <v>15.679607124498039</v>
      </c>
      <c r="F126" s="26">
        <f t="shared" ref="F126:U126" si="298">100*(F36*F60-F37*$D$15)/(F37*$D$13-F36*F58)</f>
        <v>10.602695327781829</v>
      </c>
      <c r="G126" s="26">
        <f t="shared" si="298"/>
        <v>13.849466255269428</v>
      </c>
      <c r="H126" s="26">
        <f t="shared" si="298"/>
        <v>13.693121441823045</v>
      </c>
      <c r="I126" s="26">
        <f t="shared" si="298"/>
        <v>13.264880583486454</v>
      </c>
      <c r="J126" s="26">
        <f t="shared" si="298"/>
        <v>19.787312444716385</v>
      </c>
      <c r="K126" s="26">
        <f t="shared" si="298"/>
        <v>19.671687780001012</v>
      </c>
      <c r="L126" s="26">
        <f t="shared" si="298"/>
        <v>30.521811479156284</v>
      </c>
      <c r="M126" s="26">
        <f t="shared" si="298"/>
        <v>41.867180915166976</v>
      </c>
      <c r="N126" s="26">
        <f t="shared" si="298"/>
        <v>39.960697383488302</v>
      </c>
      <c r="O126" s="26">
        <f t="shared" si="298"/>
        <v>40.602364509323181</v>
      </c>
      <c r="P126" s="26"/>
      <c r="Q126" s="26">
        <f t="shared" si="298"/>
        <v>19.623801654666163</v>
      </c>
      <c r="R126" s="26">
        <f t="shared" si="298"/>
        <v>19.590957602936857</v>
      </c>
      <c r="S126" s="26">
        <f t="shared" si="298"/>
        <v>19.665642803988739</v>
      </c>
      <c r="T126" s="26">
        <f t="shared" si="298"/>
        <v>19.71841258251218</v>
      </c>
      <c r="U126" s="26">
        <f t="shared" si="298"/>
        <v>72.476882129520519</v>
      </c>
    </row>
    <row r="127" spans="1:23">
      <c r="A127" s="22" t="s">
        <v>975</v>
      </c>
      <c r="B127" s="2" t="s">
        <v>8</v>
      </c>
      <c r="D127" s="26"/>
      <c r="E127" s="1"/>
      <c r="F127" s="1"/>
      <c r="G127" s="1"/>
      <c r="H127" s="1"/>
      <c r="I127" s="1"/>
      <c r="J127" s="1"/>
      <c r="N127" s="1"/>
      <c r="O127" s="1"/>
      <c r="P127" s="1"/>
      <c r="Q127" s="1"/>
      <c r="R127" s="1"/>
      <c r="S127" s="1"/>
      <c r="T127" s="1"/>
      <c r="U127" s="1"/>
    </row>
    <row r="128" spans="1:23" s="85" customFormat="1">
      <c r="A128" s="151" t="s">
        <v>976</v>
      </c>
      <c r="B128" s="84" t="s">
        <v>8</v>
      </c>
      <c r="C128" s="84"/>
      <c r="D128" s="90"/>
      <c r="E128" s="90">
        <f>E126+E125</f>
        <v>-34.26446635104648</v>
      </c>
      <c r="F128" s="90">
        <f t="shared" ref="F128:U128" si="299">F126+F125</f>
        <v>-50.636540355979378</v>
      </c>
      <c r="G128" s="90">
        <f t="shared" si="299"/>
        <v>-49.403326129902062</v>
      </c>
      <c r="H128" s="90">
        <f t="shared" si="299"/>
        <v>-49.791005081508104</v>
      </c>
      <c r="I128" s="90">
        <f t="shared" si="299"/>
        <v>-50.622557499505859</v>
      </c>
      <c r="J128" s="90">
        <f t="shared" si="299"/>
        <v>-39.296631790449986</v>
      </c>
      <c r="K128" s="90">
        <f t="shared" si="299"/>
        <v>-39.460496482291688</v>
      </c>
      <c r="L128" s="90">
        <f t="shared" si="299"/>
        <v>-25.434508506859004</v>
      </c>
      <c r="M128" s="90">
        <f t="shared" si="299"/>
        <v>-11.775152571698221</v>
      </c>
      <c r="N128" s="90">
        <f t="shared" si="299"/>
        <v>-13.655489409097072</v>
      </c>
      <c r="O128" s="90">
        <f t="shared" si="299"/>
        <v>-12.88708417641007</v>
      </c>
      <c r="P128" s="90"/>
      <c r="Q128" s="90">
        <f t="shared" si="299"/>
        <v>-39.402143646611435</v>
      </c>
      <c r="R128" s="90">
        <f t="shared" si="299"/>
        <v>-39.447010535842224</v>
      </c>
      <c r="S128" s="90">
        <f t="shared" si="299"/>
        <v>-39.269398358259302</v>
      </c>
      <c r="T128" s="90">
        <f t="shared" si="299"/>
        <v>-39.344825270515713</v>
      </c>
      <c r="U128" s="90">
        <f t="shared" si="299"/>
        <v>12.497203359961759</v>
      </c>
      <c r="V128" s="84"/>
      <c r="W128" s="84"/>
    </row>
    <row r="129" spans="1:23">
      <c r="A129" s="80"/>
      <c r="B129" s="81"/>
      <c r="D129" s="26"/>
      <c r="E129" s="26"/>
      <c r="F129" s="26"/>
      <c r="G129" s="26"/>
      <c r="H129" s="26"/>
      <c r="I129" s="26"/>
      <c r="J129" s="26"/>
      <c r="K129" s="26"/>
      <c r="L129" s="26"/>
      <c r="M129" s="26"/>
    </row>
    <row r="130" spans="1:23">
      <c r="A130" s="22" t="s">
        <v>977</v>
      </c>
      <c r="B130" s="2" t="s">
        <v>8</v>
      </c>
      <c r="D130" s="26"/>
      <c r="E130" s="26"/>
      <c r="F130" s="26"/>
      <c r="G130" s="26"/>
      <c r="H130" s="26"/>
      <c r="I130" s="26"/>
      <c r="J130" s="26"/>
      <c r="K130" s="26"/>
      <c r="L130" s="26"/>
      <c r="M130" s="26"/>
    </row>
    <row r="131" spans="1:23" s="85" customFormat="1">
      <c r="A131" s="151" t="s">
        <v>978</v>
      </c>
      <c r="B131" s="84" t="s">
        <v>8</v>
      </c>
      <c r="C131" s="84"/>
      <c r="D131" s="84"/>
      <c r="E131" s="84"/>
      <c r="F131" s="84"/>
      <c r="G131" s="84"/>
      <c r="H131" s="84"/>
      <c r="I131" s="84"/>
      <c r="J131" s="84"/>
      <c r="N131" s="84"/>
      <c r="O131" s="84"/>
      <c r="P131" s="84"/>
      <c r="Q131" s="84"/>
      <c r="R131" s="84"/>
      <c r="S131" s="99"/>
      <c r="T131" s="84"/>
      <c r="U131" s="84"/>
      <c r="V131" s="84"/>
      <c r="W131" s="84"/>
    </row>
    <row r="132" spans="1:23">
      <c r="A132" s="83"/>
    </row>
    <row r="133" spans="1:23" s="85" customFormat="1">
      <c r="A133" s="151" t="s">
        <v>979</v>
      </c>
      <c r="B133" s="84" t="s">
        <v>980</v>
      </c>
      <c r="C133" s="84"/>
      <c r="D133" s="84"/>
      <c r="E133" s="92">
        <f>E114*E110</f>
        <v>4553.6362863371423</v>
      </c>
      <c r="F133" s="92">
        <f t="shared" ref="F133:U133" si="300">F114*F110</f>
        <v>4384.580959704148</v>
      </c>
      <c r="G133" s="92">
        <f t="shared" si="300"/>
        <v>4395.9265117213763</v>
      </c>
      <c r="H133" s="92">
        <f t="shared" si="300"/>
        <v>4389.7415888682226</v>
      </c>
      <c r="I133" s="92">
        <f t="shared" si="300"/>
        <v>0</v>
      </c>
      <c r="J133" s="92"/>
      <c r="K133" s="92">
        <f t="shared" si="300"/>
        <v>0</v>
      </c>
      <c r="L133" s="92">
        <f t="shared" si="300"/>
        <v>4481.2363757647508</v>
      </c>
      <c r="M133" s="92">
        <f t="shared" si="300"/>
        <v>4523.339014084153</v>
      </c>
      <c r="N133" s="92">
        <f t="shared" si="300"/>
        <v>4527.6876884714675</v>
      </c>
      <c r="O133" s="92"/>
      <c r="P133" s="92"/>
      <c r="Q133" s="92">
        <f t="shared" si="300"/>
        <v>4438.8238285487478</v>
      </c>
      <c r="R133" s="92">
        <f t="shared" si="300"/>
        <v>0</v>
      </c>
      <c r="S133" s="92">
        <f t="shared" si="300"/>
        <v>4438.7738391421035</v>
      </c>
      <c r="T133" s="92"/>
      <c r="U133" s="92">
        <f t="shared" si="300"/>
        <v>4531.3037761664818</v>
      </c>
    </row>
    <row r="134" spans="1:23">
      <c r="A134" s="83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</row>
    <row r="135" spans="1:23" s="85" customFormat="1">
      <c r="A135" s="151" t="s">
        <v>981</v>
      </c>
      <c r="B135" s="99" t="s">
        <v>8</v>
      </c>
      <c r="C135" s="84"/>
      <c r="D135" s="84"/>
      <c r="E135" s="92">
        <f>(E86)/(E86+E85)*100</f>
        <v>49.298700823701928</v>
      </c>
      <c r="F135" s="92">
        <f t="shared" ref="F135:U135" si="301">(F86)/(F86+F85)*100</f>
        <v>49.56278444089817</v>
      </c>
      <c r="G135" s="92">
        <f t="shared" si="301"/>
        <v>48.127118843054589</v>
      </c>
      <c r="H135" s="92">
        <f t="shared" si="301"/>
        <v>48.201906436545649</v>
      </c>
      <c r="I135" s="92">
        <f t="shared" si="301"/>
        <v>48.283874467344795</v>
      </c>
      <c r="J135" s="92">
        <f t="shared" si="301"/>
        <v>47.184000312574753</v>
      </c>
      <c r="K135" s="92">
        <f t="shared" si="301"/>
        <v>47.197039555947207</v>
      </c>
      <c r="L135" s="92">
        <f t="shared" si="301"/>
        <v>45.658569519627271</v>
      </c>
      <c r="M135" s="92">
        <f t="shared" si="301"/>
        <v>44.723617934707796</v>
      </c>
      <c r="N135" s="92">
        <f t="shared" si="301"/>
        <v>44.828300646469863</v>
      </c>
      <c r="O135" s="92">
        <f t="shared" si="301"/>
        <v>44.813093051349519</v>
      </c>
      <c r="P135" s="92">
        <f t="shared" si="301"/>
        <v>47.168901048417702</v>
      </c>
      <c r="Q135" s="92">
        <f t="shared" si="301"/>
        <v>47.189645248763597</v>
      </c>
      <c r="R135" s="92">
        <f t="shared" si="301"/>
        <v>47.190611739467023</v>
      </c>
      <c r="S135" s="92">
        <f t="shared" si="301"/>
        <v>47.188489964330238</v>
      </c>
      <c r="T135" s="92">
        <f t="shared" si="301"/>
        <v>47.127585035288888</v>
      </c>
      <c r="U135" s="92">
        <f t="shared" si="301"/>
        <v>42.652583897068034</v>
      </c>
      <c r="V135" s="84"/>
      <c r="W135" s="84"/>
    </row>
    <row r="136" spans="1:23" s="85" customFormat="1">
      <c r="A136" s="151" t="s">
        <v>982</v>
      </c>
      <c r="B136" s="99" t="s">
        <v>8</v>
      </c>
      <c r="C136" s="84"/>
      <c r="D136" s="84"/>
      <c r="E136" s="92" cm="1">
        <f t="array" ref="E136">SUM(E89:E92)/SUM(E89:E92+E88)*100</f>
        <v>31.22331115190034</v>
      </c>
      <c r="F136" s="92" cm="1">
        <f t="array" ref="F136">SUM(F89:F92)/SUM(F89:F92+F88)*100</f>
        <v>30.708578186755403</v>
      </c>
      <c r="G136" s="92" cm="1">
        <f t="array" ref="G136">SUM(G89:G92)/SUM(G89:G92+G88)*100</f>
        <v>26.507928133299824</v>
      </c>
      <c r="H136" s="92" cm="1">
        <f t="array" ref="H136">SUM(H89:H92)/SUM(H89:H92+H88)*100</f>
        <v>26.656808829645929</v>
      </c>
      <c r="I136" s="92" cm="1">
        <f t="array" ref="I136">SUM(I89:I92)/SUM(I89:I92+I88)*100</f>
        <v>26.884828113732151</v>
      </c>
      <c r="J136" s="92" cm="1">
        <f t="array" ref="J136">SUM(J89:J92)/SUM(J89:J92+J88)*100</f>
        <v>24.192185491471371</v>
      </c>
      <c r="K136" s="92" cm="1">
        <f t="array" ref="K136">SUM(K89:K92)/SUM(K89:K92+K88)*100</f>
        <v>24.236422729739608</v>
      </c>
      <c r="L136" s="92" cm="1">
        <f t="array" ref="L136">SUM(L89:L92)/SUM(L89:L92+L88)*100</f>
        <v>21.077442463777913</v>
      </c>
      <c r="M136" s="92" cm="1">
        <f t="array" ref="M136">SUM(M89:M92)/SUM(M89:M92+M88)*100</f>
        <v>19.732007087973216</v>
      </c>
      <c r="N136" s="92" cm="1">
        <f t="array" ref="N136">SUM(N89:N92)/SUM(N89:N92+N88)*100</f>
        <v>19.91100035308909</v>
      </c>
      <c r="O136" s="92" cm="1">
        <f t="array" ref="O136">SUM(O89:O92)/SUM(O89:O92+O88)*100</f>
        <v>19.875668932522412</v>
      </c>
      <c r="P136" s="92" cm="1">
        <f t="array" ref="P136">SUM(P89:P92)/SUM(P89:P92+P88)*100</f>
        <v>24.222988912078911</v>
      </c>
      <c r="Q136" s="92" cm="1">
        <f t="array" ref="Q136">SUM(Q89:Q92)/SUM(Q89:Q92+Q88)*100</f>
        <v>24.263476847102876</v>
      </c>
      <c r="R136" s="92" cm="1">
        <f t="array" ref="R136">SUM(R89:R92)/SUM(R89:R92+R88)*100</f>
        <v>24.289500149759537</v>
      </c>
      <c r="S136" s="92" cm="1">
        <f t="array" ref="S136">SUM(S89:S92)/SUM(S89:S92+S88)*100</f>
        <v>24.279709001611181</v>
      </c>
      <c r="T136" s="92" cm="1">
        <f t="array" ref="T136">SUM(T89:T92)/SUM(T89:T92+T88)*100</f>
        <v>24.219338078766079</v>
      </c>
      <c r="U136" s="92" cm="1">
        <f t="array" ref="U136">SUM(U89:U92)/SUM(U89:U92+U88)*100</f>
        <v>17.553056492812605</v>
      </c>
      <c r="V136" s="84"/>
      <c r="W136" s="84"/>
    </row>
    <row r="137" spans="1:23" s="85" customFormat="1">
      <c r="A137" s="151" t="s">
        <v>983</v>
      </c>
      <c r="B137" s="99" t="s">
        <v>8</v>
      </c>
      <c r="C137" s="84"/>
      <c r="D137" s="84"/>
      <c r="E137" s="92">
        <f>SUM(E98,E97)/(SUM(E98,E97)+E96)*100</f>
        <v>78.56836761360745</v>
      </c>
      <c r="F137" s="92">
        <f t="shared" ref="F137:U137" si="302">SUM(F98,F97)/(SUM(F98,F97)+F96)*100</f>
        <v>75.273951657453821</v>
      </c>
      <c r="G137" s="92">
        <f t="shared" si="302"/>
        <v>67.925776991389768</v>
      </c>
      <c r="H137" s="92">
        <f t="shared" si="302"/>
        <v>68.060737041089567</v>
      </c>
      <c r="I137" s="92">
        <f t="shared" si="302"/>
        <v>68.333297168931409</v>
      </c>
      <c r="J137" s="92">
        <f t="shared" si="302"/>
        <v>65.60381172157372</v>
      </c>
      <c r="K137" s="92">
        <f t="shared" si="302"/>
        <v>65.638568501715682</v>
      </c>
      <c r="L137" s="92">
        <f t="shared" si="302"/>
        <v>61.622950143214993</v>
      </c>
      <c r="M137" s="92">
        <f t="shared" si="302"/>
        <v>59.967523441649327</v>
      </c>
      <c r="N137" s="92">
        <f t="shared" si="302"/>
        <v>60.311577741822134</v>
      </c>
      <c r="O137" s="92">
        <f t="shared" si="302"/>
        <v>60.248199924677635</v>
      </c>
      <c r="P137" s="92">
        <f t="shared" si="302"/>
        <v>65.711356216960155</v>
      </c>
      <c r="Q137" s="92">
        <f t="shared" si="302"/>
        <v>65.797360543396906</v>
      </c>
      <c r="R137" s="92">
        <f t="shared" si="302"/>
        <v>65.837295923678056</v>
      </c>
      <c r="S137" s="92">
        <f t="shared" si="302"/>
        <v>65.820626837504193</v>
      </c>
      <c r="T137" s="92">
        <f t="shared" si="302"/>
        <v>65.715521684557558</v>
      </c>
      <c r="U137" s="92">
        <f t="shared" si="302"/>
        <v>56.325099394640787</v>
      </c>
      <c r="V137" s="84"/>
      <c r="W137" s="84"/>
    </row>
    <row r="138" spans="1:23">
      <c r="A138" s="83"/>
    </row>
    <row r="139" spans="1:23" s="85" customFormat="1">
      <c r="A139" s="245" t="s">
        <v>984</v>
      </c>
      <c r="B139" s="99" t="s">
        <v>74</v>
      </c>
      <c r="C139" s="84"/>
      <c r="D139" s="84"/>
      <c r="E139" s="92">
        <f t="shared" ref="E139" si="303">E137*SUM(E96:E101,E105,E106)</f>
        <v>1180.5805777162666</v>
      </c>
      <c r="F139" s="92">
        <f t="shared" ref="F139:U139" si="304">F137*SUM(F96:F101,F105,F106)</f>
        <v>937.1075213086059</v>
      </c>
      <c r="G139" s="92">
        <f t="shared" si="304"/>
        <v>1039.7427965023394</v>
      </c>
      <c r="H139" s="92">
        <f t="shared" si="304"/>
        <v>1028.3767190586966</v>
      </c>
      <c r="I139" s="92">
        <f t="shared" si="304"/>
        <v>1010.8870169729713</v>
      </c>
      <c r="J139" s="92">
        <f t="shared" si="304"/>
        <v>1232.1182485573495</v>
      </c>
      <c r="K139" s="92">
        <f t="shared" si="304"/>
        <v>1229.7069485878533</v>
      </c>
      <c r="L139" s="92">
        <f t="shared" si="304"/>
        <v>1484.0162434214462</v>
      </c>
      <c r="M139" s="92">
        <f t="shared" si="304"/>
        <v>1663.9348883400221</v>
      </c>
      <c r="N139" s="92">
        <f t="shared" si="304"/>
        <v>1635.8501118501708</v>
      </c>
      <c r="O139" s="92">
        <f t="shared" si="304"/>
        <v>1645.0948521430125</v>
      </c>
      <c r="P139" s="92">
        <f t="shared" si="304"/>
        <v>1227.7439312023046</v>
      </c>
      <c r="Q139" s="92">
        <f t="shared" si="304"/>
        <v>1226.9696476338538</v>
      </c>
      <c r="R139" s="92">
        <f t="shared" si="304"/>
        <v>1225.58893801826</v>
      </c>
      <c r="S139" s="92">
        <f t="shared" si="304"/>
        <v>1228.8519132547085</v>
      </c>
      <c r="T139" s="92">
        <f t="shared" si="304"/>
        <v>1228.9935025905836</v>
      </c>
      <c r="U139" s="92">
        <f t="shared" si="304"/>
        <v>1918.5901876672665</v>
      </c>
      <c r="V139" s="84"/>
      <c r="W139" s="84"/>
    </row>
    <row r="140" spans="1:23" s="85" customFormat="1">
      <c r="A140" s="245" t="s">
        <v>985</v>
      </c>
      <c r="B140" s="99" t="s">
        <v>74</v>
      </c>
      <c r="C140" s="84"/>
      <c r="D140" s="90"/>
      <c r="E140" s="88">
        <f t="shared" ref="E140" si="305">SUM(E96,E97,E98,E99,E100,E101,E105,E106)</f>
        <v>15.026156372781747</v>
      </c>
      <c r="F140" s="88">
        <f t="shared" ref="F140:U140" si="306">SUM(F96,F97,F98,F99,F100,F101,F105,F106)</f>
        <v>12.449293556063907</v>
      </c>
      <c r="G140" s="88">
        <f t="shared" si="306"/>
        <v>15.307043107274822</v>
      </c>
      <c r="H140" s="88">
        <f t="shared" si="306"/>
        <v>15.109691192997895</v>
      </c>
      <c r="I140" s="88">
        <f t="shared" si="306"/>
        <v>14.79347637029556</v>
      </c>
      <c r="J140" s="88">
        <f t="shared" si="306"/>
        <v>18.781199083164999</v>
      </c>
      <c r="K140" s="88">
        <f t="shared" si="306"/>
        <v>18.734518083765199</v>
      </c>
      <c r="L140" s="88">
        <f t="shared" si="306"/>
        <v>24.082200543344875</v>
      </c>
      <c r="M140" s="88">
        <f t="shared" si="306"/>
        <v>27.747267067967112</v>
      </c>
      <c r="N140" s="88">
        <f t="shared" si="306"/>
        <v>27.123318160450243</v>
      </c>
      <c r="O140" s="88">
        <f t="shared" si="306"/>
        <v>27.305294667719732</v>
      </c>
      <c r="P140" s="88">
        <f t="shared" si="306"/>
        <v>18.683892737636466</v>
      </c>
      <c r="Q140" s="88">
        <f t="shared" si="306"/>
        <v>18.647703152539094</v>
      </c>
      <c r="R140" s="88">
        <f t="shared" si="306"/>
        <v>18.615420345316508</v>
      </c>
      <c r="S140" s="88">
        <f t="shared" si="306"/>
        <v>18.669708453072893</v>
      </c>
      <c r="T140" s="88">
        <f t="shared" si="306"/>
        <v>18.701723292860716</v>
      </c>
      <c r="U140" s="88">
        <f t="shared" si="306"/>
        <v>34.06279275647077</v>
      </c>
      <c r="V140" s="84"/>
      <c r="W140" s="84"/>
    </row>
    <row r="141" spans="1:23" s="85" customFormat="1">
      <c r="A141" s="245" t="s">
        <v>991</v>
      </c>
      <c r="B141" s="99" t="s">
        <v>74</v>
      </c>
      <c r="C141" s="84"/>
      <c r="D141" s="90"/>
      <c r="E141" s="88">
        <f>SUM(E86,E89:E92,E97,E98,E104,E105,E106)/(E110)*(100)</f>
        <v>59.275647915860027</v>
      </c>
      <c r="F141" s="88">
        <f t="shared" ref="F141:U141" si="307">SUM(F86,F89:F92,F97,F98,F104,F105,F106)/(F110)*(100)</f>
        <v>58.030146161466455</v>
      </c>
      <c r="G141" s="88">
        <f t="shared" si="307"/>
        <v>54.470328296259162</v>
      </c>
      <c r="H141" s="88">
        <f t="shared" si="307"/>
        <v>54.618110818387386</v>
      </c>
      <c r="I141" s="88">
        <f t="shared" si="307"/>
        <v>54.779355830973742</v>
      </c>
      <c r="J141" s="88">
        <f t="shared" si="307"/>
        <v>52.748332328242476</v>
      </c>
      <c r="K141" s="88">
        <f t="shared" si="307"/>
        <v>52.77932147671023</v>
      </c>
      <c r="L141" s="88">
        <f t="shared" si="307"/>
        <v>49.64131680424002</v>
      </c>
      <c r="M141" s="88">
        <f t="shared" si="307"/>
        <v>47.984278102247579</v>
      </c>
      <c r="N141" s="88">
        <f t="shared" si="307"/>
        <v>48.282343163515826</v>
      </c>
      <c r="O141" s="88">
        <f t="shared" si="307"/>
        <v>48.228181243870026</v>
      </c>
      <c r="P141" s="88" t="e">
        <f t="shared" si="307"/>
        <v>#DIV/0!</v>
      </c>
      <c r="Q141" s="88">
        <f t="shared" si="307"/>
        <v>52.832598075231616</v>
      </c>
      <c r="R141" s="88">
        <f t="shared" si="307"/>
        <v>52.856622283626919</v>
      </c>
      <c r="S141" s="88">
        <f t="shared" si="307"/>
        <v>52.846996892626649</v>
      </c>
      <c r="T141" s="88">
        <f t="shared" si="307"/>
        <v>52.774272832011761</v>
      </c>
      <c r="U141" s="88">
        <f t="shared" si="307"/>
        <v>44.294462890972824</v>
      </c>
      <c r="V141" s="84"/>
      <c r="W141" s="84"/>
    </row>
    <row r="142" spans="1:23" s="85" customFormat="1">
      <c r="A142" s="245"/>
      <c r="B142" s="99"/>
      <c r="C142" s="84"/>
      <c r="D142" s="90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4"/>
      <c r="W142" s="84"/>
    </row>
    <row r="143" spans="1:23">
      <c r="A143" s="244"/>
      <c r="B143" s="81"/>
      <c r="D143" s="26"/>
      <c r="E143" s="26"/>
      <c r="F143" s="26"/>
      <c r="G143" s="26"/>
      <c r="H143" s="26"/>
      <c r="I143" s="26"/>
      <c r="J143" s="26"/>
      <c r="K143" s="26"/>
      <c r="L143" s="26"/>
      <c r="M143" s="26"/>
    </row>
    <row r="144" spans="1:23">
      <c r="A144" s="22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Q144" s="84"/>
      <c r="R144" s="84"/>
      <c r="S144" s="99"/>
      <c r="T144" s="84" t="s">
        <v>998</v>
      </c>
      <c r="U144" s="84"/>
    </row>
    <row r="145" spans="1:28">
      <c r="A145" s="77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Q145" s="22" t="s">
        <v>173</v>
      </c>
      <c r="S145" s="213">
        <f>S35</f>
        <v>0.14180599862236276</v>
      </c>
      <c r="T145" s="148">
        <f t="shared" ref="T145:T182" si="308">S145/$S$182*100</f>
        <v>6.4303933751661475</v>
      </c>
    </row>
    <row r="146" spans="1:28">
      <c r="A146" s="77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Q146" s="38" t="s">
        <v>9</v>
      </c>
      <c r="S146" s="212">
        <f t="shared" ref="S146:S181" si="309">$S$36*S42/100</f>
        <v>0</v>
      </c>
      <c r="T146" s="148">
        <f t="shared" si="308"/>
        <v>0</v>
      </c>
    </row>
    <row r="147" spans="1:28" s="80" customFormat="1">
      <c r="A147" s="83"/>
      <c r="B147" s="81"/>
      <c r="C147" s="81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1"/>
      <c r="O147" s="81"/>
      <c r="P147" s="81"/>
      <c r="Q147" s="38" t="s">
        <v>10</v>
      </c>
      <c r="R147" s="2"/>
      <c r="S147" s="212">
        <f t="shared" si="309"/>
        <v>0</v>
      </c>
      <c r="T147" s="148">
        <f t="shared" si="308"/>
        <v>0</v>
      </c>
      <c r="U147" s="2"/>
      <c r="V147" s="81"/>
      <c r="W147" s="81"/>
    </row>
    <row r="148" spans="1:28">
      <c r="K148" s="2"/>
      <c r="L148" s="2"/>
      <c r="M148" s="2"/>
      <c r="Q148" s="38" t="s">
        <v>11</v>
      </c>
      <c r="S148" s="212">
        <f t="shared" si="309"/>
        <v>0.16142772144843995</v>
      </c>
      <c r="T148" s="148">
        <f t="shared" si="308"/>
        <v>7.3201681216221504</v>
      </c>
      <c r="X148" s="214"/>
      <c r="Y148" s="214"/>
      <c r="Z148" s="250" t="s">
        <v>999</v>
      </c>
      <c r="AA148" s="250"/>
      <c r="AB148" s="250"/>
    </row>
    <row r="149" spans="1:28">
      <c r="A149" s="77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Q149" s="38" t="s">
        <v>12</v>
      </c>
      <c r="S149" s="212">
        <f t="shared" si="309"/>
        <v>7.2541040087135744E-2</v>
      </c>
      <c r="T149" s="148">
        <f t="shared" si="308"/>
        <v>3.2894759610713522</v>
      </c>
      <c r="Z149" s="1" t="s">
        <v>1000</v>
      </c>
      <c r="AA149" s="214">
        <v>1.6147000000000001E-4</v>
      </c>
      <c r="AB149" s="23">
        <f>AA149*100</f>
        <v>1.6147000000000002E-2</v>
      </c>
    </row>
    <row r="150" spans="1:28">
      <c r="A150" s="77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Q150" s="38" t="s">
        <v>13</v>
      </c>
      <c r="R150" s="81"/>
      <c r="S150" s="212">
        <f t="shared" si="309"/>
        <v>0.32717414213431417</v>
      </c>
      <c r="T150" s="148">
        <f t="shared" si="308"/>
        <v>14.836173762358623</v>
      </c>
      <c r="U150" s="81"/>
      <c r="Z150" s="1" t="s">
        <v>1001</v>
      </c>
      <c r="AA150" s="1">
        <v>1.0699999999999999E-2</v>
      </c>
      <c r="AB150" s="23">
        <f t="shared" ref="AB150:AB164" si="310">AA150*100</f>
        <v>1.0699999999999998</v>
      </c>
    </row>
    <row r="151" spans="1:28" s="80" customFormat="1">
      <c r="A151" s="83"/>
      <c r="B151" s="81"/>
      <c r="C151" s="81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1"/>
      <c r="O151" s="81"/>
      <c r="P151" s="81"/>
      <c r="Q151" s="38" t="s">
        <v>14</v>
      </c>
      <c r="R151" s="2"/>
      <c r="S151" s="212">
        <f t="shared" si="309"/>
        <v>0.25230494071641291</v>
      </c>
      <c r="T151" s="148">
        <f t="shared" si="308"/>
        <v>11.441124036121375</v>
      </c>
      <c r="U151" s="2"/>
      <c r="V151" s="81"/>
      <c r="W151" s="81"/>
      <c r="Z151" s="80" t="s">
        <v>1002</v>
      </c>
      <c r="AA151" s="215">
        <v>8.1367999999999996E-3</v>
      </c>
      <c r="AB151" s="23">
        <f t="shared" si="310"/>
        <v>0.81367999999999996</v>
      </c>
    </row>
    <row r="152" spans="1:28">
      <c r="A152" s="22"/>
      <c r="B152" s="81"/>
      <c r="C152" s="81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Q152" s="38" t="s">
        <v>15</v>
      </c>
      <c r="S152" s="212">
        <f t="shared" si="309"/>
        <v>0.22544118043407496</v>
      </c>
      <c r="T152" s="148">
        <f t="shared" si="308"/>
        <v>10.222948868428889</v>
      </c>
      <c r="Z152" s="1" t="s">
        <v>1003</v>
      </c>
      <c r="AA152" s="1">
        <v>0.1338</v>
      </c>
      <c r="AB152" s="23">
        <f t="shared" si="310"/>
        <v>13.38</v>
      </c>
    </row>
    <row r="153" spans="1:28">
      <c r="K153" s="2"/>
      <c r="L153" s="2"/>
      <c r="M153" s="2"/>
      <c r="Q153" s="38" t="s">
        <v>16</v>
      </c>
      <c r="S153" s="212">
        <f t="shared" si="309"/>
        <v>0</v>
      </c>
      <c r="T153" s="148">
        <f t="shared" si="308"/>
        <v>0</v>
      </c>
      <c r="Z153" s="1" t="s">
        <v>1004</v>
      </c>
      <c r="AA153" s="1">
        <v>0.15659999999999999</v>
      </c>
      <c r="AB153" s="23">
        <f t="shared" si="310"/>
        <v>15.659999999999998</v>
      </c>
    </row>
    <row r="154" spans="1:28" s="80" customFormat="1">
      <c r="A154" s="83"/>
      <c r="B154" s="81"/>
      <c r="C154" s="81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1"/>
      <c r="O154" s="81"/>
      <c r="P154" s="81"/>
      <c r="Q154" s="38" t="s">
        <v>17</v>
      </c>
      <c r="R154" s="81"/>
      <c r="S154" s="212">
        <f t="shared" si="309"/>
        <v>0.27303815954299149</v>
      </c>
      <c r="T154" s="148">
        <f t="shared" si="308"/>
        <v>12.381301139230722</v>
      </c>
      <c r="U154" s="81"/>
      <c r="V154" s="81"/>
      <c r="W154" s="81"/>
      <c r="Z154" s="80" t="s">
        <v>1005</v>
      </c>
      <c r="AA154" s="215">
        <v>6.4443E-3</v>
      </c>
      <c r="AB154" s="23">
        <f t="shared" si="310"/>
        <v>0.64443000000000006</v>
      </c>
    </row>
    <row r="155" spans="1:28">
      <c r="A155" s="22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Q155" s="38" t="s">
        <v>18</v>
      </c>
      <c r="S155" s="212">
        <f t="shared" si="309"/>
        <v>0.17692668356739902</v>
      </c>
      <c r="T155" s="148">
        <f t="shared" si="308"/>
        <v>8.0229904584763023</v>
      </c>
      <c r="Z155" s="1" t="s">
        <v>1006</v>
      </c>
      <c r="AA155" s="1">
        <v>3.6499999999999998E-2</v>
      </c>
      <c r="AB155" s="23">
        <f t="shared" si="310"/>
        <v>3.65</v>
      </c>
    </row>
    <row r="156" spans="1:28">
      <c r="Q156" s="38" t="s">
        <v>19</v>
      </c>
      <c r="S156" s="212">
        <f t="shared" si="309"/>
        <v>0.10791541982480604</v>
      </c>
      <c r="T156" s="148">
        <f t="shared" si="308"/>
        <v>4.8935771932166521</v>
      </c>
      <c r="Z156" s="1" t="s">
        <v>1007</v>
      </c>
      <c r="AA156" s="1">
        <v>0.1173</v>
      </c>
      <c r="AB156" s="23">
        <f t="shared" si="310"/>
        <v>11.73</v>
      </c>
    </row>
    <row r="157" spans="1:28">
      <c r="Q157" s="38" t="s">
        <v>20</v>
      </c>
      <c r="R157" s="81"/>
      <c r="S157" s="212">
        <f t="shared" si="309"/>
        <v>5.5387533351727178E-2</v>
      </c>
      <c r="T157" s="148">
        <f t="shared" si="308"/>
        <v>2.5116259607622387</v>
      </c>
      <c r="U157" s="81"/>
      <c r="Z157" s="1" t="s">
        <v>1008</v>
      </c>
      <c r="AA157" s="1">
        <v>7.1900000000000006E-2</v>
      </c>
      <c r="AB157" s="23">
        <f t="shared" si="310"/>
        <v>7.19</v>
      </c>
    </row>
    <row r="158" spans="1:28">
      <c r="K158" s="2"/>
      <c r="L158" s="2"/>
      <c r="M158" s="2"/>
      <c r="Q158" s="38" t="s">
        <v>75</v>
      </c>
      <c r="S158" s="212">
        <f t="shared" si="309"/>
        <v>9.969073410542947E-3</v>
      </c>
      <c r="T158" s="148">
        <f t="shared" si="308"/>
        <v>0.45206171980365728</v>
      </c>
      <c r="Z158" s="1" t="s">
        <v>1009</v>
      </c>
      <c r="AA158" s="1">
        <v>0.18310000000000001</v>
      </c>
      <c r="AB158" s="23">
        <f t="shared" si="310"/>
        <v>18.310000000000002</v>
      </c>
    </row>
    <row r="159" spans="1:28">
      <c r="Q159" s="38" t="s">
        <v>22</v>
      </c>
      <c r="S159" s="212">
        <f t="shared" si="309"/>
        <v>6.2672663554088947E-3</v>
      </c>
      <c r="T159" s="148">
        <f t="shared" si="308"/>
        <v>0.28419804834594348</v>
      </c>
      <c r="Z159" s="1" t="s">
        <v>1010</v>
      </c>
      <c r="AA159" s="214">
        <v>8.0026999999999997E-3</v>
      </c>
      <c r="AB159" s="23">
        <f t="shared" si="310"/>
        <v>0.80026999999999993</v>
      </c>
    </row>
    <row r="160" spans="1:28">
      <c r="Q160" s="38" t="s">
        <v>23</v>
      </c>
      <c r="S160" s="212">
        <f t="shared" si="309"/>
        <v>1.1975438060047677E-2</v>
      </c>
      <c r="T160" s="148">
        <f t="shared" si="308"/>
        <v>0.54304315976869533</v>
      </c>
      <c r="Z160" s="1" t="s">
        <v>1011</v>
      </c>
      <c r="AA160" s="1">
        <v>0.10589999999999999</v>
      </c>
      <c r="AB160" s="23">
        <f t="shared" si="310"/>
        <v>10.59</v>
      </c>
    </row>
    <row r="161" spans="1:28">
      <c r="Q161" s="38" t="s">
        <v>24</v>
      </c>
      <c r="S161" s="212">
        <f t="shared" si="309"/>
        <v>0</v>
      </c>
      <c r="T161" s="148">
        <f t="shared" si="308"/>
        <v>0</v>
      </c>
      <c r="Z161" s="1" t="s">
        <v>1012</v>
      </c>
      <c r="AA161" s="1">
        <v>4.2999999999999997E-2</v>
      </c>
      <c r="AB161" s="23">
        <f t="shared" si="310"/>
        <v>4.3</v>
      </c>
    </row>
    <row r="162" spans="1:28">
      <c r="Q162" s="38" t="s">
        <v>25</v>
      </c>
      <c r="S162" s="212">
        <f t="shared" si="309"/>
        <v>0.11304811300147553</v>
      </c>
      <c r="T162" s="148">
        <f t="shared" si="308"/>
        <v>5.1263264176546874</v>
      </c>
      <c r="Z162" s="1" t="s">
        <v>1013</v>
      </c>
      <c r="AA162" s="1">
        <v>7.7600000000000002E-2</v>
      </c>
      <c r="AB162" s="23">
        <f t="shared" si="310"/>
        <v>7.76</v>
      </c>
    </row>
    <row r="163" spans="1:28">
      <c r="Q163" s="38" t="s">
        <v>26</v>
      </c>
      <c r="S163" s="212">
        <f t="shared" si="309"/>
        <v>0.15476711823261474</v>
      </c>
      <c r="T163" s="148">
        <f t="shared" si="308"/>
        <v>7.0181336575674091</v>
      </c>
      <c r="Z163" s="1" t="s">
        <v>1014</v>
      </c>
      <c r="AA163" s="1">
        <v>4.07E-2</v>
      </c>
      <c r="AB163" s="23">
        <f t="shared" si="310"/>
        <v>4.07</v>
      </c>
    </row>
    <row r="164" spans="1:28">
      <c r="A164" s="22"/>
      <c r="Q164" s="38" t="s">
        <v>27</v>
      </c>
      <c r="S164" s="212">
        <f t="shared" si="309"/>
        <v>6.2934289724124556E-2</v>
      </c>
      <c r="T164" s="148">
        <f t="shared" si="308"/>
        <v>2.8538442918096534</v>
      </c>
      <c r="Z164" s="1" t="s">
        <v>1015</v>
      </c>
      <c r="AA164" s="1">
        <v>0</v>
      </c>
      <c r="AB164" s="23">
        <f t="shared" si="310"/>
        <v>0</v>
      </c>
    </row>
    <row r="165" spans="1:28">
      <c r="A165" s="77"/>
      <c r="Q165" s="38" t="s">
        <v>28</v>
      </c>
      <c r="S165" s="212">
        <f t="shared" si="309"/>
        <v>1.9965425770276449E-2</v>
      </c>
      <c r="T165" s="148">
        <f t="shared" si="308"/>
        <v>0.90536044210269961</v>
      </c>
      <c r="AB165" s="23">
        <f>SUM(AB149:AB164)</f>
        <v>99.984527000000014</v>
      </c>
    </row>
    <row r="166" spans="1:28">
      <c r="A166" s="77"/>
      <c r="Q166" s="38" t="s">
        <v>29</v>
      </c>
      <c r="S166" s="212">
        <f t="shared" si="309"/>
        <v>0</v>
      </c>
      <c r="T166" s="148">
        <f t="shared" si="308"/>
        <v>0</v>
      </c>
    </row>
    <row r="167" spans="1:28">
      <c r="A167" s="77"/>
      <c r="Q167" s="38" t="s">
        <v>30</v>
      </c>
      <c r="S167" s="212">
        <f t="shared" si="309"/>
        <v>1.3351704379383877E-2</v>
      </c>
      <c r="T167" s="148">
        <f t="shared" si="308"/>
        <v>0.60545190064214494</v>
      </c>
    </row>
    <row r="168" spans="1:28" s="2" customFormat="1">
      <c r="A168" s="77"/>
      <c r="K168" s="1"/>
      <c r="L168" s="1"/>
      <c r="M168" s="1"/>
      <c r="Q168" s="22" t="s">
        <v>636</v>
      </c>
      <c r="S168" s="212">
        <f t="shared" si="309"/>
        <v>1.3262294631393955E-2</v>
      </c>
      <c r="T168" s="148">
        <f t="shared" si="308"/>
        <v>0.60139748928624204</v>
      </c>
    </row>
    <row r="169" spans="1:28" s="2" customFormat="1">
      <c r="A169" s="77"/>
      <c r="K169" s="1"/>
      <c r="L169" s="1"/>
      <c r="M169" s="1"/>
      <c r="Q169" s="22" t="s">
        <v>637</v>
      </c>
      <c r="S169" s="212">
        <f t="shared" si="309"/>
        <v>0</v>
      </c>
      <c r="T169" s="148">
        <f t="shared" si="308"/>
        <v>0</v>
      </c>
    </row>
    <row r="170" spans="1:28" s="2" customFormat="1">
      <c r="A170" s="77"/>
      <c r="K170" s="1"/>
      <c r="L170" s="1"/>
      <c r="M170" s="1"/>
      <c r="Q170" s="22" t="s">
        <v>638</v>
      </c>
      <c r="S170" s="212">
        <f t="shared" si="309"/>
        <v>2.3920460710786062E-3</v>
      </c>
      <c r="T170" s="148">
        <f t="shared" si="308"/>
        <v>0.10847070898261971</v>
      </c>
    </row>
    <row r="171" spans="1:28" s="2" customFormat="1">
      <c r="A171" s="77"/>
      <c r="K171" s="1"/>
      <c r="L171" s="1"/>
      <c r="M171" s="1"/>
      <c r="Q171" s="22" t="s">
        <v>639</v>
      </c>
      <c r="S171" s="212">
        <f t="shared" si="309"/>
        <v>4.7046901780987736E-5</v>
      </c>
      <c r="T171" s="148">
        <f t="shared" si="308"/>
        <v>2.1334082371240893E-3</v>
      </c>
    </row>
    <row r="172" spans="1:28" s="2" customFormat="1">
      <c r="A172" s="77"/>
      <c r="K172" s="1"/>
      <c r="L172" s="1"/>
      <c r="M172" s="1"/>
      <c r="Q172" s="22" t="s">
        <v>640</v>
      </c>
      <c r="S172" s="212">
        <f t="shared" si="309"/>
        <v>0</v>
      </c>
      <c r="T172" s="148">
        <f t="shared" si="308"/>
        <v>0</v>
      </c>
    </row>
    <row r="173" spans="1:28" s="2" customFormat="1">
      <c r="A173" s="77"/>
      <c r="K173" s="1"/>
      <c r="L173" s="1"/>
      <c r="M173" s="1"/>
      <c r="Q173" s="22" t="s">
        <v>641</v>
      </c>
      <c r="S173" s="212">
        <f t="shared" si="309"/>
        <v>0</v>
      </c>
      <c r="T173" s="148">
        <f t="shared" si="308"/>
        <v>0</v>
      </c>
    </row>
    <row r="174" spans="1:28" s="2" customFormat="1">
      <c r="A174" s="77"/>
      <c r="K174" s="1"/>
      <c r="L174" s="1"/>
      <c r="M174" s="1"/>
      <c r="Q174" s="22" t="s">
        <v>642</v>
      </c>
      <c r="S174" s="212">
        <f t="shared" si="309"/>
        <v>0</v>
      </c>
      <c r="T174" s="148">
        <f t="shared" si="308"/>
        <v>0</v>
      </c>
    </row>
    <row r="175" spans="1:28" s="2" customFormat="1">
      <c r="A175" s="77"/>
      <c r="K175" s="1"/>
      <c r="L175" s="1"/>
      <c r="M175" s="1"/>
      <c r="Q175" s="22" t="s">
        <v>643</v>
      </c>
      <c r="S175" s="212">
        <f t="shared" si="309"/>
        <v>0</v>
      </c>
      <c r="T175" s="148">
        <f t="shared" si="308"/>
        <v>0</v>
      </c>
    </row>
    <row r="176" spans="1:28" s="2" customFormat="1">
      <c r="A176" s="77"/>
      <c r="K176" s="1"/>
      <c r="L176" s="1"/>
      <c r="M176" s="1"/>
      <c r="Q176" s="22" t="s">
        <v>76</v>
      </c>
      <c r="S176" s="212">
        <f t="shared" si="309"/>
        <v>2.0929680910726254E-4</v>
      </c>
      <c r="T176" s="148">
        <f t="shared" si="308"/>
        <v>9.490859539100718E-3</v>
      </c>
    </row>
    <row r="177" spans="1:20" s="2" customFormat="1">
      <c r="A177" s="77"/>
      <c r="K177" s="1"/>
      <c r="L177" s="1"/>
      <c r="M177" s="1"/>
      <c r="Q177" s="22" t="s">
        <v>77</v>
      </c>
      <c r="S177" s="212">
        <f t="shared" si="309"/>
        <v>0</v>
      </c>
      <c r="T177" s="148">
        <f t="shared" si="308"/>
        <v>0</v>
      </c>
    </row>
    <row r="178" spans="1:20" s="2" customFormat="1">
      <c r="A178" s="77"/>
      <c r="K178" s="1"/>
      <c r="L178" s="1"/>
      <c r="M178" s="1"/>
      <c r="Q178" s="22" t="s">
        <v>78</v>
      </c>
      <c r="S178" s="212">
        <f t="shared" si="309"/>
        <v>0</v>
      </c>
      <c r="T178" s="148">
        <f t="shared" si="308"/>
        <v>0</v>
      </c>
    </row>
    <row r="179" spans="1:20" s="2" customFormat="1">
      <c r="A179" s="22"/>
      <c r="K179" s="1"/>
      <c r="L179" s="1"/>
      <c r="M179" s="1"/>
      <c r="Q179" s="22" t="s">
        <v>79</v>
      </c>
      <c r="S179" s="212">
        <f t="shared" si="309"/>
        <v>0</v>
      </c>
      <c r="T179" s="148">
        <f t="shared" si="308"/>
        <v>0</v>
      </c>
    </row>
    <row r="180" spans="1:20" s="2" customFormat="1">
      <c r="A180" s="22"/>
      <c r="K180" s="1"/>
      <c r="L180" s="1"/>
      <c r="M180" s="1"/>
      <c r="Q180" s="22" t="s">
        <v>80</v>
      </c>
      <c r="S180" s="212">
        <f t="shared" si="309"/>
        <v>4.6704367320652481E-4</v>
      </c>
      <c r="T180" s="148">
        <f t="shared" si="308"/>
        <v>2.117875528029239E-2</v>
      </c>
    </row>
    <row r="181" spans="1:20" s="2" customFormat="1">
      <c r="A181" s="22"/>
      <c r="K181" s="1"/>
      <c r="L181" s="1"/>
      <c r="M181" s="1"/>
      <c r="Q181" s="22" t="s">
        <v>644</v>
      </c>
      <c r="S181" s="212">
        <f t="shared" si="309"/>
        <v>2.6271155031351912E-3</v>
      </c>
      <c r="T181" s="148">
        <f t="shared" si="308"/>
        <v>0.11913026452530291</v>
      </c>
    </row>
    <row r="182" spans="1:20" s="2" customFormat="1">
      <c r="A182" s="22"/>
      <c r="K182" s="1"/>
      <c r="L182" s="1"/>
      <c r="M182" s="1"/>
      <c r="S182" s="212">
        <f>SUM(S145:S181)</f>
        <v>2.2052460922532409</v>
      </c>
      <c r="T182" s="23">
        <f t="shared" si="308"/>
        <v>100</v>
      </c>
    </row>
    <row r="183" spans="1:20">
      <c r="S183" s="212"/>
    </row>
    <row r="184" spans="1:20">
      <c r="S184" s="212"/>
    </row>
  </sheetData>
  <mergeCells count="2">
    <mergeCell ref="A1:D1"/>
    <mergeCell ref="Z148:AB148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F8C5-16DC-426D-AC24-384FA9CF1C38}">
  <dimension ref="A1:V156"/>
  <sheetViews>
    <sheetView topLeftCell="A101" zoomScale="90" zoomScaleNormal="90" workbookViewId="0">
      <selection activeCell="D96" sqref="D96:D100"/>
    </sheetView>
  </sheetViews>
  <sheetFormatPr defaultColWidth="9.140625" defaultRowHeight="15"/>
  <cols>
    <col min="1" max="1" width="29.7109375" style="2" bestFit="1" customWidth="1"/>
    <col min="2" max="2" width="11.7109375" style="2" bestFit="1" customWidth="1"/>
    <col min="3" max="3" width="11.7109375" style="2" customWidth="1"/>
    <col min="4" max="4" width="25.42578125" style="2" customWidth="1"/>
    <col min="5" max="5" width="27" style="2" bestFit="1" customWidth="1"/>
    <col min="6" max="10" width="16.42578125" style="2" bestFit="1" customWidth="1"/>
    <col min="11" max="12" width="16.42578125" style="1" bestFit="1" customWidth="1"/>
    <col min="13" max="13" width="16.42578125" style="2" bestFit="1" customWidth="1"/>
    <col min="14" max="15" width="9.140625" style="1"/>
    <col min="16" max="16" width="20.85546875" style="1" bestFit="1" customWidth="1"/>
    <col min="17" max="17" width="9.140625" style="1"/>
    <col min="18" max="18" width="9.140625" style="2"/>
    <col min="19" max="16384" width="9.140625" style="1"/>
  </cols>
  <sheetData>
    <row r="1" spans="1:12" s="2" customFormat="1">
      <c r="A1" s="246" t="s">
        <v>939</v>
      </c>
      <c r="B1" s="246"/>
      <c r="C1" s="246"/>
      <c r="D1" s="246"/>
      <c r="K1" s="1"/>
      <c r="L1" s="1"/>
    </row>
    <row r="2" spans="1:12" s="2" customFormat="1">
      <c r="A2" s="31" t="s">
        <v>940</v>
      </c>
      <c r="B2" s="16" t="s">
        <v>8</v>
      </c>
      <c r="C2" s="16"/>
      <c r="D2" s="105">
        <f>Reactor1!D2</f>
        <v>83.84</v>
      </c>
      <c r="G2" s="1"/>
      <c r="K2" s="1"/>
      <c r="L2" s="1"/>
    </row>
    <row r="3" spans="1:12" s="2" customFormat="1">
      <c r="A3" s="31" t="s">
        <v>941</v>
      </c>
      <c r="B3" s="16" t="s">
        <v>8</v>
      </c>
      <c r="C3" s="16"/>
      <c r="D3" s="105">
        <f>Reactor1!D3</f>
        <v>16.159999999999997</v>
      </c>
      <c r="K3" s="1"/>
      <c r="L3" s="1"/>
    </row>
    <row r="4" spans="1:12" s="2" customFormat="1">
      <c r="A4" s="31" t="s">
        <v>942</v>
      </c>
      <c r="B4" s="16" t="s">
        <v>8</v>
      </c>
      <c r="C4" s="16"/>
      <c r="D4" s="105">
        <f>Reactor1!D4</f>
        <v>100</v>
      </c>
      <c r="K4" s="1"/>
      <c r="L4" s="1"/>
    </row>
    <row r="5" spans="1:12" s="2" customFormat="1">
      <c r="A5" s="31" t="s">
        <v>943</v>
      </c>
      <c r="B5" s="114" t="s">
        <v>89</v>
      </c>
      <c r="C5" s="114"/>
      <c r="D5" s="105">
        <f>Reactor1!D5</f>
        <v>0</v>
      </c>
      <c r="K5" s="1"/>
      <c r="L5" s="1"/>
    </row>
    <row r="6" spans="1:12" s="2" customFormat="1">
      <c r="A6" s="31" t="s">
        <v>944</v>
      </c>
      <c r="B6" s="114" t="s">
        <v>89</v>
      </c>
      <c r="C6" s="114"/>
      <c r="D6" s="105">
        <f>Reactor1!D6</f>
        <v>89</v>
      </c>
      <c r="F6" s="2" t="s">
        <v>945</v>
      </c>
      <c r="G6" s="102">
        <v>46247</v>
      </c>
      <c r="K6" s="1"/>
      <c r="L6" s="1"/>
    </row>
    <row r="7" spans="1:12" s="2" customFormat="1">
      <c r="A7" s="31" t="s">
        <v>946</v>
      </c>
      <c r="B7" s="16" t="s">
        <v>102</v>
      </c>
      <c r="C7" s="16"/>
      <c r="D7" s="233">
        <f>Reactor1!D7</f>
        <v>0.66500000000000004</v>
      </c>
      <c r="G7" s="138">
        <v>0.66666666666666663</v>
      </c>
      <c r="K7" s="1"/>
      <c r="L7" s="1"/>
    </row>
    <row r="8" spans="1:12">
      <c r="A8" s="29" t="str">
        <f>Reactor1!A8</f>
        <v>n-Hexane</v>
      </c>
      <c r="B8" s="28" t="str">
        <f>Reactor1!B8</f>
        <v>wt%</v>
      </c>
      <c r="C8" s="29"/>
      <c r="D8" s="227">
        <f>Reactor1!D8</f>
        <v>17.808794750000001</v>
      </c>
      <c r="E8" s="1"/>
      <c r="F8" s="1"/>
      <c r="G8" s="1"/>
    </row>
    <row r="9" spans="1:12">
      <c r="A9" s="229" t="s">
        <v>18</v>
      </c>
      <c r="B9" s="28" t="s">
        <v>8</v>
      </c>
      <c r="C9" s="29"/>
      <c r="D9" s="227">
        <f>Reactor1!D9</f>
        <v>8.024783750000001</v>
      </c>
      <c r="E9" s="1"/>
      <c r="F9" s="1"/>
      <c r="G9" s="1"/>
    </row>
    <row r="10" spans="1:12">
      <c r="A10" s="229" t="s">
        <v>19</v>
      </c>
      <c r="B10" s="230" t="s">
        <v>8</v>
      </c>
      <c r="C10" s="29"/>
      <c r="D10" s="227">
        <f>Reactor1!D10</f>
        <v>3.6883509999999999</v>
      </c>
      <c r="E10" s="1"/>
      <c r="F10" s="1"/>
      <c r="G10" s="1"/>
    </row>
    <row r="11" spans="1:12">
      <c r="A11" s="229" t="s">
        <v>20</v>
      </c>
      <c r="B11" s="230" t="s">
        <v>8</v>
      </c>
      <c r="C11" s="29"/>
      <c r="D11" s="227">
        <f>Reactor1!D11</f>
        <v>0.72080225000000009</v>
      </c>
      <c r="E11" s="1"/>
      <c r="F11" s="1"/>
      <c r="G11" s="1"/>
    </row>
    <row r="12" spans="1:12">
      <c r="A12" s="229" t="s">
        <v>75</v>
      </c>
      <c r="B12" s="230" t="s">
        <v>8</v>
      </c>
      <c r="D12" s="227">
        <f>Reactor1!D12</f>
        <v>1.6720374999999999E-2</v>
      </c>
      <c r="E12" s="1"/>
      <c r="F12" s="1"/>
      <c r="G12" s="1"/>
    </row>
    <row r="13" spans="1:12">
      <c r="A13" s="229" t="s">
        <v>25</v>
      </c>
      <c r="B13" s="230" t="s">
        <v>8</v>
      </c>
      <c r="C13" s="229"/>
      <c r="D13" s="227">
        <f>Reactor1!D13</f>
        <v>16.071277625</v>
      </c>
      <c r="E13" s="1"/>
      <c r="F13" s="1"/>
      <c r="G13" s="1"/>
    </row>
    <row r="14" spans="1:12">
      <c r="A14" s="229" t="s">
        <v>26</v>
      </c>
      <c r="B14" s="230" t="s">
        <v>8</v>
      </c>
      <c r="C14" s="229"/>
      <c r="D14" s="227">
        <f>Reactor1!D14</f>
        <v>13.769736375000001</v>
      </c>
      <c r="E14" s="1"/>
      <c r="F14" s="1"/>
      <c r="G14" s="1"/>
    </row>
    <row r="15" spans="1:12">
      <c r="A15" s="229" t="s">
        <v>27</v>
      </c>
      <c r="B15" s="230" t="s">
        <v>8</v>
      </c>
      <c r="C15" s="229"/>
      <c r="D15" s="227">
        <f>Reactor1!D15</f>
        <v>0.99247037500000013</v>
      </c>
      <c r="E15" s="1"/>
      <c r="F15" s="1"/>
      <c r="G15" s="1"/>
    </row>
    <row r="16" spans="1:12">
      <c r="A16" s="22"/>
      <c r="D16" s="95"/>
      <c r="E16" s="1"/>
      <c r="F16" s="1"/>
      <c r="G16" s="1"/>
    </row>
    <row r="17" spans="1:18">
      <c r="A17" s="129" t="s">
        <v>989</v>
      </c>
      <c r="D17" s="95"/>
      <c r="E17" s="1"/>
      <c r="F17" s="1"/>
      <c r="G17" s="1"/>
    </row>
    <row r="18" spans="1:18" s="133" customFormat="1">
      <c r="A18" s="134"/>
      <c r="B18" s="131"/>
      <c r="C18" s="131"/>
      <c r="D18" s="132"/>
      <c r="H18" s="131"/>
      <c r="I18" s="131"/>
      <c r="J18" s="131"/>
      <c r="M18" s="131"/>
      <c r="R18" s="131"/>
    </row>
    <row r="19" spans="1:18" s="101" customFormat="1">
      <c r="A19" s="103" t="s">
        <v>227</v>
      </c>
      <c r="B19" s="104" t="s">
        <v>89</v>
      </c>
      <c r="C19" s="104"/>
      <c r="D19" s="102" cm="1">
        <f t="array" ref="D19:M19">TRANSPOSE(_xlfn._xlws.FILTER('Raw Data'!AU2:AU505,('Raw Data'!B2:B505=8)*('Raw Data'!AU2:AU505&lt;&gt;"")))</f>
        <v>46249</v>
      </c>
      <c r="E19" s="102">
        <v>46252</v>
      </c>
      <c r="F19" s="102">
        <v>46253</v>
      </c>
      <c r="G19" s="102">
        <v>46253</v>
      </c>
      <c r="H19" s="102">
        <v>46254</v>
      </c>
      <c r="I19" s="102">
        <v>46255</v>
      </c>
      <c r="J19" s="102">
        <v>46255</v>
      </c>
      <c r="K19" s="102">
        <v>46256</v>
      </c>
      <c r="L19" s="102">
        <v>46257</v>
      </c>
      <c r="M19" s="102">
        <v>46257</v>
      </c>
      <c r="R19" s="102"/>
    </row>
    <row r="20" spans="1:18" s="101" customFormat="1">
      <c r="A20" s="103" t="s">
        <v>950</v>
      </c>
      <c r="B20" s="104" t="s">
        <v>89</v>
      </c>
      <c r="C20" s="104"/>
      <c r="D20" s="108" cm="1">
        <f t="array" ref="D20:M20">TRANSPOSE(_xlfn._xlws.FILTER('Raw Data'!AV2:AV505,('Raw Data'!B2:B505=8)*('Raw Data'!AV2:AV505&lt;&gt;"")))</f>
        <v>0.49005787037037035</v>
      </c>
      <c r="E20" s="108">
        <v>0.19153935185185186</v>
      </c>
      <c r="F20" s="108">
        <v>7.8657407407407412E-2</v>
      </c>
      <c r="G20" s="108">
        <v>0.7676736111111111</v>
      </c>
      <c r="H20" s="108">
        <v>0.4566898148148148</v>
      </c>
      <c r="I20" s="108">
        <v>0.14572916666666666</v>
      </c>
      <c r="J20" s="108">
        <v>0.83473379629629629</v>
      </c>
      <c r="K20" s="108">
        <v>0.52375000000000005</v>
      </c>
      <c r="L20" s="108">
        <v>0.21277777777777779</v>
      </c>
      <c r="M20" s="108">
        <v>0.90180555555555553</v>
      </c>
      <c r="R20" s="102"/>
    </row>
    <row r="21" spans="1:18" s="101" customFormat="1">
      <c r="A21" s="103" t="s">
        <v>121</v>
      </c>
      <c r="B21" s="102" t="s">
        <v>122</v>
      </c>
      <c r="C21" s="102"/>
      <c r="D21" s="39">
        <f>((D19+D20)-(G6+G7))*24</f>
        <v>43.761388888873626</v>
      </c>
      <c r="E21" s="39">
        <f t="shared" ref="E21:G21" si="0">((E19+E20)-(D19+D20))*24</f>
        <v>64.835555555589963</v>
      </c>
      <c r="F21" s="23">
        <f t="shared" si="0"/>
        <v>21.290833333390765</v>
      </c>
      <c r="G21" s="23">
        <f t="shared" si="0"/>
        <v>16.536388888838701</v>
      </c>
      <c r="H21" s="23">
        <f t="shared" ref="H21" si="1">((H19+H20)-(G19+G20))*24</f>
        <v>16.536388888838701</v>
      </c>
      <c r="I21" s="23">
        <f t="shared" ref="I21:J21" si="2">((I19+I20)-(H19+H20))*24</f>
        <v>16.536944444524124</v>
      </c>
      <c r="J21" s="23">
        <f t="shared" si="2"/>
        <v>16.536111111170612</v>
      </c>
      <c r="K21" s="23">
        <f t="shared" ref="K21" si="3">((K19+K20)-(J19+J20))*24</f>
        <v>16.536388888838701</v>
      </c>
      <c r="L21" s="23">
        <f t="shared" ref="L21:M21" si="4">((L19+L20)-(K19+K20))*24</f>
        <v>16.536666666681413</v>
      </c>
      <c r="M21" s="23">
        <f t="shared" si="4"/>
        <v>16.536666666681413</v>
      </c>
      <c r="R21" s="102"/>
    </row>
    <row r="22" spans="1:18" s="39" customFormat="1">
      <c r="A22" s="94" t="s">
        <v>951</v>
      </c>
      <c r="B22" s="39" t="s">
        <v>952</v>
      </c>
      <c r="D22" s="39">
        <f>D21</f>
        <v>43.761388888873626</v>
      </c>
      <c r="E22" s="39">
        <f>E21+D22-40</f>
        <v>68.596944444463588</v>
      </c>
      <c r="F22" s="39">
        <f t="shared" ref="F22:G22" si="5">F21+E22</f>
        <v>89.887777777854353</v>
      </c>
      <c r="G22" s="39">
        <f t="shared" si="5"/>
        <v>106.42416666669305</v>
      </c>
      <c r="H22" s="39">
        <f t="shared" ref="H22" si="6">H21+G22</f>
        <v>122.96055555553176</v>
      </c>
      <c r="I22" s="39">
        <f t="shared" ref="I22:J22" si="7">I21+H22</f>
        <v>139.49750000005588</v>
      </c>
      <c r="J22" s="39">
        <f t="shared" si="7"/>
        <v>156.03361111122649</v>
      </c>
      <c r="K22" s="39">
        <f t="shared" ref="K22" si="8">K21+J22</f>
        <v>172.57000000006519</v>
      </c>
      <c r="L22" s="39">
        <f t="shared" ref="L22:M22" si="9">L21+K22</f>
        <v>189.10666666674661</v>
      </c>
      <c r="M22" s="39">
        <f t="shared" si="9"/>
        <v>205.64333333342802</v>
      </c>
    </row>
    <row r="23" spans="1:18" s="85" customFormat="1">
      <c r="A23" s="153" t="s">
        <v>114</v>
      </c>
      <c r="B23" s="84" t="s">
        <v>115</v>
      </c>
      <c r="C23" s="84"/>
      <c r="D23" s="88" cm="1">
        <f t="array" ref="D23:M23">TRANSPOSE(_xlfn._xlws.FILTER('Raw Data'!F2:F505,('Raw Data'!B2:B505=8)*('Raw Data'!F2:F505&lt;&gt;"")))</f>
        <v>25.033300000000001</v>
      </c>
      <c r="E23" s="92">
        <v>24.989899999999999</v>
      </c>
      <c r="F23" s="92">
        <v>25.015899999999998</v>
      </c>
      <c r="G23" s="92">
        <v>25.037600000000001</v>
      </c>
      <c r="H23" s="92">
        <v>25.008700000000001</v>
      </c>
      <c r="I23" s="92">
        <v>24.9971</v>
      </c>
      <c r="J23" s="92">
        <v>25.075199999999999</v>
      </c>
      <c r="K23" s="92">
        <v>25.0535</v>
      </c>
      <c r="L23" s="92">
        <v>25.017399999999999</v>
      </c>
      <c r="M23" s="92">
        <v>25.0593</v>
      </c>
      <c r="R23" s="84"/>
    </row>
    <row r="24" spans="1:18" s="85" customFormat="1">
      <c r="A24" s="153" t="s">
        <v>953</v>
      </c>
      <c r="B24" s="84" t="s">
        <v>954</v>
      </c>
      <c r="C24" s="84"/>
      <c r="D24" s="92" cm="1">
        <f t="array" ref="D24:M24">TRANSPOSE(_xlfn._xlws.FILTER('Raw Data'!D2:D505,('Raw Data'!B2:B505=8)*('Raw Data'!D2:D505&lt;&gt;"")))</f>
        <v>210</v>
      </c>
      <c r="E24" s="92">
        <v>220</v>
      </c>
      <c r="F24" s="92">
        <v>220</v>
      </c>
      <c r="G24" s="92">
        <v>215</v>
      </c>
      <c r="H24" s="92">
        <v>215</v>
      </c>
      <c r="I24" s="92">
        <v>215</v>
      </c>
      <c r="J24" s="92">
        <v>209.9</v>
      </c>
      <c r="K24" s="92">
        <v>204.9</v>
      </c>
      <c r="L24" s="92">
        <v>205</v>
      </c>
      <c r="M24" s="84">
        <v>200</v>
      </c>
      <c r="R24" s="84"/>
    </row>
    <row r="25" spans="1:18" s="85" customFormat="1">
      <c r="A25" s="153" t="s">
        <v>56</v>
      </c>
      <c r="B25" s="84" t="s">
        <v>118</v>
      </c>
      <c r="C25" s="84"/>
      <c r="D25" s="90">
        <f>D37/$D$7/2</f>
        <v>1.8321350442518642</v>
      </c>
      <c r="E25" s="90">
        <f>E37/$D$7/2</f>
        <v>1.4832148670755558</v>
      </c>
      <c r="F25" s="90">
        <f>F37/$D$7/2</f>
        <v>1.4719850346051908</v>
      </c>
      <c r="G25" s="90">
        <f>G37/$D$7/2</f>
        <v>1.4775060028767768</v>
      </c>
      <c r="H25" s="90">
        <f t="shared" ref="H25:I25" si="10">H37/$D$7/2</f>
        <v>1.4466792340951438</v>
      </c>
      <c r="I25" s="90">
        <f t="shared" si="10"/>
        <v>1.4709083128705693</v>
      </c>
      <c r="J25" s="90">
        <f t="shared" ref="J25:L25" si="11">J37/$D$7/2</f>
        <v>1.4574766778594834</v>
      </c>
      <c r="K25" s="90">
        <f t="shared" si="11"/>
        <v>1.4647949153954769</v>
      </c>
      <c r="L25" s="90">
        <f t="shared" si="11"/>
        <v>1.4323404264058881</v>
      </c>
      <c r="M25" s="84"/>
      <c r="R25" s="84"/>
    </row>
    <row r="26" spans="1:18" s="85" customFormat="1">
      <c r="A26" s="153" t="s">
        <v>119</v>
      </c>
      <c r="B26" s="84" t="s">
        <v>955</v>
      </c>
      <c r="C26" s="84"/>
      <c r="D26" s="88">
        <f>(D35/2)/(D37/$D$6)</f>
        <v>4.0621659598363493</v>
      </c>
      <c r="E26" s="88">
        <f t="shared" ref="E26:F26" si="12">(E35/2)/(E37/$D$6)</f>
        <v>3.3570168602354258</v>
      </c>
      <c r="F26" s="88">
        <f t="shared" si="12"/>
        <v>3.3877154729925008</v>
      </c>
      <c r="G26" s="88">
        <f t="shared" ref="G26:I26" si="13">(G35/2)/(G37/$D$6)</f>
        <v>3.4186275514651356</v>
      </c>
      <c r="H26" s="88">
        <f t="shared" si="13"/>
        <v>3.477811094232802</v>
      </c>
      <c r="I26" s="88">
        <f t="shared" si="13"/>
        <v>3.4243312210204433</v>
      </c>
      <c r="J26" s="88">
        <f t="shared" ref="J26:L26" si="14">(J35/2)/(J37/$D$6)</f>
        <v>3.4393503767009381</v>
      </c>
      <c r="K26" s="88">
        <f t="shared" si="14"/>
        <v>3.4578594518434187</v>
      </c>
      <c r="L26" s="88">
        <f t="shared" si="14"/>
        <v>4.2504650296784092</v>
      </c>
      <c r="M26" s="84"/>
      <c r="R26" s="84"/>
    </row>
    <row r="27" spans="1:18">
      <c r="A27" s="22" t="s">
        <v>956</v>
      </c>
      <c r="B27" s="2" t="s">
        <v>130</v>
      </c>
      <c r="D27" s="2">
        <v>3.2</v>
      </c>
      <c r="E27" s="2">
        <v>3.2</v>
      </c>
      <c r="F27" s="2">
        <v>3.2</v>
      </c>
      <c r="G27" s="2">
        <v>3.2</v>
      </c>
      <c r="H27" s="2">
        <v>3.2</v>
      </c>
      <c r="I27" s="2">
        <v>3.2</v>
      </c>
      <c r="J27" s="2">
        <v>3.2</v>
      </c>
      <c r="K27" s="2">
        <v>3.2</v>
      </c>
      <c r="L27" s="2">
        <v>3.2</v>
      </c>
      <c r="M27" s="2">
        <v>3.2</v>
      </c>
    </row>
    <row r="28" spans="1:18" s="79" customFormat="1">
      <c r="A28" s="111" t="s">
        <v>957</v>
      </c>
      <c r="B28" s="23" t="s">
        <v>958</v>
      </c>
      <c r="C28" s="23"/>
      <c r="D28" s="23" cm="1">
        <f t="array" ref="D28:M28">TRANSPOSE(_xlfn._xlws.FILTER('Raw Data'!AJ2:AJ505,('Raw Data'!B2:B505=8)*('Raw Data'!AJ2:AJ505&lt;&gt;"")))</f>
        <v>40.944481000000003</v>
      </c>
      <c r="E28" s="23">
        <v>32.391837000000002</v>
      </c>
      <c r="F28" s="23">
        <v>32.447527999999998</v>
      </c>
      <c r="G28" s="23">
        <v>32.718583000000002</v>
      </c>
      <c r="H28" s="23">
        <v>32.698425999999998</v>
      </c>
      <c r="I28" s="23">
        <v>32.671731999999999</v>
      </c>
      <c r="J28" s="23">
        <v>32.596525999999997</v>
      </c>
      <c r="K28" s="23">
        <v>32.809424</v>
      </c>
      <c r="L28" s="23">
        <v>37.058976000000001</v>
      </c>
      <c r="M28" s="23">
        <v>36.384528000000003</v>
      </c>
      <c r="R28" s="23"/>
    </row>
    <row r="29" spans="1:18" s="97" customFormat="1">
      <c r="A29" s="112" t="s">
        <v>956</v>
      </c>
      <c r="B29" s="26" t="s">
        <v>958</v>
      </c>
      <c r="C29" s="26"/>
      <c r="D29" s="23" cm="1">
        <f t="array" ref="D29:M29">TRANSPOSE(_xlfn._xlws.FILTER('Raw Data'!AN2:AN505,('Raw Data'!B2:B505=8)*('Raw Data'!AN2:AN505&lt;&gt;"")))</f>
        <v>49.002200000000002</v>
      </c>
      <c r="E29" s="26">
        <v>57.950830000000003</v>
      </c>
      <c r="F29" s="26">
        <v>57.963282</v>
      </c>
      <c r="G29" s="26">
        <v>57.702565</v>
      </c>
      <c r="H29" s="26">
        <v>57.893563999999998</v>
      </c>
      <c r="I29" s="26">
        <v>57.781986000000003</v>
      </c>
      <c r="J29" s="26">
        <v>57.926189000000001</v>
      </c>
      <c r="K29" s="26">
        <v>57.702697999999998</v>
      </c>
      <c r="L29" s="26">
        <v>54.224105000000002</v>
      </c>
      <c r="M29" s="26">
        <v>64.983047999999997</v>
      </c>
      <c r="R29" s="26"/>
    </row>
    <row r="30" spans="1:18">
      <c r="A30" s="22" t="s">
        <v>959</v>
      </c>
      <c r="B30" s="2" t="s">
        <v>958</v>
      </c>
      <c r="D30" s="26">
        <f t="shared" ref="D30:F30" si="15">100-D29-D28</f>
        <v>10.053318999999995</v>
      </c>
      <c r="E30" s="26">
        <f t="shared" si="15"/>
        <v>9.6573329999999942</v>
      </c>
      <c r="F30" s="26">
        <f t="shared" si="15"/>
        <v>9.5891900000000021</v>
      </c>
      <c r="G30" s="26">
        <f t="shared" ref="G30:I30" si="16">100-G29-G28</f>
        <v>9.5788519999999977</v>
      </c>
      <c r="H30" s="26">
        <f t="shared" si="16"/>
        <v>9.4080100000000044</v>
      </c>
      <c r="I30" s="26">
        <f t="shared" si="16"/>
        <v>9.5462819999999979</v>
      </c>
      <c r="J30" s="26">
        <f t="shared" ref="J30:L30" si="17">100-J29-J28</f>
        <v>9.477285000000002</v>
      </c>
      <c r="K30" s="26">
        <f t="shared" si="17"/>
        <v>9.487878000000002</v>
      </c>
      <c r="L30" s="26">
        <f t="shared" si="17"/>
        <v>8.7169189999999972</v>
      </c>
    </row>
    <row r="31" spans="1:18">
      <c r="A31" s="22" t="s">
        <v>81</v>
      </c>
      <c r="B31" s="2" t="s">
        <v>958</v>
      </c>
      <c r="D31" s="2">
        <f t="shared" ref="D31:F31" si="18">SUM(D28:D30)</f>
        <v>100</v>
      </c>
      <c r="E31" s="2">
        <f t="shared" si="18"/>
        <v>100</v>
      </c>
      <c r="F31" s="2">
        <f t="shared" si="18"/>
        <v>100</v>
      </c>
      <c r="G31" s="2">
        <f t="shared" ref="G31:I31" si="19">SUM(G28:G30)</f>
        <v>100</v>
      </c>
      <c r="H31" s="2">
        <f t="shared" si="19"/>
        <v>100</v>
      </c>
      <c r="I31" s="2">
        <f t="shared" si="19"/>
        <v>100</v>
      </c>
      <c r="J31" s="2">
        <f t="shared" ref="J31:M31" si="20">SUM(J28:J30)</f>
        <v>100</v>
      </c>
      <c r="K31" s="2">
        <f t="shared" si="20"/>
        <v>100</v>
      </c>
      <c r="L31" s="2">
        <f t="shared" si="20"/>
        <v>100</v>
      </c>
      <c r="M31" s="39">
        <f t="shared" si="20"/>
        <v>101.367576</v>
      </c>
    </row>
    <row r="32" spans="1:18" s="26" customFormat="1">
      <c r="A32" s="112" t="s">
        <v>650</v>
      </c>
      <c r="B32" s="96" t="s">
        <v>89</v>
      </c>
      <c r="C32" s="96"/>
      <c r="D32" s="23" cm="1">
        <f t="array" ref="D32:M32">TRANSPOSE(_xlfn._xlws.FILTER('Raw Data'!CP2:CP505,('Raw Data'!B2:B505=8)*('Raw Data'!CP2:CP505&lt;&gt;"")))</f>
        <v>89.279633000000004</v>
      </c>
      <c r="E32" s="23">
        <v>88.995002999999997</v>
      </c>
      <c r="F32" s="23">
        <v>88.981941000000006</v>
      </c>
      <c r="G32" s="26">
        <v>88.997214999999997</v>
      </c>
      <c r="H32" s="26">
        <v>89.026580999999993</v>
      </c>
      <c r="I32" s="26">
        <v>89.034087999999997</v>
      </c>
      <c r="J32" s="26">
        <v>89.0839</v>
      </c>
      <c r="K32" s="26">
        <v>89.079750000000004</v>
      </c>
      <c r="L32" s="26">
        <v>89.102256999999994</v>
      </c>
      <c r="M32" s="26">
        <v>80.284912000000006</v>
      </c>
    </row>
    <row r="33" spans="1:22" s="23" customFormat="1">
      <c r="A33" s="111" t="s">
        <v>960</v>
      </c>
      <c r="B33" s="23" t="s">
        <v>8</v>
      </c>
      <c r="D33" s="23">
        <f>SUMPRODUCT($C$42:$C$77,D42:D77)</f>
        <v>83.794810779599999</v>
      </c>
      <c r="E33" s="23">
        <f>SUMPRODUCT($C$42:$C$77,E42:E77)</f>
        <v>83.772312344900001</v>
      </c>
      <c r="F33" s="23">
        <f>SUMPRODUCT($C$42:$C$77,F42:F77)</f>
        <v>83.759131533200005</v>
      </c>
      <c r="G33" s="23">
        <f>SUMPRODUCT($C$42:$C$77,G42:G77)</f>
        <v>83.77107623149999</v>
      </c>
      <c r="H33" s="23">
        <f t="shared" ref="H33:I33" si="21">SUMPRODUCT($C$42:$C$77,H42:H77)</f>
        <v>83.761543192700003</v>
      </c>
      <c r="I33" s="23">
        <f t="shared" si="21"/>
        <v>83.7620108741</v>
      </c>
      <c r="J33" s="23">
        <f t="shared" ref="J33:L33" si="22">SUMPRODUCT($C$42:$C$77,J42:J77)</f>
        <v>83.763151722299995</v>
      </c>
      <c r="K33" s="23">
        <f t="shared" si="22"/>
        <v>83.76921855549999</v>
      </c>
      <c r="L33" s="23">
        <f t="shared" si="22"/>
        <v>83.761901592000001</v>
      </c>
    </row>
    <row r="34" spans="1:22" s="23" customFormat="1">
      <c r="A34" s="111" t="s">
        <v>961</v>
      </c>
      <c r="B34" s="23" t="s">
        <v>8</v>
      </c>
      <c r="D34" s="23">
        <f>100-D33</f>
        <v>16.205189220400001</v>
      </c>
      <c r="E34" s="23">
        <f t="shared" ref="E34" si="23">100-E33</f>
        <v>16.227687655099999</v>
      </c>
      <c r="F34" s="23">
        <f t="shared" ref="F34:G34" si="24">100-F33</f>
        <v>16.240868466799995</v>
      </c>
      <c r="G34" s="23">
        <f t="shared" si="24"/>
        <v>16.22892376850001</v>
      </c>
      <c r="H34" s="23">
        <f t="shared" ref="H34:I34" si="25">100-H33</f>
        <v>16.238456807299997</v>
      </c>
      <c r="I34" s="23">
        <f t="shared" si="25"/>
        <v>16.2379891259</v>
      </c>
      <c r="J34" s="23">
        <f t="shared" ref="J34:L34" si="26">100-J33</f>
        <v>16.236848277700005</v>
      </c>
      <c r="K34" s="23">
        <f t="shared" si="26"/>
        <v>16.23078144450001</v>
      </c>
      <c r="L34" s="23">
        <f t="shared" si="26"/>
        <v>16.238098407999999</v>
      </c>
    </row>
    <row r="35" spans="1:22">
      <c r="A35" s="22" t="s">
        <v>957</v>
      </c>
      <c r="B35" s="2" t="s">
        <v>110</v>
      </c>
      <c r="D35" s="95">
        <f>(D27/(D29/100))*(D28/100)*(273/293)*(2/22.4)</f>
        <v>0.22243686948484578</v>
      </c>
      <c r="E35" s="95">
        <f t="shared" ref="E35:F35" si="27">(E27/(E29/100))*(E28/100)*(0.0416)*2</f>
        <v>0.14881586135832736</v>
      </c>
      <c r="F35" s="95">
        <f t="shared" si="27"/>
        <v>0.14903969472812115</v>
      </c>
      <c r="G35" s="95">
        <f t="shared" ref="G35:I35" si="28">(G27/(G29/100))*(G28/100)*(0.0416)*2</f>
        <v>0.15096374897580378</v>
      </c>
      <c r="H35" s="95">
        <f t="shared" si="28"/>
        <v>0.15037300067136997</v>
      </c>
      <c r="I35" s="95">
        <f t="shared" si="28"/>
        <v>0.15054037650557733</v>
      </c>
      <c r="J35" s="95">
        <f t="shared" ref="J35:M35" si="29">(J27/(J29/100))*(J28/100)*(0.0416)*2</f>
        <v>0.14981995591389585</v>
      </c>
      <c r="K35" s="95">
        <f t="shared" si="29"/>
        <v>0.15138254099938275</v>
      </c>
      <c r="L35" s="95">
        <f t="shared" si="29"/>
        <v>0.18195932916255603</v>
      </c>
      <c r="M35" s="95">
        <f t="shared" si="29"/>
        <v>0.14906990411899426</v>
      </c>
    </row>
    <row r="36" spans="1:22">
      <c r="A36" s="22" t="s">
        <v>959</v>
      </c>
      <c r="B36" s="2" t="s">
        <v>110</v>
      </c>
      <c r="D36" s="23">
        <f>(D27/(D29/100))*(D30/100)*(273/293)*(D32/22.4)</f>
        <v>2.4380537041100139</v>
      </c>
      <c r="E36" s="23">
        <f t="shared" ref="E36:F36" si="30">(E27/(E29/100))*(E30/100)*(0.0416)*(E32)</f>
        <v>1.9742696864453473</v>
      </c>
      <c r="F36" s="23">
        <f t="shared" si="30"/>
        <v>1.9596302713056213</v>
      </c>
      <c r="G36" s="23">
        <f t="shared" ref="G36:I36" si="31">(G27/(G29/100))*(G30/100)*(0.0416)*(G32)</f>
        <v>1.9666997820189198</v>
      </c>
      <c r="H36" s="23">
        <f t="shared" si="31"/>
        <v>1.9258856098314217</v>
      </c>
      <c r="I36" s="23">
        <f t="shared" si="31"/>
        <v>1.9581295352549457</v>
      </c>
      <c r="J36" s="23">
        <f t="shared" ref="J36:L36" si="32">(J27/(J29/100))*(J30/100)*(0.0416)*(J32)</f>
        <v>1.940222401757431</v>
      </c>
      <c r="K36" s="23">
        <f t="shared" si="32"/>
        <v>1.9498233647932546</v>
      </c>
      <c r="L36" s="23">
        <f t="shared" si="32"/>
        <v>1.9067889739812327</v>
      </c>
    </row>
    <row r="37" spans="1:22">
      <c r="A37" s="22" t="s">
        <v>962</v>
      </c>
      <c r="B37" s="2" t="s">
        <v>110</v>
      </c>
      <c r="D37" s="23">
        <f>(D36*D33)/($D$2)</f>
        <v>2.4367396088549795</v>
      </c>
      <c r="E37" s="23">
        <f>(E36*E33)/($D$2)</f>
        <v>1.9726757732104894</v>
      </c>
      <c r="F37" s="23">
        <f>(F36*F33)/($D$2)</f>
        <v>1.9577400960249038</v>
      </c>
      <c r="G37" s="23">
        <f>(G36*G33)/($D$2)</f>
        <v>1.9650829838261132</v>
      </c>
      <c r="H37" s="23">
        <f t="shared" ref="H37:I37" si="33">(H36*H33)/($D$2)</f>
        <v>1.9240833813465412</v>
      </c>
      <c r="I37" s="23">
        <f t="shared" si="33"/>
        <v>1.9563080561178572</v>
      </c>
      <c r="J37" s="23">
        <f t="shared" ref="J37:L37" si="34">(J36*J33)/($D$2)</f>
        <v>1.9384439815531129</v>
      </c>
      <c r="K37" s="23">
        <f t="shared" si="34"/>
        <v>1.9481772374759843</v>
      </c>
      <c r="L37" s="23">
        <f t="shared" si="34"/>
        <v>1.9050127671198314</v>
      </c>
    </row>
    <row r="38" spans="1:22">
      <c r="A38" s="22" t="s">
        <v>963</v>
      </c>
      <c r="B38" s="2" t="s">
        <v>964</v>
      </c>
      <c r="D38" s="23">
        <f>D36/D35</f>
        <v>10.960654633183974</v>
      </c>
      <c r="E38" s="23">
        <f t="shared" ref="E38:F38" si="35">(E30*E32)/(E28*2)</f>
        <v>13.266527293697459</v>
      </c>
      <c r="F38" s="23">
        <f t="shared" si="35"/>
        <v>13.1483781879746</v>
      </c>
      <c r="G38" s="23">
        <f t="shared" ref="G38:I38" si="36">(G30*G32)/(G28*2)</f>
        <v>13.02762944986309</v>
      </c>
      <c r="H38" s="23">
        <f t="shared" si="36"/>
        <v>12.807389632666268</v>
      </c>
      <c r="I38" s="23">
        <f t="shared" si="36"/>
        <v>13.007337836586316</v>
      </c>
      <c r="J38" s="23">
        <f t="shared" ref="J38:L38" si="37">(J30*J32)/(J28*2)</f>
        <v>12.95036025022268</v>
      </c>
      <c r="K38" s="23">
        <f t="shared" si="37"/>
        <v>12.880107256233762</v>
      </c>
      <c r="L38" s="23">
        <f t="shared" si="37"/>
        <v>10.479204241722472</v>
      </c>
    </row>
    <row r="39" spans="1:22" s="91" customFormat="1">
      <c r="A39" s="94" t="s">
        <v>965</v>
      </c>
      <c r="B39" s="93" t="s">
        <v>89</v>
      </c>
      <c r="C39" s="93"/>
      <c r="D39" s="39" cm="1">
        <f t="array" ref="D39:M39">TRANSPOSE(_xlfn._xlws.FILTER('Raw Data'!CO2:CO505,('Raw Data'!B2:B505=8)*('Raw Data'!CO2:CO505&lt;&gt;"")))</f>
        <v>39.993828000000001</v>
      </c>
      <c r="E39" s="39">
        <v>40.403660000000002</v>
      </c>
      <c r="F39" s="39">
        <v>40.426586</v>
      </c>
      <c r="G39" s="39">
        <v>40.413437000000002</v>
      </c>
      <c r="H39" s="39">
        <v>40.378712</v>
      </c>
      <c r="I39" s="39">
        <v>40.365493999999998</v>
      </c>
      <c r="J39" s="39">
        <v>40.304264000000003</v>
      </c>
      <c r="K39" s="39">
        <v>40.306438</v>
      </c>
      <c r="L39" s="39">
        <v>40.274650999999999</v>
      </c>
      <c r="M39" s="39">
        <v>52.050517999999997</v>
      </c>
      <c r="R39" s="39"/>
    </row>
    <row r="40" spans="1:22" s="91" customFormat="1">
      <c r="A40" s="94" t="s">
        <v>966</v>
      </c>
      <c r="B40" s="93" t="s">
        <v>89</v>
      </c>
      <c r="C40" s="93"/>
      <c r="D40" s="73" cm="1">
        <f t="array" ref="D40:M40">TRANSPOSE(_xlfn._xlws.FILTER('Raw Data'!CQ2:CQ506,('Raw Data'!B2:B506=8)*('Raw Data'!CQ2:CQ506&lt;&gt;"")))</f>
        <v>0.66459299999999999</v>
      </c>
      <c r="E40" s="73">
        <v>0.66486400000000001</v>
      </c>
      <c r="F40" s="73">
        <v>0.66486400000000001</v>
      </c>
      <c r="G40" s="73">
        <v>0.66562200000000005</v>
      </c>
      <c r="H40" s="73">
        <v>0.66627199999999998</v>
      </c>
      <c r="I40" s="73">
        <v>0.66588999999999998</v>
      </c>
      <c r="J40" s="73">
        <v>0.66695400000000005</v>
      </c>
      <c r="K40" s="73">
        <v>0.66512199999999999</v>
      </c>
      <c r="L40" s="73">
        <v>0.66524000000000005</v>
      </c>
      <c r="M40" s="73">
        <v>0.64168599999999998</v>
      </c>
      <c r="R40" s="39"/>
    </row>
    <row r="41" spans="1:22" s="133" customFormat="1">
      <c r="A41" s="134"/>
      <c r="B41" s="131"/>
      <c r="C41" s="131"/>
      <c r="D41" s="135"/>
      <c r="E41" s="135"/>
      <c r="F41" s="135"/>
      <c r="G41" s="135"/>
      <c r="H41" s="135"/>
      <c r="I41" s="135"/>
      <c r="J41" s="135"/>
      <c r="K41" s="135"/>
      <c r="L41" s="135"/>
      <c r="M41" s="131"/>
      <c r="R41" s="131"/>
    </row>
    <row r="42" spans="1:22" s="2" customFormat="1" ht="18.75" customHeight="1">
      <c r="A42" s="38" t="s">
        <v>9</v>
      </c>
      <c r="B42" s="2" t="s">
        <v>8</v>
      </c>
      <c r="C42" s="95">
        <f>Reactor1!C42</f>
        <v>0.749</v>
      </c>
      <c r="D42" s="23" cm="1">
        <f t="array" ref="D42:M42">TRANSPOSE(_xlfn._xlws.FILTER('Raw Data'!BB2:BB505,('Raw Data'!B2:B505=8)*('Raw Data'!BB2:BB505&lt;&gt;"")))</f>
        <v>0</v>
      </c>
      <c r="E42" s="23">
        <v>0</v>
      </c>
      <c r="F42" s="23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P42" s="22" t="str">
        <f>A42</f>
        <v>Methane</v>
      </c>
      <c r="Q42" s="23">
        <f t="shared" ref="Q42:Q63" si="38">AVERAGE(E42:L42)</f>
        <v>0</v>
      </c>
      <c r="R42" s="23">
        <f>Q42</f>
        <v>0</v>
      </c>
    </row>
    <row r="43" spans="1:22" s="2" customFormat="1">
      <c r="A43" s="38" t="s">
        <v>10</v>
      </c>
      <c r="B43" s="2" t="s">
        <v>8</v>
      </c>
      <c r="C43" s="95">
        <f>Reactor1!C43</f>
        <v>0.79900000000000004</v>
      </c>
      <c r="D43" s="23" cm="1">
        <f t="array" ref="D43:M43">TRANSPOSE(_xlfn._xlws.FILTER('Raw Data'!BC2:BC505,('Raw Data'!B2:B505=8)*('Raw Data'!BC2:BC505&lt;&gt;"")))</f>
        <v>0</v>
      </c>
      <c r="E43" s="23">
        <v>0</v>
      </c>
      <c r="F43" s="23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P43" s="22" t="str">
        <f t="shared" ref="P43:P77" si="39">A43</f>
        <v>Ethane</v>
      </c>
      <c r="Q43" s="23">
        <f t="shared" si="38"/>
        <v>0</v>
      </c>
      <c r="R43" s="23">
        <f t="shared" ref="R43:R62" si="40">Q43</f>
        <v>0</v>
      </c>
    </row>
    <row r="44" spans="1:22" s="2" customFormat="1">
      <c r="A44" s="38" t="s">
        <v>11</v>
      </c>
      <c r="B44" s="2" t="s">
        <v>8</v>
      </c>
      <c r="C44" s="95">
        <f>Reactor1!C44</f>
        <v>0.81699999999999995</v>
      </c>
      <c r="D44" s="23" cm="1">
        <f t="array" ref="D44:M44">TRANSPOSE(_xlfn._xlws.FILTER('Raw Data'!BD2:BD505,('Raw Data'!B2:B505=8)*('Raw Data'!BD2:BD505&lt;&gt;"")))</f>
        <v>4.2157E-2</v>
      </c>
      <c r="E44" s="23">
        <v>4.4137999999999997E-2</v>
      </c>
      <c r="F44" s="23">
        <v>4.5288000000000002E-2</v>
      </c>
      <c r="G44" s="26">
        <v>4.7488000000000002E-2</v>
      </c>
      <c r="H44" s="26">
        <v>4.5904E-2</v>
      </c>
      <c r="I44" s="26">
        <v>4.8023999999999997E-2</v>
      </c>
      <c r="J44" s="26">
        <v>4.2222000000000003E-2</v>
      </c>
      <c r="K44" s="26">
        <v>4.1736000000000002E-2</v>
      </c>
      <c r="L44" s="26">
        <v>4.0296999999999999E-2</v>
      </c>
      <c r="M44" s="26">
        <v>2.7019609999999998</v>
      </c>
      <c r="P44" s="22" t="str">
        <f t="shared" si="39"/>
        <v>Propane</v>
      </c>
      <c r="Q44" s="23">
        <f t="shared" si="38"/>
        <v>4.4387124999999999E-2</v>
      </c>
      <c r="R44" s="23">
        <f t="shared" si="40"/>
        <v>4.4387124999999999E-2</v>
      </c>
    </row>
    <row r="45" spans="1:22" s="2" customFormat="1">
      <c r="A45" s="38" t="s">
        <v>12</v>
      </c>
      <c r="B45" s="2" t="s">
        <v>8</v>
      </c>
      <c r="C45" s="95">
        <f>Reactor1!C45</f>
        <v>0.82599999999999996</v>
      </c>
      <c r="D45" s="23" cm="1">
        <f t="array" ref="D45:M45">TRANSPOSE(_xlfn._xlws.FILTER('Raw Data'!BE2:BE505,('Raw Data'!B2:B505=8)*('Raw Data'!BE2:BE505&lt;&gt;"")))</f>
        <v>1.6064830000000001</v>
      </c>
      <c r="E45" s="23">
        <v>1.6394599999999999</v>
      </c>
      <c r="F45" s="23">
        <v>1.640002</v>
      </c>
      <c r="G45" s="26">
        <v>1.617324</v>
      </c>
      <c r="H45" s="26">
        <v>1.609477</v>
      </c>
      <c r="I45" s="26">
        <v>1.6033790000000001</v>
      </c>
      <c r="J45" s="26">
        <v>1.570303</v>
      </c>
      <c r="K45" s="26">
        <v>1.5708150000000001</v>
      </c>
      <c r="L45" s="26">
        <v>1.567339</v>
      </c>
      <c r="M45" s="26">
        <v>2.9873530000000001</v>
      </c>
      <c r="P45" s="22" t="str">
        <f t="shared" si="39"/>
        <v>n-Butane</v>
      </c>
      <c r="Q45" s="23">
        <f t="shared" si="38"/>
        <v>1.602262375</v>
      </c>
      <c r="R45" s="23">
        <f t="shared" si="40"/>
        <v>1.602262375</v>
      </c>
    </row>
    <row r="46" spans="1:22" s="2" customFormat="1">
      <c r="A46" s="38" t="s">
        <v>13</v>
      </c>
      <c r="B46" s="2" t="s">
        <v>8</v>
      </c>
      <c r="C46" s="95">
        <f>Reactor1!C46</f>
        <v>0.82599999999999996</v>
      </c>
      <c r="D46" s="23" cm="1">
        <f t="array" ref="D46:M46">TRANSPOSE(_xlfn._xlws.FILTER('Raw Data'!BF2:BF505,('Raw Data'!B2:B505=8)*('Raw Data'!BF2:BF505&lt;&gt;"")))</f>
        <v>0.28731299999999999</v>
      </c>
      <c r="E46" s="23">
        <v>0.29506500000000002</v>
      </c>
      <c r="F46" s="23">
        <v>0.29705999999999999</v>
      </c>
      <c r="G46" s="26">
        <v>0.30003000000000002</v>
      </c>
      <c r="H46" s="26">
        <v>0.296043</v>
      </c>
      <c r="I46" s="26">
        <v>0.299257</v>
      </c>
      <c r="J46" s="26">
        <v>0.28562399999999999</v>
      </c>
      <c r="K46" s="26">
        <v>0.28532000000000002</v>
      </c>
      <c r="L46" s="26">
        <v>0.28232200000000002</v>
      </c>
      <c r="M46" s="26">
        <v>5.8734390000000003</v>
      </c>
      <c r="P46" s="22" t="str">
        <f t="shared" si="39"/>
        <v>iso-Butane</v>
      </c>
      <c r="Q46" s="23">
        <f t="shared" si="38"/>
        <v>0.29259012500000003</v>
      </c>
      <c r="R46" s="23">
        <f t="shared" si="40"/>
        <v>0.29259012500000003</v>
      </c>
    </row>
    <row r="47" spans="1:22" s="2" customFormat="1">
      <c r="A47" s="38" t="s">
        <v>14</v>
      </c>
      <c r="B47" s="2" t="s">
        <v>8</v>
      </c>
      <c r="C47" s="95">
        <f>Reactor1!C47</f>
        <v>0.83299999999999996</v>
      </c>
      <c r="D47" s="23" cm="1">
        <f t="array" ref="D47:M47">TRANSPOSE(_xlfn._xlws.FILTER('Raw Data'!BG2:BG505,('Raw Data'!B2:B505=8)*('Raw Data'!BG2:BG505&lt;&gt;"")))</f>
        <v>12.603419000000001</v>
      </c>
      <c r="E47" s="23">
        <v>12.879215</v>
      </c>
      <c r="F47" s="23">
        <v>12.888042</v>
      </c>
      <c r="G47" s="26">
        <v>12.870495999999999</v>
      </c>
      <c r="H47" s="26">
        <v>12.849126999999999</v>
      </c>
      <c r="I47" s="26">
        <v>12.827673000000001</v>
      </c>
      <c r="J47" s="26">
        <v>12.806910999999999</v>
      </c>
      <c r="K47" s="26">
        <v>12.795612</v>
      </c>
      <c r="L47" s="26">
        <v>12.788373999999999</v>
      </c>
      <c r="M47" s="26">
        <v>14.910183</v>
      </c>
      <c r="P47" s="22" t="str">
        <f t="shared" si="39"/>
        <v>n-Pentane</v>
      </c>
      <c r="Q47" s="23">
        <f t="shared" si="38"/>
        <v>12.838181250000002</v>
      </c>
      <c r="R47" s="23">
        <f t="shared" si="40"/>
        <v>12.838181250000002</v>
      </c>
      <c r="T47" s="38"/>
      <c r="V47" s="23"/>
    </row>
    <row r="48" spans="1:22" s="2" customFormat="1">
      <c r="A48" s="38" t="s">
        <v>15</v>
      </c>
      <c r="B48" s="2" t="s">
        <v>8</v>
      </c>
      <c r="C48" s="95">
        <f>Reactor1!C48</f>
        <v>0.83299999999999996</v>
      </c>
      <c r="D48" s="23" cm="1">
        <f t="array" ref="D48:M48">TRANSPOSE(_xlfn._xlws.FILTER('Raw Data'!BH2:BH505,('Raw Data'!B2:B505=8)*('Raw Data'!BH2:BH505&lt;&gt;"")))</f>
        <v>7.4215</v>
      </c>
      <c r="E48" s="23">
        <v>7.5859550000000002</v>
      </c>
      <c r="F48" s="23">
        <v>7.593089</v>
      </c>
      <c r="G48" s="26">
        <v>7.5704919999999998</v>
      </c>
      <c r="H48" s="26">
        <v>7.5525349999999998</v>
      </c>
      <c r="I48" s="26">
        <v>7.5398779999999999</v>
      </c>
      <c r="J48" s="26">
        <v>7.507733</v>
      </c>
      <c r="K48" s="26">
        <v>7.5035509999999999</v>
      </c>
      <c r="L48" s="26">
        <v>7.4960120000000003</v>
      </c>
      <c r="M48" s="26">
        <v>10.206626</v>
      </c>
      <c r="P48" s="22" t="str">
        <f t="shared" si="39"/>
        <v>iso-Pentane</v>
      </c>
      <c r="Q48" s="23">
        <f t="shared" si="38"/>
        <v>7.5436556250000004</v>
      </c>
      <c r="R48" s="23">
        <f t="shared" si="40"/>
        <v>7.5436556250000004</v>
      </c>
      <c r="T48" s="38"/>
      <c r="V48" s="23"/>
    </row>
    <row r="49" spans="1:22" s="2" customFormat="1">
      <c r="A49" s="38" t="s">
        <v>16</v>
      </c>
      <c r="B49" s="2" t="s">
        <v>8</v>
      </c>
      <c r="C49" s="95">
        <f>Reactor1!C49</f>
        <v>0.85699999999999998</v>
      </c>
      <c r="D49" s="23" cm="1">
        <f t="array" ref="D49:M49">TRANSPOSE(_xlfn._xlws.FILTER('Raw Data'!BI2:BI505,('Raw Data'!B2:B505=8)*('Raw Data'!BI2:BI505&lt;&gt;"")))</f>
        <v>0</v>
      </c>
      <c r="E49" s="23">
        <v>0</v>
      </c>
      <c r="F49" s="23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P49" s="22" t="str">
        <f t="shared" si="39"/>
        <v>Cyclopentane</v>
      </c>
      <c r="Q49" s="23">
        <f t="shared" si="38"/>
        <v>0</v>
      </c>
      <c r="R49" s="23">
        <f t="shared" si="40"/>
        <v>0</v>
      </c>
      <c r="T49" s="38"/>
      <c r="V49" s="23"/>
    </row>
    <row r="50" spans="1:22" s="2" customFormat="1">
      <c r="A50" s="38" t="s">
        <v>17</v>
      </c>
      <c r="B50" s="2" t="s">
        <v>8</v>
      </c>
      <c r="C50" s="95">
        <f>Reactor1!C50</f>
        <v>0.83699999999999997</v>
      </c>
      <c r="D50" s="23" cm="1">
        <f t="array" ref="D50:M50">TRANSPOSE(_xlfn._xlws.FILTER('Raw Data'!BJ2:BJ505,('Raw Data'!B2:B505=8)*('Raw Data'!BJ2:BJ505&lt;&gt;"")))</f>
        <v>17.568247</v>
      </c>
      <c r="E50" s="23">
        <v>17.778217000000001</v>
      </c>
      <c r="F50" s="23">
        <v>17.786646000000001</v>
      </c>
      <c r="G50" s="26">
        <v>17.807835000000001</v>
      </c>
      <c r="H50" s="26">
        <v>17.810338999999999</v>
      </c>
      <c r="I50" s="26">
        <v>17.806315999999999</v>
      </c>
      <c r="J50" s="26">
        <v>17.827577999999999</v>
      </c>
      <c r="K50" s="26">
        <v>17.832882000000001</v>
      </c>
      <c r="L50" s="26">
        <v>17.820544999999999</v>
      </c>
      <c r="M50" s="26">
        <v>18.667444</v>
      </c>
      <c r="P50" s="22" t="str">
        <f t="shared" si="39"/>
        <v>n-Hexane</v>
      </c>
      <c r="Q50" s="23">
        <f t="shared" si="38"/>
        <v>17.808794750000001</v>
      </c>
      <c r="R50" s="23">
        <f t="shared" si="40"/>
        <v>17.808794750000001</v>
      </c>
      <c r="T50" s="38"/>
      <c r="V50" s="23"/>
    </row>
    <row r="51" spans="1:22" s="2" customFormat="1">
      <c r="A51" s="38" t="s">
        <v>18</v>
      </c>
      <c r="B51" s="2" t="s">
        <v>8</v>
      </c>
      <c r="C51" s="95">
        <f>Reactor1!C51</f>
        <v>0.83699999999999997</v>
      </c>
      <c r="D51" s="23" cm="1">
        <f t="array" ref="D51:M51">TRANSPOSE(_xlfn._xlws.FILTER('Raw Data'!BK2:BK505,('Raw Data'!B2:B505=8)*('Raw Data'!BK2:BK505&lt;&gt;"")))</f>
        <v>7.8868710000000002</v>
      </c>
      <c r="E51" s="23">
        <v>8.0139940000000003</v>
      </c>
      <c r="F51" s="23">
        <v>8.0209340000000005</v>
      </c>
      <c r="G51" s="26">
        <v>8.0316880000000008</v>
      </c>
      <c r="H51" s="26">
        <v>8.0262530000000005</v>
      </c>
      <c r="I51" s="26">
        <v>8.0237870000000004</v>
      </c>
      <c r="J51" s="26">
        <v>8.0280869999999993</v>
      </c>
      <c r="K51" s="26">
        <v>8.02867</v>
      </c>
      <c r="L51" s="26">
        <v>8.0248570000000008</v>
      </c>
      <c r="M51" s="26">
        <v>9.551088</v>
      </c>
      <c r="P51" s="22" t="str">
        <f t="shared" si="39"/>
        <v>2-Methyl Pentane</v>
      </c>
      <c r="Q51" s="23">
        <f t="shared" si="38"/>
        <v>8.024783750000001</v>
      </c>
      <c r="R51" s="23">
        <f t="shared" si="40"/>
        <v>8.024783750000001</v>
      </c>
      <c r="T51" s="38"/>
      <c r="V51" s="23"/>
    </row>
    <row r="52" spans="1:22" s="2" customFormat="1">
      <c r="A52" s="38" t="s">
        <v>19</v>
      </c>
      <c r="B52" s="2" t="s">
        <v>8</v>
      </c>
      <c r="C52" s="95">
        <f>Reactor1!C52</f>
        <v>0.83699999999999997</v>
      </c>
      <c r="D52" s="23" cm="1">
        <f t="array" ref="D52:M52">TRANSPOSE(_xlfn._xlws.FILTER('Raw Data'!BL2:BL505,('Raw Data'!B2:B505=8)*('Raw Data'!BL2:BL505&lt;&gt;"")))</f>
        <v>3.632107</v>
      </c>
      <c r="E52" s="23">
        <v>3.6824810000000001</v>
      </c>
      <c r="F52" s="23">
        <v>3.6850309999999999</v>
      </c>
      <c r="G52" s="26">
        <v>3.6909709999999998</v>
      </c>
      <c r="H52" s="26">
        <v>3.6892369999999999</v>
      </c>
      <c r="I52" s="26">
        <v>3.688815</v>
      </c>
      <c r="J52" s="26">
        <v>3.6914199999999999</v>
      </c>
      <c r="K52" s="26">
        <v>3.6897920000000002</v>
      </c>
      <c r="L52" s="26">
        <v>3.6890610000000001</v>
      </c>
      <c r="M52" s="26">
        <v>4.5005810000000004</v>
      </c>
      <c r="P52" s="22" t="str">
        <f t="shared" si="39"/>
        <v>3-Methyl Pentane</v>
      </c>
      <c r="Q52" s="23">
        <f t="shared" si="38"/>
        <v>3.6883509999999999</v>
      </c>
      <c r="R52" s="23">
        <f t="shared" si="40"/>
        <v>3.6883509999999999</v>
      </c>
      <c r="T52" s="38"/>
      <c r="V52" s="23"/>
    </row>
    <row r="53" spans="1:22" s="2" customFormat="1">
      <c r="A53" s="38" t="s">
        <v>20</v>
      </c>
      <c r="B53" s="2" t="s">
        <v>8</v>
      </c>
      <c r="C53" s="95">
        <f>Reactor1!C53</f>
        <v>0.83699999999999997</v>
      </c>
      <c r="D53" s="23" cm="1">
        <f t="array" ref="D53:M53">TRANSPOSE(_xlfn._xlws.FILTER('Raw Data'!BM2:BM505,('Raw Data'!B2:B505=8)*('Raw Data'!BM2:BM505&lt;&gt;"")))</f>
        <v>0.70879599999999998</v>
      </c>
      <c r="E53" s="23">
        <v>0.71907799999999999</v>
      </c>
      <c r="F53" s="23">
        <v>0.72013199999999999</v>
      </c>
      <c r="G53" s="26">
        <v>0.72217200000000004</v>
      </c>
      <c r="H53" s="26">
        <v>0.72140199999999999</v>
      </c>
      <c r="I53" s="26">
        <v>0.72110300000000005</v>
      </c>
      <c r="J53" s="26">
        <v>0.72086600000000001</v>
      </c>
      <c r="K53" s="26">
        <v>0.721001</v>
      </c>
      <c r="L53" s="26">
        <v>0.72066399999999997</v>
      </c>
      <c r="M53" s="26">
        <v>1.6197280000000001</v>
      </c>
      <c r="P53" s="22" t="str">
        <f t="shared" si="39"/>
        <v>2,3-Dimethyl Butane</v>
      </c>
      <c r="Q53" s="23">
        <f t="shared" si="38"/>
        <v>0.72080225000000009</v>
      </c>
      <c r="R53" s="23">
        <f t="shared" si="40"/>
        <v>0.72080225000000009</v>
      </c>
      <c r="T53" s="38"/>
      <c r="V53" s="23"/>
    </row>
    <row r="54" spans="1:22" s="2" customFormat="1">
      <c r="A54" s="38" t="s">
        <v>75</v>
      </c>
      <c r="B54" s="2" t="s">
        <v>8</v>
      </c>
      <c r="C54" s="95">
        <f>Reactor1!C54</f>
        <v>0.83699999999999997</v>
      </c>
      <c r="D54" s="23" cm="1">
        <f t="array" ref="D54:M54">TRANSPOSE(_xlfn._xlws.FILTER('Raw Data'!BN2:BN505,('Raw Data'!B2:B505=8)*('Raw Data'!BN2:BN505&lt;&gt;"")))</f>
        <v>1.6095000000000002E-2</v>
      </c>
      <c r="E54" s="23">
        <v>1.6337000000000001E-2</v>
      </c>
      <c r="F54" s="23">
        <v>1.6683E-2</v>
      </c>
      <c r="G54" s="26">
        <v>1.6871000000000001E-2</v>
      </c>
      <c r="H54" s="26">
        <v>1.6577000000000001E-2</v>
      </c>
      <c r="I54" s="26">
        <v>1.6833000000000001E-2</v>
      </c>
      <c r="J54" s="26">
        <v>1.6716999999999999E-2</v>
      </c>
      <c r="K54" s="26">
        <v>1.6698999999999999E-2</v>
      </c>
      <c r="L54" s="26">
        <v>1.7045999999999999E-2</v>
      </c>
      <c r="M54" s="26">
        <v>0</v>
      </c>
      <c r="P54" s="22" t="str">
        <f t="shared" si="39"/>
        <v>2,2-Dimethyl Butane</v>
      </c>
      <c r="Q54" s="23">
        <f t="shared" si="38"/>
        <v>1.6720374999999999E-2</v>
      </c>
      <c r="R54" s="23">
        <f t="shared" si="40"/>
        <v>1.6720374999999999E-2</v>
      </c>
      <c r="T54" s="38"/>
      <c r="V54" s="23"/>
    </row>
    <row r="55" spans="1:22" s="2" customFormat="1">
      <c r="A55" s="38" t="s">
        <v>22</v>
      </c>
      <c r="B55" s="2" t="s">
        <v>8</v>
      </c>
      <c r="C55" s="95">
        <f>Reactor1!C55</f>
        <v>0.85699999999999998</v>
      </c>
      <c r="D55" s="23" cm="1">
        <f t="array" ref="D55:M55">TRANSPOSE(_xlfn._xlws.FILTER('Raw Data'!BO2:BO505,('Raw Data'!B2:B505=8)*('Raw Data'!BO2:BO505&lt;&gt;"")))</f>
        <v>0.30768699999999999</v>
      </c>
      <c r="E55" s="23">
        <v>0.305811</v>
      </c>
      <c r="F55" s="23">
        <v>0.30587599999999998</v>
      </c>
      <c r="G55" s="26">
        <v>0.30508299999999999</v>
      </c>
      <c r="H55" s="26">
        <v>0.306363</v>
      </c>
      <c r="I55" s="26">
        <v>0.30577199999999999</v>
      </c>
      <c r="J55" s="26">
        <v>0.30649500000000002</v>
      </c>
      <c r="K55" s="26">
        <v>0.306479</v>
      </c>
      <c r="L55" s="26">
        <v>0.30720399999999998</v>
      </c>
      <c r="M55" s="26">
        <v>0</v>
      </c>
      <c r="P55" s="22" t="str">
        <f t="shared" si="39"/>
        <v>Cyclohexane</v>
      </c>
      <c r="Q55" s="23">
        <f t="shared" si="38"/>
        <v>0.30613537499999999</v>
      </c>
      <c r="R55" s="23">
        <f t="shared" si="40"/>
        <v>0.30613537499999999</v>
      </c>
      <c r="T55" s="38"/>
      <c r="V55" s="23"/>
    </row>
    <row r="56" spans="1:22" s="2" customFormat="1">
      <c r="A56" s="38" t="s">
        <v>23</v>
      </c>
      <c r="B56" s="2" t="s">
        <v>8</v>
      </c>
      <c r="C56" s="95">
        <f>Reactor1!C56</f>
        <v>0.85699999999999998</v>
      </c>
      <c r="D56" s="23" cm="1">
        <f t="array" ref="D56:M56">TRANSPOSE(_xlfn._xlws.FILTER('Raw Data'!BP2:BP506,('Raw Data'!B2:B506=8)*('Raw Data'!BP2:BP506&lt;&gt;"")))</f>
        <v>0.66336700000000004</v>
      </c>
      <c r="E56" s="23">
        <v>0.66676999999999997</v>
      </c>
      <c r="F56" s="23">
        <v>0.666578</v>
      </c>
      <c r="G56" s="26">
        <v>0.66758099999999998</v>
      </c>
      <c r="H56" s="26">
        <v>0.66839400000000004</v>
      </c>
      <c r="I56" s="26">
        <v>0.66789699999999996</v>
      </c>
      <c r="J56" s="26">
        <v>0.66830199999999995</v>
      </c>
      <c r="K56" s="26">
        <v>0.66820299999999999</v>
      </c>
      <c r="L56" s="26">
        <v>0.66785700000000003</v>
      </c>
      <c r="M56" s="26">
        <v>0</v>
      </c>
      <c r="P56" s="22" t="str">
        <f t="shared" si="39"/>
        <v>Methyl Cyclopentane</v>
      </c>
      <c r="Q56" s="23">
        <f t="shared" si="38"/>
        <v>0.66769774999999998</v>
      </c>
      <c r="R56" s="23">
        <f t="shared" si="40"/>
        <v>0.66769774999999998</v>
      </c>
      <c r="T56" s="38"/>
      <c r="V56" s="23"/>
    </row>
    <row r="57" spans="1:22" s="2" customFormat="1">
      <c r="A57" s="38" t="s">
        <v>24</v>
      </c>
      <c r="B57" s="2" t="s">
        <v>8</v>
      </c>
      <c r="C57" s="95">
        <f>Reactor1!C57</f>
        <v>0.92300000000000004</v>
      </c>
      <c r="D57" s="23" cm="1">
        <f t="array" ref="D57:M57">TRANSPOSE(_xlfn._xlws.FILTER('Raw Data'!BQ2:BQ505,('Raw Data'!B2:B505=8)*('Raw Data'!BQ2:BQ505&lt;&gt;"")))</f>
        <v>0</v>
      </c>
      <c r="E57" s="23">
        <v>0</v>
      </c>
      <c r="F57" s="23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P57" s="22" t="str">
        <f t="shared" si="39"/>
        <v>Benzene</v>
      </c>
      <c r="Q57" s="23">
        <f t="shared" si="38"/>
        <v>0</v>
      </c>
      <c r="R57" s="23">
        <f t="shared" si="40"/>
        <v>0</v>
      </c>
      <c r="T57" s="38"/>
      <c r="V57" s="23"/>
    </row>
    <row r="58" spans="1:22">
      <c r="A58" s="38" t="s">
        <v>25</v>
      </c>
      <c r="B58" s="2" t="s">
        <v>8</v>
      </c>
      <c r="C58" s="95">
        <f>Reactor1!C58</f>
        <v>0.83899999999999997</v>
      </c>
      <c r="D58" s="23" cm="1">
        <f t="array" ref="D58:M58">TRANSPOSE(_xlfn._xlws.FILTER('Raw Data'!BR2:BR505,('Raw Data'!B2:B505=8)*('Raw Data'!BR2:BR505&lt;&gt;"")))</f>
        <v>16.227018000000001</v>
      </c>
      <c r="E58" s="23">
        <v>16.049745999999999</v>
      </c>
      <c r="F58" s="23">
        <v>16.036531</v>
      </c>
      <c r="G58" s="26">
        <v>16.041695000000001</v>
      </c>
      <c r="H58" s="26">
        <v>16.051983</v>
      </c>
      <c r="I58" s="26">
        <v>16.069962</v>
      </c>
      <c r="J58" s="26">
        <v>16.094439999999999</v>
      </c>
      <c r="K58" s="26">
        <v>16.107766999999999</v>
      </c>
      <c r="L58" s="26">
        <v>16.118096999999999</v>
      </c>
      <c r="M58" s="26">
        <v>13.397068000000001</v>
      </c>
      <c r="P58" s="22" t="str">
        <f t="shared" si="39"/>
        <v>n-Heptane</v>
      </c>
      <c r="Q58" s="23">
        <f t="shared" si="38"/>
        <v>16.071277625</v>
      </c>
      <c r="R58" s="23">
        <f t="shared" si="40"/>
        <v>16.071277625</v>
      </c>
      <c r="T58" s="38"/>
      <c r="V58" s="23"/>
    </row>
    <row r="59" spans="1:22">
      <c r="A59" s="38" t="s">
        <v>26</v>
      </c>
      <c r="B59" s="2" t="s">
        <v>8</v>
      </c>
      <c r="C59" s="95">
        <f>Reactor1!C59</f>
        <v>0.83899999999999997</v>
      </c>
      <c r="D59" s="23" cm="1">
        <f t="array" ref="D59:M59">TRANSPOSE(_xlfn._xlws.FILTER('Raw Data'!BS2:BS505,('Raw Data'!B2:B505=8)*('Raw Data'!BS2:BS505&lt;&gt;"")))</f>
        <v>13.778930000000001</v>
      </c>
      <c r="E59" s="23">
        <v>13.743755</v>
      </c>
      <c r="F59" s="23">
        <v>13.739836</v>
      </c>
      <c r="G59" s="26">
        <v>13.752418</v>
      </c>
      <c r="H59" s="26">
        <v>13.759945</v>
      </c>
      <c r="I59" s="26">
        <v>13.769354</v>
      </c>
      <c r="J59" s="26">
        <v>13.789849999999999</v>
      </c>
      <c r="K59" s="26">
        <v>13.799270999999999</v>
      </c>
      <c r="L59" s="26">
        <v>13.803462</v>
      </c>
      <c r="M59" s="26">
        <v>12.355473</v>
      </c>
      <c r="P59" s="22" t="str">
        <f t="shared" si="39"/>
        <v>iC7 Single Branched</v>
      </c>
      <c r="Q59" s="23">
        <f t="shared" si="38"/>
        <v>13.769736375000001</v>
      </c>
      <c r="R59" s="23">
        <f t="shared" si="40"/>
        <v>13.769736375000001</v>
      </c>
      <c r="T59" s="38"/>
      <c r="V59" s="23"/>
    </row>
    <row r="60" spans="1:22">
      <c r="A60" s="38" t="s">
        <v>27</v>
      </c>
      <c r="B60" s="2" t="s">
        <v>8</v>
      </c>
      <c r="C60" s="95">
        <f>Reactor1!C60</f>
        <v>0.83899999999999997</v>
      </c>
      <c r="D60" s="23" cm="1">
        <f t="array" ref="D60:M60">TRANSPOSE(_xlfn._xlws.FILTER('Raw Data'!BT2:BT505,('Raw Data'!B2:B505=8)*('Raw Data'!BT2:BT505&lt;&gt;"")))</f>
        <v>0.94803700000000002</v>
      </c>
      <c r="E60" s="23">
        <v>0.94874499999999995</v>
      </c>
      <c r="F60" s="23">
        <v>0.99440300000000004</v>
      </c>
      <c r="G60" s="26">
        <v>0.99785599999999997</v>
      </c>
      <c r="H60" s="26">
        <v>0.99949600000000005</v>
      </c>
      <c r="I60" s="26">
        <v>0.99942500000000001</v>
      </c>
      <c r="J60" s="26">
        <v>0.99842200000000003</v>
      </c>
      <c r="K60" s="26">
        <v>1.001509</v>
      </c>
      <c r="L60" s="26">
        <v>0.99990699999999999</v>
      </c>
      <c r="M60" s="26">
        <v>0</v>
      </c>
      <c r="P60" s="22" t="str">
        <f t="shared" si="39"/>
        <v>iC7 Multi Branched</v>
      </c>
      <c r="Q60" s="23">
        <f t="shared" si="38"/>
        <v>0.99247037500000013</v>
      </c>
      <c r="R60" s="23">
        <f t="shared" si="40"/>
        <v>0.99247037500000013</v>
      </c>
      <c r="T60" s="38"/>
      <c r="V60" s="23"/>
    </row>
    <row r="61" spans="1:22">
      <c r="A61" s="38" t="s">
        <v>28</v>
      </c>
      <c r="B61" s="2" t="s">
        <v>8</v>
      </c>
      <c r="C61" s="95">
        <f>Reactor1!C61</f>
        <v>0.85619999999999996</v>
      </c>
      <c r="D61" s="23" cm="1">
        <f t="array" ref="D61:M61">TRANSPOSE(_xlfn._xlws.FILTER('Raw Data'!BU2:BU505,('Raw Data'!B2:B505=8)*('Raw Data'!BU2:BU505&lt;&gt;"")))</f>
        <v>0.98449900000000001</v>
      </c>
      <c r="E61" s="23">
        <v>0.96348400000000001</v>
      </c>
      <c r="F61" s="23">
        <v>0.96260400000000002</v>
      </c>
      <c r="G61" s="26">
        <v>0.96047899999999997</v>
      </c>
      <c r="H61" s="26">
        <v>0.96166499999999999</v>
      </c>
      <c r="I61" s="26">
        <v>0.96420099999999997</v>
      </c>
      <c r="J61" s="26">
        <v>0.96801899999999996</v>
      </c>
      <c r="K61" s="26">
        <v>0.96408499999999997</v>
      </c>
      <c r="L61" s="26">
        <v>0.96607100000000001</v>
      </c>
      <c r="M61" s="26">
        <v>0</v>
      </c>
      <c r="P61" s="22" t="str">
        <f t="shared" si="39"/>
        <v>C7N</v>
      </c>
      <c r="Q61" s="23">
        <f t="shared" si="38"/>
        <v>0.96382599999999996</v>
      </c>
      <c r="R61" s="23">
        <f t="shared" si="40"/>
        <v>0.96382599999999996</v>
      </c>
      <c r="T61" s="38"/>
      <c r="V61" s="23"/>
    </row>
    <row r="62" spans="1:22">
      <c r="A62" s="38" t="s">
        <v>29</v>
      </c>
      <c r="B62" s="2" t="s">
        <v>8</v>
      </c>
      <c r="C62" s="95">
        <f>Reactor1!C62</f>
        <v>0.91300000000000003</v>
      </c>
      <c r="D62" s="23" cm="1">
        <f t="array" ref="D62:M62">TRANSPOSE(_xlfn._xlws.FILTER('Raw Data'!BV2:BV505,('Raw Data'!B2:B505=8)*('Raw Data'!BV2:BV505&lt;&gt;"")))</f>
        <v>0</v>
      </c>
      <c r="E62" s="23">
        <v>0</v>
      </c>
      <c r="F62" s="23">
        <v>0</v>
      </c>
      <c r="G62" s="26">
        <v>0</v>
      </c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P62" s="22" t="str">
        <f t="shared" si="39"/>
        <v>Toluene</v>
      </c>
      <c r="Q62" s="23">
        <f t="shared" si="38"/>
        <v>0</v>
      </c>
      <c r="R62" s="23">
        <f t="shared" si="40"/>
        <v>0</v>
      </c>
      <c r="T62" s="38"/>
      <c r="V62" s="23"/>
    </row>
    <row r="63" spans="1:22">
      <c r="A63" s="38" t="s">
        <v>30</v>
      </c>
      <c r="B63" s="2" t="s">
        <v>8</v>
      </c>
      <c r="C63" s="95">
        <f>Reactor1!C63</f>
        <v>0.84099999999999997</v>
      </c>
      <c r="D63" s="23" cm="1">
        <f t="array" ref="D63:M63">TRANSPOSE(_xlfn._xlws.FILTER('Raw Data'!BW2:BW505,('Raw Data'!B2:B505=8)*('Raw Data'!BW2:BW505&lt;&gt;"")))</f>
        <v>13.977783000000001</v>
      </c>
      <c r="E63" s="23">
        <v>13.384019</v>
      </c>
      <c r="F63" s="23">
        <v>13.392550999999999</v>
      </c>
      <c r="G63" s="26">
        <v>13.394287</v>
      </c>
      <c r="H63" s="26">
        <v>13.400995</v>
      </c>
      <c r="I63" s="26">
        <v>13.436624</v>
      </c>
      <c r="J63" s="26">
        <v>13.453212000000001</v>
      </c>
      <c r="K63" s="26">
        <v>13.491565</v>
      </c>
      <c r="L63" s="26">
        <v>13.471935999999999</v>
      </c>
      <c r="M63" s="26">
        <v>3.2290589999999999</v>
      </c>
      <c r="P63" s="22" t="str">
        <f t="shared" si="39"/>
        <v>C8P</v>
      </c>
      <c r="Q63" s="23">
        <f t="shared" si="38"/>
        <v>13.428148625</v>
      </c>
      <c r="R63" s="23">
        <f>Q63+SUM(Q64:Q71,Q77)</f>
        <v>14.219771250000001</v>
      </c>
      <c r="T63" s="38"/>
      <c r="V63" s="23"/>
    </row>
    <row r="64" spans="1:22">
      <c r="A64" s="22" t="s">
        <v>636</v>
      </c>
      <c r="B64" s="2" t="s">
        <v>8</v>
      </c>
      <c r="C64" s="95">
        <f>Reactor1!C64</f>
        <v>0.85629999999999995</v>
      </c>
      <c r="D64" s="23" cm="1">
        <f t="array" ref="D64:M64">TRANSPOSE(_xlfn._xlws.FILTER('Raw Data'!BX2:BX505,('Raw Data'!B2:B505=8)*('Raw Data'!BX2:BX505&lt;&gt;"")))</f>
        <v>0.48474400000000001</v>
      </c>
      <c r="E64" s="23">
        <v>0.472277</v>
      </c>
      <c r="F64" s="23">
        <v>0.38861800000000002</v>
      </c>
      <c r="G64" s="26">
        <v>0.391511</v>
      </c>
      <c r="H64" s="26">
        <v>0.39061099999999999</v>
      </c>
      <c r="I64" s="26">
        <v>0.39619500000000002</v>
      </c>
      <c r="J64" s="26">
        <v>0.396069</v>
      </c>
      <c r="K64" s="26">
        <v>0.394015</v>
      </c>
      <c r="L64" s="26">
        <v>0.387822</v>
      </c>
      <c r="M64" s="26">
        <v>0</v>
      </c>
      <c r="P64" s="22" t="str">
        <f t="shared" si="39"/>
        <v>C8N</v>
      </c>
      <c r="Q64" s="23">
        <f t="shared" ref="Q64:Q77" si="41">AVERAGE(E64:L64)</f>
        <v>0.40213974999999996</v>
      </c>
      <c r="T64" s="38"/>
      <c r="V64" s="23"/>
    </row>
    <row r="65" spans="1:22">
      <c r="A65" s="22" t="s">
        <v>637</v>
      </c>
      <c r="B65" s="2" t="s">
        <v>8</v>
      </c>
      <c r="C65" s="95">
        <f>Reactor1!C65</f>
        <v>0.90600000000000003</v>
      </c>
      <c r="D65" s="23" cm="1">
        <f t="array" ref="D65:M65">TRANSPOSE(_xlfn._xlws.FILTER('Raw Data'!BY2:BY505,('Raw Data'!B2:B505=8)*('Raw Data'!BY2:BY505&lt;&gt;"")))</f>
        <v>0</v>
      </c>
      <c r="E65" s="23">
        <v>0</v>
      </c>
      <c r="F65" s="23">
        <v>0</v>
      </c>
      <c r="G65" s="26">
        <v>0</v>
      </c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P65" s="22" t="str">
        <f t="shared" si="39"/>
        <v>C8A</v>
      </c>
      <c r="Q65" s="23">
        <f t="shared" si="41"/>
        <v>0</v>
      </c>
      <c r="R65" s="23"/>
      <c r="T65" s="38"/>
      <c r="V65" s="23"/>
    </row>
    <row r="66" spans="1:22">
      <c r="A66" s="22" t="s">
        <v>638</v>
      </c>
      <c r="B66" s="2" t="s">
        <v>8</v>
      </c>
      <c r="C66" s="95">
        <f>Reactor1!C66</f>
        <v>0.84299999999999997</v>
      </c>
      <c r="D66" s="23" cm="1">
        <f t="array" ref="D66:M66">TRANSPOSE(_xlfn._xlws.FILTER('Raw Data'!BZ2:BZ505,('Raw Data'!B2:B505=8)*('Raw Data'!BZ2:BZ505&lt;&gt;"")))</f>
        <v>0.18692800000000001</v>
      </c>
      <c r="E66" s="23">
        <v>0.17307400000000001</v>
      </c>
      <c r="F66" s="23">
        <v>0.173258</v>
      </c>
      <c r="G66" s="26">
        <v>0.17235300000000001</v>
      </c>
      <c r="H66" s="26">
        <v>0.17163100000000001</v>
      </c>
      <c r="I66" s="26">
        <v>0.17275199999999999</v>
      </c>
      <c r="J66" s="26">
        <v>0.173461</v>
      </c>
      <c r="K66" s="26">
        <v>0.173987</v>
      </c>
      <c r="L66" s="26">
        <v>0.16603499999999999</v>
      </c>
      <c r="M66" s="26">
        <v>0</v>
      </c>
      <c r="P66" s="22" t="str">
        <f t="shared" si="39"/>
        <v>C9P</v>
      </c>
      <c r="Q66" s="23">
        <f t="shared" si="41"/>
        <v>0.17206887500000001</v>
      </c>
      <c r="T66" s="38"/>
      <c r="V66" s="23"/>
    </row>
    <row r="67" spans="1:22" ht="16.5">
      <c r="A67" s="22" t="s">
        <v>639</v>
      </c>
      <c r="B67" s="2" t="s">
        <v>8</v>
      </c>
      <c r="C67" s="95">
        <f>Reactor1!C67</f>
        <v>0.85699999999999998</v>
      </c>
      <c r="D67" s="23" cm="1">
        <f t="array" ref="D67:M67">TRANSPOSE(_xlfn._xlws.FILTER('Raw Data'!CA2:CA505,('Raw Data'!B2:B505=8)*('Raw Data'!CA2:CA505&lt;&gt;"")))</f>
        <v>1.8429000000000001E-2</v>
      </c>
      <c r="E67" s="23">
        <v>1.6542000000000001E-2</v>
      </c>
      <c r="F67" s="23">
        <v>1.6293999999999999E-2</v>
      </c>
      <c r="G67" s="26">
        <v>1.6851999999999999E-2</v>
      </c>
      <c r="H67" s="26">
        <v>1.6584999999999999E-2</v>
      </c>
      <c r="I67" s="26">
        <v>1.6451E-2</v>
      </c>
      <c r="J67" s="26">
        <v>1.6722000000000001E-2</v>
      </c>
      <c r="K67" s="26">
        <v>1.7208000000000001E-2</v>
      </c>
      <c r="L67" s="26">
        <v>1.6677999999999998E-2</v>
      </c>
      <c r="M67" s="26">
        <v>0</v>
      </c>
      <c r="P67" s="22" t="str">
        <f t="shared" si="39"/>
        <v>C9N</v>
      </c>
      <c r="Q67" s="23">
        <f t="shared" si="41"/>
        <v>1.6666500000000001E-2</v>
      </c>
      <c r="T67" s="137"/>
      <c r="V67" s="23"/>
    </row>
    <row r="68" spans="1:22">
      <c r="A68" s="22" t="s">
        <v>640</v>
      </c>
      <c r="B68" s="2" t="s">
        <v>8</v>
      </c>
      <c r="C68" s="95">
        <f>Reactor1!C68</f>
        <v>0.9</v>
      </c>
      <c r="D68" s="23" cm="1">
        <f t="array" ref="D68:M68">TRANSPOSE(_xlfn._xlws.FILTER('Raw Data'!CB2:CB505,('Raw Data'!B2:B505=8)*('Raw Data'!CB2:CB505&lt;&gt;"")))</f>
        <v>0</v>
      </c>
      <c r="E68" s="23">
        <v>0</v>
      </c>
      <c r="F68" s="23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P68" s="22" t="str">
        <f t="shared" si="39"/>
        <v>C9A</v>
      </c>
      <c r="Q68" s="23">
        <f t="shared" si="41"/>
        <v>0</v>
      </c>
      <c r="T68" s="38"/>
      <c r="V68" s="23"/>
    </row>
    <row r="69" spans="1:22">
      <c r="A69" s="22" t="s">
        <v>641</v>
      </c>
      <c r="B69" s="2" t="s">
        <v>8</v>
      </c>
      <c r="C69" s="95">
        <f>Reactor1!C69</f>
        <v>0.84399999999999997</v>
      </c>
      <c r="D69" s="23" cm="1">
        <f t="array" ref="D69:M69">TRANSPOSE(_xlfn._xlws.FILTER('Raw Data'!CC2:CC505,('Raw Data'!B2:B505=8)*('Raw Data'!CC2:CC505&lt;&gt;"")))</f>
        <v>0</v>
      </c>
      <c r="E69" s="23">
        <v>0</v>
      </c>
      <c r="F69" s="23">
        <v>0</v>
      </c>
      <c r="G69" s="26">
        <v>0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P69" s="22" t="str">
        <f t="shared" si="39"/>
        <v>C10P</v>
      </c>
      <c r="Q69" s="23">
        <f t="shared" si="41"/>
        <v>0</v>
      </c>
      <c r="T69" s="22"/>
    </row>
    <row r="70" spans="1:22">
      <c r="A70" s="22" t="s">
        <v>642</v>
      </c>
      <c r="B70" s="2" t="s">
        <v>8</v>
      </c>
      <c r="C70" s="95">
        <f>Reactor1!C70</f>
        <v>0.85709999999999997</v>
      </c>
      <c r="D70" s="23" cm="1">
        <f t="array" ref="D70:M70">TRANSPOSE(_xlfn._xlws.FILTER('Raw Data'!CD2:CD505,('Raw Data'!B2:B505=8)*('Raw Data'!CD2:CD505&lt;&gt;"")))</f>
        <v>0</v>
      </c>
      <c r="E70" s="23">
        <v>0</v>
      </c>
      <c r="F70" s="23">
        <v>0</v>
      </c>
      <c r="G70" s="26">
        <v>0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P70" s="22" t="str">
        <f t="shared" si="39"/>
        <v>C10N</v>
      </c>
      <c r="Q70" s="23">
        <f t="shared" si="41"/>
        <v>0</v>
      </c>
      <c r="T70" s="22"/>
    </row>
    <row r="71" spans="1:22">
      <c r="A71" s="22" t="s">
        <v>643</v>
      </c>
      <c r="B71" s="2" t="s">
        <v>8</v>
      </c>
      <c r="C71" s="95">
        <f>Reactor1!C71</f>
        <v>0.89600000000000002</v>
      </c>
      <c r="D71" s="23" cm="1">
        <f t="array" ref="D71:M71">TRANSPOSE(_xlfn._xlws.FILTER('Raw Data'!CE2:CE505,('Raw Data'!B2:B505=8)*('Raw Data'!CE2:CE505&lt;&gt;"")))</f>
        <v>0</v>
      </c>
      <c r="E71" s="23">
        <v>0</v>
      </c>
      <c r="F71" s="23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P71" s="22" t="str">
        <f t="shared" si="39"/>
        <v>C10A</v>
      </c>
      <c r="Q71" s="23">
        <f t="shared" si="41"/>
        <v>0</v>
      </c>
      <c r="T71" s="22"/>
    </row>
    <row r="72" spans="1:22">
      <c r="A72" s="22" t="s">
        <v>76</v>
      </c>
      <c r="B72" s="2" t="s">
        <v>8</v>
      </c>
      <c r="C72" s="95">
        <f>Reactor1!C72</f>
        <v>0.79</v>
      </c>
      <c r="D72" s="23" cm="1">
        <f t="array" ref="D72:M72">TRANSPOSE(_xlfn._xlws.FILTER('Raw Data'!CF2:CF505,('Raw Data'!B2:B505=8)*('Raw Data'!CF2:CF505&lt;&gt;"")))</f>
        <v>0</v>
      </c>
      <c r="E72" s="23">
        <v>0</v>
      </c>
      <c r="F72" s="23">
        <v>0</v>
      </c>
      <c r="G72" s="26">
        <v>1.2626E-2</v>
      </c>
      <c r="H72" s="26">
        <v>0</v>
      </c>
      <c r="I72" s="26">
        <v>0</v>
      </c>
      <c r="J72" s="26">
        <v>0</v>
      </c>
      <c r="K72" s="26">
        <v>7.6429999999999996E-3</v>
      </c>
      <c r="L72" s="26">
        <v>7.7270000000000004E-3</v>
      </c>
      <c r="M72" s="26">
        <v>0</v>
      </c>
      <c r="P72" s="22" t="str">
        <f t="shared" si="39"/>
        <v>C3 &amp; Below</v>
      </c>
      <c r="Q72" s="23">
        <f t="shared" si="41"/>
        <v>3.4995E-3</v>
      </c>
      <c r="R72" s="23">
        <f>SUM(Q72:Q76)</f>
        <v>0.43219037500000002</v>
      </c>
      <c r="T72" s="22"/>
    </row>
    <row r="73" spans="1:22">
      <c r="A73" s="22" t="s">
        <v>77</v>
      </c>
      <c r="B73" s="2" t="s">
        <v>8</v>
      </c>
      <c r="C73" s="95">
        <f>Reactor1!C73</f>
        <v>0.83</v>
      </c>
      <c r="D73" s="23" cm="1">
        <f t="array" ref="D73:M73">TRANSPOSE(_xlfn._xlws.FILTER('Raw Data'!CG2:CG505,('Raw Data'!B2:B505=8)*('Raw Data'!CG2:CG505&lt;&gt;"")))</f>
        <v>3.3335999999999998E-2</v>
      </c>
      <c r="E73" s="23">
        <v>2.5135999999999999E-2</v>
      </c>
      <c r="F73" s="23">
        <v>2.3764E-2</v>
      </c>
      <c r="G73" s="26">
        <v>2.1833999999999999E-2</v>
      </c>
      <c r="H73" s="26">
        <v>2.3123000000000001E-2</v>
      </c>
      <c r="I73" s="26">
        <v>2.1165E-2</v>
      </c>
      <c r="J73" s="26">
        <v>2.0382999999999998E-2</v>
      </c>
      <c r="K73" s="26">
        <v>1.9732E-2</v>
      </c>
      <c r="L73" s="26">
        <v>2.0598999999999999E-2</v>
      </c>
      <c r="M73" s="26">
        <v>0</v>
      </c>
      <c r="P73" s="22" t="str">
        <f t="shared" si="39"/>
        <v>C4-C5 Unknowns</v>
      </c>
      <c r="Q73" s="23">
        <f t="shared" si="41"/>
        <v>2.1967E-2</v>
      </c>
      <c r="T73" s="22"/>
    </row>
    <row r="74" spans="1:22">
      <c r="A74" s="22" t="s">
        <v>78</v>
      </c>
      <c r="B74" s="2" t="s">
        <v>8</v>
      </c>
      <c r="C74" s="95">
        <f>Reactor1!C74</f>
        <v>0.83499999999999996</v>
      </c>
      <c r="D74" s="23" cm="1">
        <f t="array" ref="D74:M74">TRANSPOSE(_xlfn._xlws.FILTER('Raw Data'!CH2:CH505,('Raw Data'!B2:B505=8)*('Raw Data'!CH2:CH505&lt;&gt;"")))</f>
        <v>5.0859000000000001E-2</v>
      </c>
      <c r="E74" s="23">
        <v>5.0466999999999998E-2</v>
      </c>
      <c r="F74" s="23">
        <v>4.4407000000000002E-2</v>
      </c>
      <c r="G74" s="26">
        <v>4.4130000000000003E-2</v>
      </c>
      <c r="H74" s="26">
        <v>5.2604999999999999E-2</v>
      </c>
      <c r="I74" s="26">
        <v>4.3999999999999997E-2</v>
      </c>
      <c r="J74" s="26">
        <v>5.0361000000000003E-2</v>
      </c>
      <c r="K74" s="26">
        <v>4.2354999999999997E-2</v>
      </c>
      <c r="L74" s="26">
        <v>5.0583999999999997E-2</v>
      </c>
      <c r="M74" s="26">
        <v>0</v>
      </c>
      <c r="P74" s="22" t="str">
        <f t="shared" si="39"/>
        <v>C5-C6 Unknowns</v>
      </c>
      <c r="Q74" s="23">
        <f t="shared" si="41"/>
        <v>4.7363624999999999E-2</v>
      </c>
    </row>
    <row r="75" spans="1:22">
      <c r="A75" s="22" t="s">
        <v>79</v>
      </c>
      <c r="B75" s="2" t="s">
        <v>8</v>
      </c>
      <c r="C75" s="95">
        <f>Reactor1!C75</f>
        <v>0.83860000000000001</v>
      </c>
      <c r="D75" s="23" cm="1">
        <f t="array" ref="D75:M75">TRANSPOSE(_xlfn._xlws.FILTER('Raw Data'!CI2:CI505,('Raw Data'!B2:B505=8)*('Raw Data'!CI2:CI505&lt;&gt;"")))</f>
        <v>0.16158800000000001</v>
      </c>
      <c r="E75" s="23">
        <v>0.155942</v>
      </c>
      <c r="F75" s="23">
        <v>0.154728</v>
      </c>
      <c r="G75" s="26">
        <v>0.15463199999999999</v>
      </c>
      <c r="H75" s="26">
        <v>0.176343</v>
      </c>
      <c r="I75" s="26">
        <v>0.15683900000000001</v>
      </c>
      <c r="J75" s="26">
        <v>0.154443</v>
      </c>
      <c r="K75" s="26">
        <v>0.157556</v>
      </c>
      <c r="L75" s="26">
        <v>0.159107</v>
      </c>
      <c r="M75" s="26">
        <v>0</v>
      </c>
      <c r="P75" s="22" t="str">
        <f t="shared" si="39"/>
        <v>C6-C7 Unknowns</v>
      </c>
      <c r="Q75" s="23">
        <f t="shared" si="41"/>
        <v>0.15869875</v>
      </c>
    </row>
    <row r="76" spans="1:22">
      <c r="A76" s="22" t="s">
        <v>80</v>
      </c>
      <c r="B76" s="2" t="s">
        <v>8</v>
      </c>
      <c r="C76" s="95">
        <f>Reactor1!C76</f>
        <v>0.84060000000000001</v>
      </c>
      <c r="D76" s="23" cm="1">
        <f t="array" ref="D76:M76">TRANSPOSE(_xlfn._xlws.FILTER('Raw Data'!CJ2:CJ505,('Raw Data'!B2:B505=8)*('Raw Data'!CJ2:CJ505&lt;&gt;"")))</f>
        <v>0.216423</v>
      </c>
      <c r="E76" s="23">
        <v>0.20449300000000001</v>
      </c>
      <c r="F76" s="23">
        <v>0.20524200000000001</v>
      </c>
      <c r="G76" s="26">
        <v>0.204732</v>
      </c>
      <c r="H76" s="26">
        <v>0.20286599999999999</v>
      </c>
      <c r="I76" s="26">
        <v>0.20419999999999999</v>
      </c>
      <c r="J76" s="26">
        <v>0.21004500000000001</v>
      </c>
      <c r="K76" s="26">
        <v>0.16825899999999999</v>
      </c>
      <c r="L76" s="26">
        <v>0.205455</v>
      </c>
      <c r="M76" s="26">
        <v>0</v>
      </c>
      <c r="P76" s="22" t="str">
        <f t="shared" si="39"/>
        <v>C7-C8 Unknowns</v>
      </c>
      <c r="Q76" s="23">
        <f t="shared" si="41"/>
        <v>0.20066149999999999</v>
      </c>
    </row>
    <row r="77" spans="1:22">
      <c r="A77" s="22" t="s">
        <v>644</v>
      </c>
      <c r="B77" s="2" t="s">
        <v>8</v>
      </c>
      <c r="C77" s="95">
        <f>Reactor1!C77</f>
        <v>0.84799999999999998</v>
      </c>
      <c r="D77" s="23" cm="1">
        <f t="array" ref="D77:M77">TRANSPOSE(_xlfn._xlws.FILTER('Raw Data'!CK2:CK505,('Raw Data'!B2:B505=8)*('Raw Data'!CK2:CK505&lt;&gt;"")))</f>
        <v>0.219027</v>
      </c>
      <c r="E77" s="23">
        <v>0.197742</v>
      </c>
      <c r="F77" s="23">
        <v>0.20052</v>
      </c>
      <c r="G77" s="26">
        <v>0.19917699999999999</v>
      </c>
      <c r="H77" s="26">
        <v>0.200491</v>
      </c>
      <c r="I77" s="26">
        <v>0.200095</v>
      </c>
      <c r="J77" s="26">
        <v>0.202321</v>
      </c>
      <c r="K77" s="26">
        <v>0.20192299999999999</v>
      </c>
      <c r="L77" s="26">
        <v>0.203711</v>
      </c>
      <c r="M77" s="26">
        <v>0</v>
      </c>
      <c r="P77" s="22" t="str">
        <f t="shared" si="39"/>
        <v>C8 Plus</v>
      </c>
      <c r="Q77" s="23">
        <f t="shared" si="41"/>
        <v>0.20074750000000002</v>
      </c>
    </row>
    <row r="78" spans="1:22">
      <c r="A78" s="22" t="s">
        <v>81</v>
      </c>
      <c r="B78" s="2" t="s">
        <v>8</v>
      </c>
      <c r="D78" s="39">
        <f t="shared" ref="D78:M78" si="42">SUM(D42:D77)</f>
        <v>100.031643</v>
      </c>
      <c r="E78" s="39">
        <f t="shared" si="42"/>
        <v>100.01194299999999</v>
      </c>
      <c r="F78" s="39">
        <f t="shared" si="42"/>
        <v>99.998117000000008</v>
      </c>
      <c r="G78" s="39">
        <f t="shared" si="42"/>
        <v>100.01261300000003</v>
      </c>
      <c r="H78" s="26">
        <f t="shared" si="42"/>
        <v>99.999989999999997</v>
      </c>
      <c r="I78" s="26">
        <f t="shared" si="42"/>
        <v>99.999997000000008</v>
      </c>
      <c r="J78" s="26">
        <f t="shared" si="42"/>
        <v>100.00000599999997</v>
      </c>
      <c r="K78" s="26">
        <f t="shared" si="42"/>
        <v>100.00763499999999</v>
      </c>
      <c r="L78" s="26">
        <f t="shared" si="42"/>
        <v>99.998768999999982</v>
      </c>
      <c r="M78" s="26">
        <f t="shared" si="42"/>
        <v>100.00000300000002</v>
      </c>
      <c r="Q78" s="79">
        <f>SUM(Q42:Q77)</f>
        <v>100.00363375000001</v>
      </c>
    </row>
    <row r="79" spans="1:22" s="133" customFormat="1">
      <c r="A79" s="131"/>
      <c r="B79" s="131"/>
      <c r="C79" s="131"/>
      <c r="D79" s="136"/>
      <c r="E79" s="136"/>
      <c r="F79" s="136"/>
      <c r="G79" s="136"/>
      <c r="H79" s="136"/>
      <c r="I79" s="136"/>
      <c r="J79" s="136"/>
      <c r="K79" s="136"/>
      <c r="L79" s="136"/>
      <c r="M79" s="131"/>
      <c r="R79" s="131"/>
    </row>
    <row r="80" spans="1:22">
      <c r="A80" s="38" t="s">
        <v>9</v>
      </c>
      <c r="B80" s="2" t="s">
        <v>74</v>
      </c>
      <c r="D80" s="23">
        <f>(D36*D42)/(D37)</f>
        <v>0</v>
      </c>
      <c r="E80" s="23">
        <f>(E36*E42)/(E37)</f>
        <v>0</v>
      </c>
      <c r="F80" s="23">
        <f>(F36*F42)/(F37)</f>
        <v>0</v>
      </c>
      <c r="G80" s="23">
        <f>(G36*G42)/(G37)</f>
        <v>0</v>
      </c>
      <c r="H80" s="23">
        <f t="shared" ref="H80:I80" si="43">(H36*H42)/(H37)</f>
        <v>0</v>
      </c>
      <c r="I80" s="23">
        <f t="shared" si="43"/>
        <v>0</v>
      </c>
      <c r="J80" s="23">
        <f t="shared" ref="J80:L80" si="44">(J36*J42)/(J37)</f>
        <v>0</v>
      </c>
      <c r="K80" s="23">
        <f t="shared" si="44"/>
        <v>0</v>
      </c>
      <c r="L80" s="23">
        <f t="shared" si="44"/>
        <v>0</v>
      </c>
    </row>
    <row r="81" spans="1:12">
      <c r="A81" s="38" t="s">
        <v>10</v>
      </c>
      <c r="B81" s="2" t="s">
        <v>74</v>
      </c>
      <c r="D81" s="23">
        <f>(D36*D43)/(D37)</f>
        <v>0</v>
      </c>
      <c r="E81" s="23">
        <f>(E36*E43)/(E37)</f>
        <v>0</v>
      </c>
      <c r="F81" s="23">
        <f>(F36*F43)/(F37)</f>
        <v>0</v>
      </c>
      <c r="G81" s="23">
        <f>(G36*G43)/(G37)</f>
        <v>0</v>
      </c>
      <c r="H81" s="23">
        <f t="shared" ref="H81:I81" si="45">(H36*H43)/(H37)</f>
        <v>0</v>
      </c>
      <c r="I81" s="23">
        <f t="shared" si="45"/>
        <v>0</v>
      </c>
      <c r="J81" s="23">
        <f t="shared" ref="J81:L81" si="46">(J36*J43)/(J37)</f>
        <v>0</v>
      </c>
      <c r="K81" s="23">
        <f t="shared" si="46"/>
        <v>0</v>
      </c>
      <c r="L81" s="23">
        <f t="shared" si="46"/>
        <v>0</v>
      </c>
    </row>
    <row r="82" spans="1:12">
      <c r="A82" s="38" t="s">
        <v>11</v>
      </c>
      <c r="B82" s="2" t="s">
        <v>74</v>
      </c>
      <c r="D82" s="23">
        <f>(D36*D44)/(D37)</f>
        <v>4.217973460548069E-2</v>
      </c>
      <c r="E82" s="23">
        <f>(E36*E44)/(E37)</f>
        <v>4.4173663307328831E-2</v>
      </c>
      <c r="F82" s="23">
        <f>(F36*F44)/(F37)</f>
        <v>4.533172503698879E-2</v>
      </c>
      <c r="G82" s="23">
        <f>(G36*G44)/(G37)</f>
        <v>4.7527071384369998E-2</v>
      </c>
      <c r="H82" s="23">
        <f t="shared" ref="H82:I82" si="47">(H36*H44)/(H37)</f>
        <v>4.59469968353617E-2</v>
      </c>
      <c r="I82" s="23">
        <f t="shared" si="47"/>
        <v>4.806871418180076E-2</v>
      </c>
      <c r="J82" s="23">
        <f t="shared" ref="J82:L82" si="48">(J36*J44)/(J37)</f>
        <v>4.2260736460058318E-2</v>
      </c>
      <c r="K82" s="23">
        <f t="shared" si="48"/>
        <v>4.1771265153699576E-2</v>
      </c>
      <c r="L82" s="23">
        <f t="shared" si="48"/>
        <v>4.0334572350762828E-2</v>
      </c>
    </row>
    <row r="83" spans="1:12">
      <c r="A83" s="38" t="s">
        <v>12</v>
      </c>
      <c r="B83" s="2" t="s">
        <v>74</v>
      </c>
      <c r="D83" s="23">
        <f>(D36*D45)/(D37)</f>
        <v>1.6073493509551542</v>
      </c>
      <c r="E83" s="23">
        <f>(E36*E45)/(E37)</f>
        <v>1.6407846763748546</v>
      </c>
      <c r="F83" s="23">
        <f>(F36*F45)/(F37)</f>
        <v>1.6415854028464867</v>
      </c>
      <c r="G83" s="23">
        <f>(G36*G45)/(G37)</f>
        <v>1.6186546748579602</v>
      </c>
      <c r="H83" s="23">
        <f t="shared" ref="H83:I83" si="49">(H36*H45)/(H37)</f>
        <v>1.6109845465664747</v>
      </c>
      <c r="I83" s="23">
        <f t="shared" si="49"/>
        <v>1.6048718739817909</v>
      </c>
      <c r="J83" s="23">
        <f t="shared" ref="J83:L83" si="50">(J36*J45)/(J37)</f>
        <v>1.5717436702533976</v>
      </c>
      <c r="K83" s="23">
        <f t="shared" si="50"/>
        <v>1.5721422721968707</v>
      </c>
      <c r="L83" s="23">
        <f t="shared" si="50"/>
        <v>1.568800364634396</v>
      </c>
    </row>
    <row r="84" spans="1:12">
      <c r="A84" s="38" t="s">
        <v>13</v>
      </c>
      <c r="B84" s="2" t="s">
        <v>74</v>
      </c>
      <c r="D84" s="23">
        <f>(D36*D46)/(D37)</f>
        <v>0.28746794337131371</v>
      </c>
      <c r="E84" s="23">
        <f>(E36*E46)/(E37)</f>
        <v>0.29530341120524228</v>
      </c>
      <c r="F84" s="23">
        <f>(F36*F46)/(F37)</f>
        <v>0.29734680797314722</v>
      </c>
      <c r="G84" s="23">
        <f>(G36*G46)/(G37)</f>
        <v>0.30027685367782447</v>
      </c>
      <c r="H84" s="23">
        <f t="shared" ref="H84:I84" si="51">(H36*H46)/(H37)</f>
        <v>0.29632029418200995</v>
      </c>
      <c r="I84" s="23">
        <f t="shared" si="51"/>
        <v>0.29953563218189133</v>
      </c>
      <c r="J84" s="23">
        <f t="shared" ref="J84:L84" si="52">(J36*J46)/(J37)</f>
        <v>0.28588604496868208</v>
      </c>
      <c r="K84" s="23">
        <f t="shared" si="52"/>
        <v>0.28556108332503261</v>
      </c>
      <c r="L84" s="23">
        <f t="shared" si="52"/>
        <v>0.28258523302509031</v>
      </c>
    </row>
    <row r="85" spans="1:12">
      <c r="A85" s="38" t="s">
        <v>14</v>
      </c>
      <c r="B85" s="2" t="s">
        <v>74</v>
      </c>
      <c r="D85" s="23">
        <f>(D36*D47)/(D37)</f>
        <v>12.610215825169552</v>
      </c>
      <c r="E85" s="23">
        <f>(E36*E47)/(E37)</f>
        <v>12.889621348332483</v>
      </c>
      <c r="F85" s="23">
        <f>(F36*F47)/(F37)</f>
        <v>12.900485254574349</v>
      </c>
      <c r="G85" s="23">
        <f>(G36*G47)/(G37)</f>
        <v>12.881085371972885</v>
      </c>
      <c r="H85" s="23">
        <f t="shared" ref="H85:I85" si="53">(H36*H47)/(H37)</f>
        <v>12.861162373783561</v>
      </c>
      <c r="I85" s="23">
        <f t="shared" si="53"/>
        <v>12.839616588676552</v>
      </c>
      <c r="J85" s="23">
        <f t="shared" ref="J85:L85" si="54">(J36*J47)/(J37)</f>
        <v>12.81866066596613</v>
      </c>
      <c r="K85" s="23">
        <f t="shared" si="54"/>
        <v>12.806423750619611</v>
      </c>
      <c r="L85" s="23">
        <f t="shared" si="54"/>
        <v>12.800297698379884</v>
      </c>
    </row>
    <row r="86" spans="1:12">
      <c r="A86" s="38" t="s">
        <v>15</v>
      </c>
      <c r="B86" s="2" t="s">
        <v>74</v>
      </c>
      <c r="D86" s="23">
        <f>(D36*D48)/(D37)</f>
        <v>7.4255022979475518</v>
      </c>
      <c r="E86" s="23">
        <f>(E36*E48)/(E37)</f>
        <v>7.5920844178383193</v>
      </c>
      <c r="F86" s="23">
        <f>(F36*F48)/(F37)</f>
        <v>7.6004200390696033</v>
      </c>
      <c r="G86" s="23">
        <f>(G36*G48)/(G37)</f>
        <v>7.5767207231048248</v>
      </c>
      <c r="H86" s="23">
        <f t="shared" ref="H86:I86" si="55">(H36*H48)/(H37)</f>
        <v>7.5596092223762312</v>
      </c>
      <c r="I86" s="23">
        <f t="shared" si="55"/>
        <v>7.546898228961509</v>
      </c>
      <c r="J86" s="23">
        <f t="shared" ref="J86:L86" si="56">(J36*J48)/(J37)</f>
        <v>7.5146209493980161</v>
      </c>
      <c r="K86" s="23">
        <f t="shared" si="56"/>
        <v>7.5098911830388051</v>
      </c>
      <c r="L86" s="23">
        <f t="shared" si="56"/>
        <v>7.5030011751789552</v>
      </c>
    </row>
    <row r="87" spans="1:12">
      <c r="A87" s="38" t="s">
        <v>16</v>
      </c>
      <c r="B87" s="2" t="s">
        <v>74</v>
      </c>
      <c r="D87" s="23">
        <f>(D36*D49)/(D37)</f>
        <v>0</v>
      </c>
      <c r="E87" s="23">
        <f>(E36*E49)/(E37)</f>
        <v>0</v>
      </c>
      <c r="F87" s="23">
        <f>(F36*F49)/(F37)</f>
        <v>0</v>
      </c>
      <c r="G87" s="23">
        <f>(G36*G49)/(G37)</f>
        <v>0</v>
      </c>
      <c r="H87" s="23">
        <f t="shared" ref="H87:I87" si="57">(H36*H49)/(H37)</f>
        <v>0</v>
      </c>
      <c r="I87" s="23">
        <f t="shared" si="57"/>
        <v>0</v>
      </c>
      <c r="J87" s="23">
        <f t="shared" ref="J87:L87" si="58">(J36*J49)/(J37)</f>
        <v>0</v>
      </c>
      <c r="K87" s="23">
        <f t="shared" si="58"/>
        <v>0</v>
      </c>
      <c r="L87" s="23">
        <f t="shared" si="58"/>
        <v>0</v>
      </c>
    </row>
    <row r="88" spans="1:12">
      <c r="A88" s="38" t="s">
        <v>17</v>
      </c>
      <c r="B88" s="2" t="s">
        <v>74</v>
      </c>
      <c r="D88" s="23">
        <f>(D36*D50)/(D37)</f>
        <v>17.577721278637764</v>
      </c>
      <c r="E88" s="23">
        <f>(E36*E50)/(E37)</f>
        <v>17.792581720119394</v>
      </c>
      <c r="F88" s="23">
        <f>(F36*F50)/(F37)</f>
        <v>17.803818799731864</v>
      </c>
      <c r="G88" s="23">
        <f>(G36*G50)/(G37)</f>
        <v>17.822486633382802</v>
      </c>
      <c r="H88" s="23">
        <f t="shared" ref="H88:I88" si="59">(H36*H50)/(H37)</f>
        <v>17.827021385276211</v>
      </c>
      <c r="I88" s="23">
        <f t="shared" si="59"/>
        <v>17.822895103173945</v>
      </c>
      <c r="J88" s="23">
        <f t="shared" ref="J88:L88" si="60">(J36*J50)/(J37)</f>
        <v>17.843933863368232</v>
      </c>
      <c r="K88" s="23">
        <f t="shared" si="60"/>
        <v>17.847950030588372</v>
      </c>
      <c r="L88" s="23">
        <f t="shared" si="60"/>
        <v>17.837160623185959</v>
      </c>
    </row>
    <row r="89" spans="1:12">
      <c r="A89" s="38" t="s">
        <v>18</v>
      </c>
      <c r="B89" s="2" t="s">
        <v>74</v>
      </c>
      <c r="D89" s="23">
        <f>(D36*D51)/(D37)</f>
        <v>7.8911242651911202</v>
      </c>
      <c r="E89" s="23">
        <f>(E36*E51)/(E37)</f>
        <v>8.0204692714430532</v>
      </c>
      <c r="F89" s="23">
        <f>(F36*F51)/(F37)</f>
        <v>8.0286781184383216</v>
      </c>
      <c r="G89" s="23">
        <f>(G36*G51)/(G37)</f>
        <v>8.0382961782553046</v>
      </c>
      <c r="H89" s="23">
        <f t="shared" ref="H89:I89" si="61">(H36*H51)/(H37)</f>
        <v>8.0337709391515428</v>
      </c>
      <c r="I89" s="23">
        <f t="shared" si="61"/>
        <v>8.0312577869117234</v>
      </c>
      <c r="J89" s="23">
        <f t="shared" ref="J89:L89" si="62">(J36*J51)/(J37)</f>
        <v>8.0354523467723027</v>
      </c>
      <c r="K89" s="23">
        <f t="shared" si="62"/>
        <v>8.0354538863703553</v>
      </c>
      <c r="L89" s="23">
        <f t="shared" si="62"/>
        <v>8.0323392627497228</v>
      </c>
    </row>
    <row r="90" spans="1:12">
      <c r="A90" s="38" t="s">
        <v>19</v>
      </c>
      <c r="B90" s="2" t="s">
        <v>74</v>
      </c>
      <c r="D90" s="23">
        <f>(D36*D52)/(D37)</f>
        <v>3.6340657380437094</v>
      </c>
      <c r="E90" s="23">
        <f>(E36*E52)/(E37)</f>
        <v>3.6854564282395126</v>
      </c>
      <c r="F90" s="23">
        <f>(F36*F52)/(F37)</f>
        <v>3.6885888545482213</v>
      </c>
      <c r="G90" s="23">
        <f>(G36*G52)/(G37)</f>
        <v>3.6940077955407573</v>
      </c>
      <c r="H90" s="23">
        <f t="shared" ref="H90:I90" si="63">(H36*H52)/(H37)</f>
        <v>3.6926925924516234</v>
      </c>
      <c r="I90" s="23">
        <f t="shared" si="63"/>
        <v>3.692249581553793</v>
      </c>
      <c r="J90" s="23">
        <f t="shared" ref="J90:L90" si="64">(J36*J52)/(J37)</f>
        <v>3.6948066833259552</v>
      </c>
      <c r="K90" s="23">
        <f t="shared" si="64"/>
        <v>3.6929097180850934</v>
      </c>
      <c r="L90" s="23">
        <f t="shared" si="64"/>
        <v>3.6925006281082333</v>
      </c>
    </row>
    <row r="91" spans="1:12">
      <c r="A91" s="38" t="s">
        <v>20</v>
      </c>
      <c r="B91" s="2" t="s">
        <v>74</v>
      </c>
      <c r="D91" s="23">
        <f>(D36*D53)/(D37)</f>
        <v>0.70917824250839223</v>
      </c>
      <c r="E91" s="23">
        <f>(E36*E53)/(E37)</f>
        <v>0.71965901181991498</v>
      </c>
      <c r="F91" s="23">
        <f>(F36*F53)/(F37)</f>
        <v>0.72082727906590738</v>
      </c>
      <c r="G91" s="23">
        <f>(G36*G53)/(G37)</f>
        <v>0.7227661766297433</v>
      </c>
      <c r="H91" s="23">
        <f t="shared" ref="H91:I91" si="65">(H36*H53)/(H37)</f>
        <v>0.72207771460054904</v>
      </c>
      <c r="I91" s="23">
        <f t="shared" si="65"/>
        <v>0.72177440451938768</v>
      </c>
      <c r="J91" s="23">
        <f t="shared" ref="J91:L91" si="66">(J36*J53)/(J37)</f>
        <v>0.72152735656805456</v>
      </c>
      <c r="K91" s="23">
        <f t="shared" si="66"/>
        <v>0.72161021533166914</v>
      </c>
      <c r="L91" s="23">
        <f t="shared" si="66"/>
        <v>0.72133593688339437</v>
      </c>
    </row>
    <row r="92" spans="1:12">
      <c r="A92" s="38" t="s">
        <v>75</v>
      </c>
      <c r="B92" s="2" t="s">
        <v>74</v>
      </c>
      <c r="D92" s="23">
        <f>(D36*D54)/(D37)</f>
        <v>1.6103679779756904E-2</v>
      </c>
      <c r="E92" s="23">
        <f>(E36*E54)/(E37)</f>
        <v>1.6350200223205203E-2</v>
      </c>
      <c r="F92" s="23">
        <f>(F36*F54)/(F37)</f>
        <v>1.6699107242361861E-2</v>
      </c>
      <c r="G92" s="23">
        <f>(G36*G54)/(G37)</f>
        <v>1.6884880839911267E-2</v>
      </c>
      <c r="H92" s="23">
        <f t="shared" ref="H92:I92" si="67">(H36*H54)/(H37)</f>
        <v>1.6592527155363173E-2</v>
      </c>
      <c r="I92" s="23">
        <f t="shared" si="67"/>
        <v>1.6848672868196156E-2</v>
      </c>
      <c r="J92" s="23">
        <f t="shared" ref="J92:L92" si="68">(J36*J54)/(J37)</f>
        <v>1.6732336966576545E-2</v>
      </c>
      <c r="K92" s="23">
        <f t="shared" si="68"/>
        <v>1.6713109948285152E-2</v>
      </c>
      <c r="L92" s="23">
        <f t="shared" si="68"/>
        <v>1.7061893448423036E-2</v>
      </c>
    </row>
    <row r="93" spans="1:12">
      <c r="A93" s="38" t="s">
        <v>22</v>
      </c>
      <c r="B93" s="2" t="s">
        <v>74</v>
      </c>
      <c r="D93" s="23">
        <f>(D36*D55)/(D37)</f>
        <v>0.30785293074831072</v>
      </c>
      <c r="E93" s="23">
        <f>(E36*E55)/(E37)</f>
        <v>0.30605809392535999</v>
      </c>
      <c r="F93" s="23">
        <f>(F36*F55)/(F37)</f>
        <v>0.30617131971855638</v>
      </c>
      <c r="G93" s="23">
        <f>(G36*G55)/(G37)</f>
        <v>0.30533401110086233</v>
      </c>
      <c r="H93" s="23">
        <f t="shared" ref="H93:I93" si="69">(H36*H55)/(H37)</f>
        <v>0.30664996060195016</v>
      </c>
      <c r="I93" s="23">
        <f t="shared" si="69"/>
        <v>0.3060566981675325</v>
      </c>
      <c r="J93" s="23">
        <f t="shared" ref="J93:L93" si="70">(J36*J55)/(J37)</f>
        <v>0.30677619301135839</v>
      </c>
      <c r="K93" s="23">
        <f t="shared" si="70"/>
        <v>0.30673796178456703</v>
      </c>
      <c r="L93" s="23">
        <f t="shared" si="70"/>
        <v>0.30749043264867709</v>
      </c>
    </row>
    <row r="94" spans="1:12">
      <c r="A94" s="38" t="s">
        <v>23</v>
      </c>
      <c r="B94" s="2" t="s">
        <v>74</v>
      </c>
      <c r="D94" s="23">
        <f>(D36*D56)/(D37)</f>
        <v>0.66372474336489573</v>
      </c>
      <c r="E94" s="23">
        <f>(E36*E56)/(E37)</f>
        <v>0.66730874718899014</v>
      </c>
      <c r="F94" s="23">
        <f>(F36*F56)/(F37)</f>
        <v>0.66722157330210907</v>
      </c>
      <c r="G94" s="23">
        <f>(G36*G56)/(G37)</f>
        <v>0.66813026115753671</v>
      </c>
      <c r="H94" s="23">
        <f t="shared" ref="H94:I94" si="71">(H36*H56)/(H37)</f>
        <v>0.66902006367146127</v>
      </c>
      <c r="I94" s="23">
        <f t="shared" si="71"/>
        <v>0.66851886548147121</v>
      </c>
      <c r="J94" s="23">
        <f t="shared" ref="J94:L94" si="72">(J36*J56)/(J37)</f>
        <v>0.66891513186798091</v>
      </c>
      <c r="K94" s="23">
        <f t="shared" si="72"/>
        <v>0.66876760325612217</v>
      </c>
      <c r="L94" s="23">
        <f t="shared" si="72"/>
        <v>0.66847970038621762</v>
      </c>
    </row>
    <row r="95" spans="1:12">
      <c r="A95" s="38" t="s">
        <v>24</v>
      </c>
      <c r="B95" s="2" t="s">
        <v>74</v>
      </c>
      <c r="D95" s="23">
        <f>(D36*D57)/(D37)</f>
        <v>0</v>
      </c>
      <c r="E95" s="23">
        <f>(E36*E57)/(E37)</f>
        <v>0</v>
      </c>
      <c r="F95" s="23">
        <f>(F36*F57)/(F37)</f>
        <v>0</v>
      </c>
      <c r="G95" s="23">
        <f>(G36*G57)/(G37)</f>
        <v>0</v>
      </c>
      <c r="H95" s="23">
        <f t="shared" ref="H95:I95" si="73">(H36*H57)/(H37)</f>
        <v>0</v>
      </c>
      <c r="I95" s="23">
        <f t="shared" si="73"/>
        <v>0</v>
      </c>
      <c r="J95" s="23">
        <f t="shared" ref="J95:L95" si="74">(J36*J57)/(J37)</f>
        <v>0</v>
      </c>
      <c r="K95" s="23">
        <f t="shared" si="74"/>
        <v>0</v>
      </c>
      <c r="L95" s="23">
        <f t="shared" si="74"/>
        <v>0</v>
      </c>
    </row>
    <row r="96" spans="1:12">
      <c r="A96" s="38" t="s">
        <v>25</v>
      </c>
      <c r="B96" s="2" t="s">
        <v>74</v>
      </c>
      <c r="D96" s="23">
        <f>(D36*D58)/(D37)</f>
        <v>16.235768974982992</v>
      </c>
      <c r="E96" s="23">
        <f>(E36*E58)/(E37)</f>
        <v>16.062714123253155</v>
      </c>
      <c r="F96" s="23">
        <f>(F36*F58)/(F37)</f>
        <v>16.052014084065249</v>
      </c>
      <c r="G96" s="23">
        <f>(G36*G58)/(G37)</f>
        <v>16.054893518179146</v>
      </c>
      <c r="H96" s="23">
        <f t="shared" ref="H96:I96" si="75">(H36*H58)/(H37)</f>
        <v>16.067018388425407</v>
      </c>
      <c r="I96" s="23">
        <f t="shared" si="75"/>
        <v>16.084924418840565</v>
      </c>
      <c r="J96" s="23">
        <f t="shared" ref="J96:L96" si="76">(J36*J58)/(J37)</f>
        <v>16.10920580058313</v>
      </c>
      <c r="K96" s="23">
        <f t="shared" si="76"/>
        <v>16.121377381421599</v>
      </c>
      <c r="L96" s="23">
        <f t="shared" si="76"/>
        <v>16.133125284837909</v>
      </c>
    </row>
    <row r="97" spans="1:18">
      <c r="A97" s="38" t="s">
        <v>26</v>
      </c>
      <c r="B97" s="2" t="s">
        <v>74</v>
      </c>
      <c r="D97" s="23">
        <f>(D36*D59)/(D37)</f>
        <v>13.786360759719527</v>
      </c>
      <c r="E97" s="23">
        <f>(E36*E59)/(E37)</f>
        <v>13.754859892800246</v>
      </c>
      <c r="F97" s="23">
        <f>(F36*F59)/(F37)</f>
        <v>13.753101651769121</v>
      </c>
      <c r="G97" s="23">
        <f>(G36*G59)/(G37)</f>
        <v>13.763732985042429</v>
      </c>
      <c r="H97" s="23">
        <f t="shared" ref="H97:I97" si="77">(H36*H59)/(H37)</f>
        <v>13.772833508403432</v>
      </c>
      <c r="I97" s="23">
        <f t="shared" si="77"/>
        <v>13.782174368941259</v>
      </c>
      <c r="J97" s="23">
        <f t="shared" ref="J97:L97" si="78">(J36*J59)/(J37)</f>
        <v>13.802501460701416</v>
      </c>
      <c r="K97" s="23">
        <f t="shared" si="78"/>
        <v>13.810930799998969</v>
      </c>
      <c r="L97" s="23">
        <f t="shared" si="78"/>
        <v>13.816332152021376</v>
      </c>
    </row>
    <row r="98" spans="1:18">
      <c r="A98" s="38" t="s">
        <v>27</v>
      </c>
      <c r="B98" s="2" t="s">
        <v>74</v>
      </c>
      <c r="D98" s="23">
        <f>(D36*D60)/(D37)</f>
        <v>0.94854826140797721</v>
      </c>
      <c r="E98" s="23">
        <f>(E36*E60)/(E37)</f>
        <v>0.94951158173255923</v>
      </c>
      <c r="F98" s="23">
        <f>(F36*F60)/(F37)</f>
        <v>0.99536308452474753</v>
      </c>
      <c r="G98" s="23">
        <f>(G36*G60)/(G37)</f>
        <v>0.99867699931186615</v>
      </c>
      <c r="H98" s="23">
        <f t="shared" ref="H98:I98" si="79">(H36*H60)/(H37)</f>
        <v>1.0004321965178784</v>
      </c>
      <c r="I98" s="23">
        <f t="shared" si="79"/>
        <v>1.0003555445432748</v>
      </c>
      <c r="J98" s="23">
        <f t="shared" ref="J98:L98" si="80">(J36*J60)/(J37)</f>
        <v>0.99933799957189018</v>
      </c>
      <c r="K98" s="23">
        <f t="shared" si="80"/>
        <v>1.0023552327203493</v>
      </c>
      <c r="L98" s="23">
        <f t="shared" si="80"/>
        <v>1.0008392990925927</v>
      </c>
    </row>
    <row r="99" spans="1:18">
      <c r="A99" s="38" t="s">
        <v>28</v>
      </c>
      <c r="B99" s="2" t="s">
        <v>74</v>
      </c>
      <c r="D99" s="23">
        <f>(D36*D61)/(D37)</f>
        <v>0.9850299247897415</v>
      </c>
      <c r="E99" s="23">
        <f>(E36*E61)/(E37)</f>
        <v>0.96426249077888482</v>
      </c>
      <c r="F99" s="23">
        <f>(F36*F61)/(F37)</f>
        <v>0.9635333829602889</v>
      </c>
      <c r="G99" s="23">
        <f>(G36*G61)/(G37)</f>
        <v>0.96126924688738846</v>
      </c>
      <c r="H99" s="23">
        <f t="shared" ref="H99:I99" si="81">(H36*H61)/(H37)</f>
        <v>0.96256576140811512</v>
      </c>
      <c r="I99" s="23">
        <f t="shared" si="81"/>
        <v>0.96509874818437591</v>
      </c>
      <c r="J99" s="23">
        <f t="shared" ref="J99:L99" si="82">(J36*J61)/(J37)</f>
        <v>0.96890710642151467</v>
      </c>
      <c r="K99" s="23">
        <f t="shared" si="82"/>
        <v>0.96489961102416255</v>
      </c>
      <c r="L99" s="23">
        <f t="shared" si="82"/>
        <v>0.96697175088651255</v>
      </c>
    </row>
    <row r="100" spans="1:18" ht="16.5">
      <c r="A100" s="137" t="s">
        <v>29</v>
      </c>
      <c r="B100" s="2" t="s">
        <v>74</v>
      </c>
      <c r="D100" s="23">
        <f>(D36*D62)/(D37)</f>
        <v>0</v>
      </c>
      <c r="E100" s="23">
        <f>(E36*E62)/(E37)</f>
        <v>0</v>
      </c>
      <c r="F100" s="23">
        <f>(F36*F62)/(F37)</f>
        <v>0</v>
      </c>
      <c r="G100" s="23">
        <f>(G36*G62)/(G37)</f>
        <v>0</v>
      </c>
      <c r="H100" s="23">
        <f t="shared" ref="H100:I100" si="83">(H36*H62)/(H37)</f>
        <v>0</v>
      </c>
      <c r="I100" s="23">
        <f t="shared" si="83"/>
        <v>0</v>
      </c>
      <c r="J100" s="23">
        <f t="shared" ref="J100:L100" si="84">(J36*J62)/(J37)</f>
        <v>0</v>
      </c>
      <c r="K100" s="23">
        <f t="shared" si="84"/>
        <v>0</v>
      </c>
      <c r="L100" s="23">
        <f t="shared" si="84"/>
        <v>0</v>
      </c>
    </row>
    <row r="101" spans="1:18">
      <c r="A101" s="38" t="s">
        <v>30</v>
      </c>
      <c r="B101" s="2" t="s">
        <v>74</v>
      </c>
      <c r="D101" s="23">
        <f>(D36*SUM(D63,D64,D65,D66,D67,D68,D69,D70,D71,D77))/(D37)</f>
        <v>14.894939276405131</v>
      </c>
      <c r="E101" s="23">
        <f>(E36*SUM(E63,E64,E65,E66,E67,E68,E69,E70,E71,E77))/(E37)</f>
        <v>14.255162808964783</v>
      </c>
      <c r="F101" s="23">
        <f>(F36*SUM(F63,F64,F65,F66,F67,F68,F69,F70,F71,F77))/(F37)</f>
        <v>14.184923168276409</v>
      </c>
      <c r="G101" s="23">
        <f>(G36*SUM(G63,G64,G65,G66,G67,G68,G69,G70,G71,G77))/(G37)</f>
        <v>14.185841995344285</v>
      </c>
      <c r="H101" s="23">
        <f t="shared" ref="H101:I101" si="85">(H36*SUM(H63,H64,H65,H66,H67,H68,H69,H70,H71,H77))/(H37)</f>
        <v>14.193595253908992</v>
      </c>
      <c r="I101" s="23">
        <f t="shared" si="85"/>
        <v>14.235358927476462</v>
      </c>
      <c r="J101" s="23">
        <f t="shared" ref="J101:L101" si="86">(J36*SUM(J63,J64,J65,J66,J67,J68,J69,J70,J71,J77))/(J37)</f>
        <v>14.25485108724863</v>
      </c>
      <c r="K101" s="23">
        <f t="shared" si="86"/>
        <v>14.290762895524241</v>
      </c>
      <c r="L101" s="23">
        <f t="shared" si="86"/>
        <v>14.259464937864733</v>
      </c>
    </row>
    <row r="102" spans="1:18">
      <c r="A102" s="22" t="s">
        <v>76</v>
      </c>
      <c r="B102" s="2" t="s">
        <v>74</v>
      </c>
      <c r="D102" s="23">
        <f>(D36*D72)/(D37)</f>
        <v>0</v>
      </c>
      <c r="E102" s="23">
        <f>(E36*E72)/(E37)</f>
        <v>0</v>
      </c>
      <c r="F102" s="23">
        <f>(F36*F72)/(F37)</f>
        <v>0</v>
      </c>
      <c r="G102" s="23">
        <f>(G36*G72)/(G37)</f>
        <v>1.2636388209633077E-2</v>
      </c>
      <c r="H102" s="23">
        <f t="shared" ref="H102:I102" si="87">(H36*H72)/(H37)</f>
        <v>0</v>
      </c>
      <c r="I102" s="23">
        <f t="shared" si="87"/>
        <v>0</v>
      </c>
      <c r="J102" s="23">
        <f t="shared" ref="J102:L102" si="88">(J36*J72)/(J37)</f>
        <v>0</v>
      </c>
      <c r="K102" s="23">
        <f t="shared" si="88"/>
        <v>7.649458011542213E-3</v>
      </c>
      <c r="L102" s="23">
        <f t="shared" si="88"/>
        <v>7.7342045451111591E-3</v>
      </c>
    </row>
    <row r="103" spans="1:18">
      <c r="A103" s="22" t="s">
        <v>77</v>
      </c>
      <c r="B103" s="2" t="s">
        <v>74</v>
      </c>
      <c r="D103" s="23">
        <f>(D36*D73)/(D37)</f>
        <v>3.335397757924672E-2</v>
      </c>
      <c r="E103" s="23">
        <f>(E36*E73)/(E37)</f>
        <v>2.5156309775998406E-2</v>
      </c>
      <c r="F103" s="23">
        <f>(F36*F73)/(F37)</f>
        <v>2.3786943865461086E-2</v>
      </c>
      <c r="G103" s="23">
        <f>(G36*G73)/(G37)</f>
        <v>2.1851964214250636E-2</v>
      </c>
      <c r="H103" s="23">
        <f t="shared" ref="H103:I103" si="89">(H36*H73)/(H37)</f>
        <v>2.314465858801126E-2</v>
      </c>
      <c r="I103" s="23">
        <f t="shared" si="89"/>
        <v>2.1184706306384578E-2</v>
      </c>
      <c r="J103" s="23">
        <f t="shared" ref="J103:L103" si="90">(J36*J73)/(J37)</f>
        <v>2.0401700328392038E-2</v>
      </c>
      <c r="K103" s="23">
        <f t="shared" si="90"/>
        <v>1.9748672704926199E-2</v>
      </c>
      <c r="L103" s="23">
        <f t="shared" si="90"/>
        <v>2.0618206215186327E-2</v>
      </c>
    </row>
    <row r="104" spans="1:18">
      <c r="A104" s="22" t="s">
        <v>78</v>
      </c>
      <c r="B104" s="2" t="s">
        <v>74</v>
      </c>
      <c r="D104" s="23">
        <f>(D36*D74)/(D37)</f>
        <v>5.0886427456890725E-2</v>
      </c>
      <c r="E104" s="23">
        <f>(E36*E74)/(E37)</f>
        <v>5.050777711112793E-2</v>
      </c>
      <c r="F104" s="23">
        <f>(F36*F74)/(F37)</f>
        <v>4.4449874441740887E-2</v>
      </c>
      <c r="G104" s="23">
        <f>(G36*G74)/(G37)</f>
        <v>4.4166308545153465E-2</v>
      </c>
      <c r="H104" s="23">
        <f t="shared" ref="H104:I104" si="91">(H36*H74)/(H37)</f>
        <v>5.2654273451642614E-2</v>
      </c>
      <c r="I104" s="23">
        <f t="shared" si="91"/>
        <v>4.404096751622591E-2</v>
      </c>
      <c r="J104" s="23">
        <f t="shared" ref="J104:L104" si="92">(J36*J74)/(J37)</f>
        <v>5.0407203563663426E-2</v>
      </c>
      <c r="K104" s="23">
        <f t="shared" si="92"/>
        <v>4.2390788182502998E-2</v>
      </c>
      <c r="L104" s="23">
        <f t="shared" si="92"/>
        <v>5.0631163803533427E-2</v>
      </c>
    </row>
    <row r="105" spans="1:18">
      <c r="A105" s="22" t="s">
        <v>79</v>
      </c>
      <c r="B105" s="2" t="s">
        <v>74</v>
      </c>
      <c r="D105" s="23">
        <f>(D36*D75)/(D37)</f>
        <v>0.16167514186091073</v>
      </c>
      <c r="E105" s="23">
        <f>(E36*E75)/(E37)</f>
        <v>0.15606800044114988</v>
      </c>
      <c r="F105" s="23">
        <f>(F36*F75)/(F37)</f>
        <v>0.1548773880834482</v>
      </c>
      <c r="G105" s="23">
        <f>(G36*G75)/(G37)</f>
        <v>0.15475922553714413</v>
      </c>
      <c r="H105" s="23">
        <f t="shared" ref="H105:I105" si="93">(H36*H75)/(H37)</f>
        <v>0.17650817495072735</v>
      </c>
      <c r="I105" s="23">
        <f t="shared" si="93"/>
        <v>0.1569850296426672</v>
      </c>
      <c r="J105" s="23">
        <f t="shared" ref="J105:L105" si="94">(J36*J75)/(J37)</f>
        <v>0.15458469331393082</v>
      </c>
      <c r="K105" s="23">
        <f t="shared" si="94"/>
        <v>0.15768912815210587</v>
      </c>
      <c r="L105" s="23">
        <f t="shared" si="94"/>
        <v>0.1592553491081922</v>
      </c>
    </row>
    <row r="106" spans="1:18">
      <c r="A106" s="22" t="s">
        <v>80</v>
      </c>
      <c r="B106" s="2" t="s">
        <v>74</v>
      </c>
      <c r="D106" s="23">
        <f>(D36*D76)/(D37)</f>
        <v>0.21653971351191847</v>
      </c>
      <c r="E106" s="23">
        <f>(E36*E76)/(E37)</f>
        <v>0.2046582294328152</v>
      </c>
      <c r="F106" s="23">
        <f>(F36*F76)/(F37)</f>
        <v>0.20544015876262264</v>
      </c>
      <c r="G106" s="23">
        <f>(G36*G76)/(G37)</f>
        <v>0.2049004459792966</v>
      </c>
      <c r="H106" s="23">
        <f t="shared" ref="H106:I106" si="95">(H36*H76)/(H37)</f>
        <v>0.20305601821197472</v>
      </c>
      <c r="I106" s="23">
        <f t="shared" si="95"/>
        <v>0.20439012651848482</v>
      </c>
      <c r="J106" s="23">
        <f t="shared" ref="J106:L106" si="96">(J36*J76)/(J37)</f>
        <v>0.21023770521891311</v>
      </c>
      <c r="K106" s="23">
        <f t="shared" si="96"/>
        <v>0.16840117173414645</v>
      </c>
      <c r="L106" s="23">
        <f t="shared" si="96"/>
        <v>0.20564656332545789</v>
      </c>
    </row>
    <row r="107" spans="1:18">
      <c r="A107" s="22" t="s">
        <v>81</v>
      </c>
      <c r="B107" s="2" t="s">
        <v>74</v>
      </c>
      <c r="D107" s="23">
        <f>SUM(D80:D106)</f>
        <v>100.08558848803735</v>
      </c>
      <c r="E107" s="23">
        <f>SUM(E80:E106)</f>
        <v>100.09275220430835</v>
      </c>
      <c r="F107" s="23">
        <f>SUM(F80:F106)</f>
        <v>100.09466401829702</v>
      </c>
      <c r="G107" s="23">
        <f>SUM(G80:G106)</f>
        <v>100.09489970915537</v>
      </c>
      <c r="H107" s="23">
        <f t="shared" ref="H107:I107" si="97">SUM(H80:H106)</f>
        <v>100.09365685051853</v>
      </c>
      <c r="I107" s="23">
        <f t="shared" si="97"/>
        <v>100.09310498862929</v>
      </c>
      <c r="J107" s="23">
        <f t="shared" ref="J107:L107" si="98">SUM(J80:J106)</f>
        <v>100.09175073587824</v>
      </c>
      <c r="K107" s="23">
        <f t="shared" si="98"/>
        <v>100.09213721917301</v>
      </c>
      <c r="L107" s="23">
        <f t="shared" si="98"/>
        <v>100.09200643268032</v>
      </c>
    </row>
    <row r="108" spans="1:18" s="133" customFormat="1" ht="13.5" customHeight="1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M108" s="131"/>
      <c r="R108" s="131"/>
    </row>
    <row r="109" spans="1:18" s="85" customFormat="1">
      <c r="A109" s="153" t="s">
        <v>967</v>
      </c>
      <c r="B109" s="84" t="s">
        <v>74</v>
      </c>
      <c r="C109" s="84"/>
      <c r="D109" s="88">
        <f>SUM(D102,D80,D81,D82,D83,D84)</f>
        <v>1.9369970289319485</v>
      </c>
      <c r="E109" s="88">
        <f>SUM(E102,E80,E81,E82,E83,E84)</f>
        <v>1.9802617508874256</v>
      </c>
      <c r="F109" s="88">
        <f>SUM(F102,F80,F81,F82,F83,F84)</f>
        <v>1.9842639358566228</v>
      </c>
      <c r="G109" s="88">
        <f>SUM(G102,G80,G81,G82,G83,G84)</f>
        <v>1.9790949881297877</v>
      </c>
      <c r="H109" s="88">
        <f t="shared" ref="H109:I109" si="99">SUM(H102,H80,H81,H82,H83,H84)</f>
        <v>1.9532518375838464</v>
      </c>
      <c r="I109" s="88">
        <f t="shared" si="99"/>
        <v>1.9524762203454831</v>
      </c>
      <c r="J109" s="88">
        <f t="shared" ref="J109:L109" si="100">SUM(J102,J80,J81,J82,J83,J84)</f>
        <v>1.899890451682138</v>
      </c>
      <c r="K109" s="88">
        <f t="shared" si="100"/>
        <v>1.9071240786871451</v>
      </c>
      <c r="L109" s="88">
        <f t="shared" si="100"/>
        <v>1.8994543745553605</v>
      </c>
      <c r="M109" s="84"/>
      <c r="R109" s="84"/>
    </row>
    <row r="110" spans="1:18" s="85" customFormat="1">
      <c r="A110" s="153" t="s">
        <v>968</v>
      </c>
      <c r="B110" s="84" t="s">
        <v>74</v>
      </c>
      <c r="C110" s="84"/>
      <c r="D110" s="88">
        <f>D107-D109</f>
        <v>98.14859145910539</v>
      </c>
      <c r="E110" s="88">
        <f>E107-E109</f>
        <v>98.112490453420932</v>
      </c>
      <c r="F110" s="88">
        <f>F107-F109</f>
        <v>98.110400082440407</v>
      </c>
      <c r="G110" s="88">
        <f>G107-G109</f>
        <v>98.115804721025583</v>
      </c>
      <c r="H110" s="88">
        <f t="shared" ref="H110:I110" si="101">H107-H109</f>
        <v>98.140405012934679</v>
      </c>
      <c r="I110" s="88">
        <f t="shared" si="101"/>
        <v>98.140628768283804</v>
      </c>
      <c r="J110" s="88">
        <f t="shared" ref="J110:L110" si="102">J107-J109</f>
        <v>98.191860284196096</v>
      </c>
      <c r="K110" s="88">
        <f t="shared" si="102"/>
        <v>98.185013140485864</v>
      </c>
      <c r="L110" s="88">
        <f t="shared" si="102"/>
        <v>98.19255205812496</v>
      </c>
      <c r="M110" s="84"/>
      <c r="R110" s="84"/>
    </row>
    <row r="111" spans="1:18">
      <c r="A111" s="22" t="s">
        <v>41</v>
      </c>
      <c r="B111" s="2" t="s">
        <v>74</v>
      </c>
      <c r="D111" s="23">
        <f>D107-100</f>
        <v>8.5588488037345201E-2</v>
      </c>
      <c r="E111" s="23">
        <f>E107-100</f>
        <v>9.275220430835418E-2</v>
      </c>
      <c r="F111" s="23">
        <f>F107-100</f>
        <v>9.4664018297024199E-2</v>
      </c>
      <c r="G111" s="23">
        <f>G107-100</f>
        <v>9.4899709155370715E-2</v>
      </c>
      <c r="H111" s="23">
        <f t="shared" ref="H111:I111" si="103">H107-100</f>
        <v>9.365685051852779E-2</v>
      </c>
      <c r="I111" s="23">
        <f t="shared" si="103"/>
        <v>9.3104988629292507E-2</v>
      </c>
      <c r="J111" s="23">
        <f t="shared" ref="J111:L111" si="104">J107-100</f>
        <v>9.1750735878235901E-2</v>
      </c>
      <c r="K111" s="23">
        <f t="shared" si="104"/>
        <v>9.2137219173011431E-2</v>
      </c>
      <c r="L111" s="23">
        <f t="shared" si="104"/>
        <v>9.2006432680321382E-2</v>
      </c>
    </row>
    <row r="112" spans="1:18" ht="15.75" customHeight="1">
      <c r="A112" s="22"/>
      <c r="D112" s="23"/>
      <c r="E112" s="23"/>
      <c r="F112" s="23"/>
      <c r="G112" s="23"/>
      <c r="H112" s="23"/>
      <c r="I112" s="23"/>
      <c r="J112" s="23"/>
      <c r="K112" s="23"/>
      <c r="L112" s="23"/>
    </row>
    <row r="113" spans="1:18">
      <c r="A113" s="22"/>
      <c r="D113" s="26"/>
      <c r="E113" s="26"/>
      <c r="F113" s="26"/>
      <c r="G113" s="26"/>
      <c r="H113" s="26"/>
      <c r="I113" s="26"/>
      <c r="J113" s="26"/>
      <c r="K113" s="26"/>
      <c r="L113" s="26"/>
    </row>
    <row r="114" spans="1:18">
      <c r="A114" s="22"/>
      <c r="D114" s="26"/>
      <c r="E114" s="26"/>
      <c r="F114" s="26"/>
      <c r="G114" s="26"/>
      <c r="H114" s="26"/>
      <c r="I114" s="26"/>
      <c r="J114" s="26"/>
      <c r="K114" s="26"/>
      <c r="L114" s="26"/>
    </row>
    <row r="115" spans="1:18" s="85" customFormat="1">
      <c r="A115" s="153" t="s">
        <v>969</v>
      </c>
      <c r="B115" s="84" t="s">
        <v>8</v>
      </c>
      <c r="C115" s="84"/>
      <c r="D115" s="90"/>
      <c r="E115" s="90"/>
      <c r="F115" s="90"/>
      <c r="G115" s="90"/>
      <c r="H115" s="90"/>
      <c r="I115" s="90"/>
      <c r="J115" s="90"/>
      <c r="K115" s="90"/>
      <c r="L115" s="90"/>
      <c r="M115" s="84"/>
      <c r="R115" s="84"/>
    </row>
    <row r="116" spans="1:18" s="85" customFormat="1">
      <c r="A116" s="153" t="s">
        <v>970</v>
      </c>
      <c r="B116" s="84" t="s">
        <v>8</v>
      </c>
      <c r="C116" s="84"/>
      <c r="D116" s="84"/>
      <c r="E116" s="84"/>
      <c r="F116" s="84"/>
      <c r="G116" s="84"/>
      <c r="H116" s="84"/>
      <c r="I116" s="84"/>
      <c r="J116" s="84"/>
      <c r="M116" s="84"/>
      <c r="R116" s="84"/>
    </row>
    <row r="117" spans="1:18" s="85" customFormat="1">
      <c r="A117" s="153" t="s">
        <v>971</v>
      </c>
      <c r="B117" s="84" t="s">
        <v>8</v>
      </c>
      <c r="C117" s="84"/>
      <c r="D117" s="90"/>
      <c r="E117" s="90"/>
      <c r="F117" s="90"/>
      <c r="G117" s="90"/>
      <c r="H117" s="90"/>
      <c r="I117" s="90"/>
      <c r="J117" s="90"/>
      <c r="K117" s="90"/>
      <c r="L117" s="90"/>
      <c r="M117" s="84"/>
      <c r="R117" s="84"/>
    </row>
    <row r="118" spans="1:18">
      <c r="A118" s="22"/>
      <c r="D118" s="26"/>
      <c r="E118" s="26"/>
      <c r="F118" s="26"/>
      <c r="G118" s="26"/>
      <c r="H118" s="26"/>
      <c r="I118" s="26"/>
      <c r="J118" s="26"/>
      <c r="K118" s="26"/>
      <c r="L118" s="26"/>
    </row>
    <row r="119" spans="1:18">
      <c r="A119" s="38" t="s">
        <v>18</v>
      </c>
      <c r="B119" s="2" t="s">
        <v>8</v>
      </c>
      <c r="D119" s="26"/>
      <c r="E119" s="26"/>
      <c r="F119" s="26"/>
      <c r="G119" s="26"/>
      <c r="H119" s="26"/>
      <c r="I119" s="26"/>
      <c r="J119" s="26"/>
      <c r="K119" s="26"/>
      <c r="L119" s="26"/>
    </row>
    <row r="120" spans="1:18">
      <c r="A120" s="38" t="s">
        <v>19</v>
      </c>
      <c r="B120" s="2" t="s">
        <v>8</v>
      </c>
      <c r="D120" s="26"/>
      <c r="E120" s="26"/>
      <c r="F120" s="26"/>
      <c r="G120" s="26"/>
      <c r="H120" s="26"/>
      <c r="I120" s="26"/>
      <c r="J120" s="26"/>
      <c r="K120" s="26"/>
      <c r="L120" s="26"/>
    </row>
    <row r="121" spans="1:18" s="80" customFormat="1">
      <c r="A121" s="38" t="s">
        <v>20</v>
      </c>
      <c r="B121" s="2" t="s">
        <v>8</v>
      </c>
      <c r="C121" s="81"/>
      <c r="D121" s="82"/>
      <c r="E121" s="82"/>
      <c r="F121" s="82"/>
      <c r="G121" s="82"/>
      <c r="H121" s="82"/>
      <c r="I121" s="82"/>
      <c r="J121" s="82"/>
      <c r="K121" s="82"/>
      <c r="L121" s="82"/>
      <c r="M121" s="81"/>
      <c r="R121" s="81"/>
    </row>
    <row r="122" spans="1:18">
      <c r="A122" s="38" t="s">
        <v>75</v>
      </c>
      <c r="B122" s="2" t="s">
        <v>8</v>
      </c>
      <c r="K122" s="2"/>
      <c r="L122" s="2"/>
    </row>
    <row r="123" spans="1:18" s="85" customFormat="1">
      <c r="A123" s="151" t="s">
        <v>972</v>
      </c>
      <c r="B123" s="84" t="s">
        <v>8</v>
      </c>
      <c r="C123" s="84"/>
      <c r="D123" s="90"/>
      <c r="E123" s="90"/>
      <c r="F123" s="90"/>
      <c r="G123" s="90"/>
      <c r="H123" s="90"/>
      <c r="I123" s="90"/>
      <c r="J123" s="90"/>
      <c r="K123" s="90"/>
      <c r="L123" s="90"/>
      <c r="M123" s="84"/>
      <c r="R123" s="84"/>
    </row>
    <row r="124" spans="1:18">
      <c r="D124" s="26"/>
      <c r="E124" s="26"/>
      <c r="F124" s="26"/>
      <c r="G124" s="26"/>
      <c r="H124" s="26"/>
      <c r="I124" s="26"/>
      <c r="J124" s="26"/>
      <c r="K124" s="26"/>
      <c r="L124" s="26"/>
    </row>
    <row r="125" spans="1:18" s="80" customFormat="1">
      <c r="A125" s="38" t="s">
        <v>26</v>
      </c>
      <c r="B125" s="2" t="s">
        <v>8</v>
      </c>
      <c r="C125" s="81"/>
      <c r="D125" s="82"/>
      <c r="E125" s="82"/>
      <c r="F125" s="82"/>
      <c r="G125" s="82"/>
      <c r="H125" s="82"/>
      <c r="I125" s="82"/>
      <c r="J125" s="82"/>
      <c r="K125" s="82"/>
      <c r="L125" s="82"/>
      <c r="M125" s="81"/>
      <c r="R125" s="81"/>
    </row>
    <row r="126" spans="1:18">
      <c r="A126" s="38" t="s">
        <v>27</v>
      </c>
      <c r="B126" s="2" t="s">
        <v>8</v>
      </c>
      <c r="C126" s="81"/>
      <c r="D126" s="26"/>
      <c r="E126" s="26"/>
      <c r="F126" s="26"/>
      <c r="G126" s="26"/>
      <c r="H126" s="26"/>
      <c r="I126" s="26"/>
      <c r="J126" s="26"/>
      <c r="K126" s="26"/>
      <c r="L126" s="26"/>
    </row>
    <row r="127" spans="1:18">
      <c r="A127" s="22" t="s">
        <v>975</v>
      </c>
      <c r="B127" s="2" t="s">
        <v>8</v>
      </c>
      <c r="K127" s="2"/>
      <c r="L127" s="2"/>
    </row>
    <row r="128" spans="1:18" s="152" customFormat="1">
      <c r="A128" s="151" t="s">
        <v>976</v>
      </c>
      <c r="B128" s="84" t="s">
        <v>8</v>
      </c>
      <c r="C128" s="99"/>
      <c r="D128" s="232"/>
      <c r="E128" s="232"/>
      <c r="F128" s="232"/>
      <c r="G128" s="232"/>
      <c r="H128" s="232"/>
      <c r="I128" s="232"/>
      <c r="J128" s="232"/>
      <c r="K128" s="232"/>
      <c r="L128" s="232"/>
      <c r="M128" s="99"/>
      <c r="R128" s="99"/>
    </row>
    <row r="129" spans="1:18">
      <c r="A129" s="80"/>
      <c r="B129" s="81"/>
      <c r="D129" s="26"/>
      <c r="E129" s="26"/>
      <c r="F129" s="26"/>
      <c r="G129" s="26"/>
      <c r="H129" s="26"/>
      <c r="I129" s="26"/>
      <c r="J129" s="26"/>
      <c r="K129" s="26"/>
      <c r="L129" s="26"/>
    </row>
    <row r="130" spans="1:18">
      <c r="A130" s="22" t="s">
        <v>977</v>
      </c>
      <c r="B130" s="2" t="s">
        <v>8</v>
      </c>
    </row>
    <row r="131" spans="1:18" s="85" customFormat="1">
      <c r="A131" s="151" t="s">
        <v>978</v>
      </c>
      <c r="B131" s="84" t="s">
        <v>8</v>
      </c>
      <c r="C131" s="84"/>
      <c r="D131" s="84"/>
      <c r="E131" s="84"/>
      <c r="F131" s="84"/>
      <c r="G131" s="84"/>
      <c r="H131" s="84"/>
      <c r="I131" s="84"/>
      <c r="J131" s="84"/>
      <c r="M131" s="84"/>
      <c r="R131" s="84"/>
    </row>
    <row r="132" spans="1:18">
      <c r="K132" s="2"/>
      <c r="L132" s="2"/>
    </row>
    <row r="138" spans="1:18">
      <c r="A138" s="22"/>
    </row>
    <row r="139" spans="1:18">
      <c r="A139" s="77"/>
    </row>
    <row r="140" spans="1:18">
      <c r="A140" s="77"/>
    </row>
    <row r="141" spans="1:18">
      <c r="A141" s="77"/>
    </row>
    <row r="142" spans="1:18" s="2" customFormat="1">
      <c r="A142" s="77"/>
      <c r="K142" s="1"/>
      <c r="L142" s="1"/>
    </row>
    <row r="143" spans="1:18" s="2" customFormat="1">
      <c r="A143" s="77"/>
      <c r="K143" s="1"/>
      <c r="L143" s="1"/>
    </row>
    <row r="144" spans="1:18" s="2" customFormat="1">
      <c r="A144" s="77"/>
      <c r="K144" s="1"/>
      <c r="L144" s="1"/>
    </row>
    <row r="145" spans="1:12" s="2" customFormat="1">
      <c r="A145" s="77"/>
      <c r="K145" s="1"/>
      <c r="L145" s="1"/>
    </row>
    <row r="146" spans="1:12" s="2" customFormat="1">
      <c r="A146" s="77"/>
      <c r="K146" s="1"/>
      <c r="L146" s="1"/>
    </row>
    <row r="147" spans="1:12" s="2" customFormat="1">
      <c r="A147" s="77"/>
      <c r="K147" s="1"/>
      <c r="L147" s="1"/>
    </row>
    <row r="148" spans="1:12" s="2" customFormat="1">
      <c r="A148" s="77"/>
      <c r="K148" s="1"/>
      <c r="L148" s="1"/>
    </row>
    <row r="149" spans="1:12" s="2" customFormat="1">
      <c r="A149" s="77"/>
      <c r="K149" s="1"/>
      <c r="L149" s="1"/>
    </row>
    <row r="150" spans="1:12" s="2" customFormat="1">
      <c r="A150" s="77"/>
      <c r="K150" s="1"/>
      <c r="L150" s="1"/>
    </row>
    <row r="151" spans="1:12" s="2" customFormat="1">
      <c r="A151" s="77"/>
      <c r="K151" s="1"/>
      <c r="L151" s="1"/>
    </row>
    <row r="152" spans="1:12" s="2" customFormat="1">
      <c r="A152" s="77"/>
      <c r="K152" s="1"/>
      <c r="L152" s="1"/>
    </row>
    <row r="153" spans="1:12" s="2" customFormat="1">
      <c r="A153" s="22"/>
      <c r="K153" s="1"/>
      <c r="L153" s="1"/>
    </row>
    <row r="154" spans="1:12" s="2" customFormat="1">
      <c r="A154" s="22"/>
      <c r="K154" s="1"/>
      <c r="L154" s="1"/>
    </row>
    <row r="155" spans="1:12" s="2" customFormat="1">
      <c r="A155" s="22"/>
      <c r="K155" s="1"/>
      <c r="L155" s="1"/>
    </row>
    <row r="156" spans="1:12" s="2" customFormat="1">
      <c r="A156" s="22"/>
      <c r="K156" s="1"/>
      <c r="L156" s="1"/>
    </row>
  </sheetData>
  <mergeCells count="1">
    <mergeCell ref="A1:D1"/>
  </mergeCells>
  <pageMargins left="0.7" right="0.7" top="0.75" bottom="0.75" header="0.3" footer="0.3"/>
  <ignoredErrors>
    <ignoredError sqref="D20 D42:D55 D28:D36 D23:D25 D38:D39 D57:D76" evalError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3BF7-19FB-4CFC-8855-7D2902675FE2}">
  <dimension ref="A59:BL147"/>
  <sheetViews>
    <sheetView zoomScale="120" zoomScaleNormal="120" workbookViewId="0">
      <selection activeCell="L2" sqref="L2"/>
    </sheetView>
  </sheetViews>
  <sheetFormatPr defaultRowHeight="15"/>
  <cols>
    <col min="1" max="36" width="9.140625" style="18"/>
    <col min="37" max="37" width="16.28515625" style="18" customWidth="1"/>
    <col min="38" max="38" width="25.85546875" style="18" bestFit="1" customWidth="1"/>
    <col min="39" max="39" width="10.28515625" style="19" customWidth="1"/>
    <col min="40" max="64" width="9.140625" style="18"/>
  </cols>
  <sheetData>
    <row r="59" spans="37:43">
      <c r="AK59" s="263" t="s">
        <v>1016</v>
      </c>
      <c r="AL59" s="263"/>
      <c r="AM59" s="263"/>
      <c r="AN59" s="263"/>
      <c r="AO59" s="263"/>
      <c r="AP59" s="263"/>
    </row>
    <row r="60" spans="37:43">
      <c r="AK60" s="31" t="s">
        <v>95</v>
      </c>
      <c r="AL60" s="31" t="s">
        <v>1017</v>
      </c>
      <c r="AM60" s="16" t="s">
        <v>954</v>
      </c>
      <c r="AN60" s="3">
        <v>210</v>
      </c>
      <c r="AO60" s="3">
        <v>215</v>
      </c>
      <c r="AP60" s="3">
        <v>220</v>
      </c>
    </row>
    <row r="61" spans="37:43">
      <c r="AK61" s="29" t="s">
        <v>4</v>
      </c>
      <c r="AL61" s="29" t="s">
        <v>1018</v>
      </c>
      <c r="AM61" s="28" t="s">
        <v>74</v>
      </c>
      <c r="AN61" s="206">
        <f>'P. Yields - WABT 210 Act Fe (2)'!G34</f>
        <v>95.48120668</v>
      </c>
      <c r="AO61" s="206">
        <f>'P. Yields - WABT 215 Act Fe (2)'!G34</f>
        <v>95.214925559999998</v>
      </c>
      <c r="AP61" s="206">
        <f>'P. Yields - WABT 220 Act Fe (2)'!G34</f>
        <v>94.854898449999993</v>
      </c>
      <c r="AQ61" s="1"/>
    </row>
    <row r="62" spans="37:43">
      <c r="AK62" s="29" t="s">
        <v>4</v>
      </c>
      <c r="AL62" s="29" t="s">
        <v>653</v>
      </c>
      <c r="AM62" s="207" t="s">
        <v>89</v>
      </c>
      <c r="AN62" s="208">
        <f>'P. Yields - WABT 210 Act Fe (2)'!G31</f>
        <v>54.5337721</v>
      </c>
      <c r="AO62" s="208">
        <f>'P. Yields - WABT 215 Act Fe (2)'!G31</f>
        <v>56.059127529999998</v>
      </c>
      <c r="AP62" s="208">
        <f>'P. Yields - WABT 220 Act Fe (2)'!G31</f>
        <v>57.609734690000003</v>
      </c>
      <c r="AQ62" s="1"/>
    </row>
    <row r="63" spans="37:43">
      <c r="AK63" s="29" t="s">
        <v>72</v>
      </c>
      <c r="AL63" s="29" t="s">
        <v>1018</v>
      </c>
      <c r="AM63" s="28" t="s">
        <v>74</v>
      </c>
      <c r="AN63" s="206">
        <f>'P. Yields - WABT 210 Act Fe (2)'!H34</f>
        <v>96.162680829999999</v>
      </c>
      <c r="AO63" s="206">
        <f>'P. Yields - WABT 215 Act Fe (2)'!H34</f>
        <v>95.971500230000004</v>
      </c>
      <c r="AP63" s="206">
        <f>'P. Yields - WABT 220 Act Fe (2)'!H34</f>
        <v>95.711597519999998</v>
      </c>
      <c r="AQ63" s="1"/>
    </row>
    <row r="64" spans="37:43">
      <c r="AK64" s="31" t="s">
        <v>72</v>
      </c>
      <c r="AL64" s="31" t="s">
        <v>653</v>
      </c>
      <c r="AM64" s="114" t="s">
        <v>89</v>
      </c>
      <c r="AN64" s="209">
        <f>'P. Yields - WABT 210 Act Fe (2)'!H31</f>
        <v>53.664857740000002</v>
      </c>
      <c r="AO64" s="209">
        <f>'P. Yields - WABT 215 Act Fe (2)'!H31</f>
        <v>55.137259010000001</v>
      </c>
      <c r="AP64" s="209">
        <f>'P. Yields - WABT 220 Act Fe (2)'!H31</f>
        <v>56.668219860000001</v>
      </c>
      <c r="AQ64" s="1"/>
    </row>
    <row r="65" spans="37:43">
      <c r="AK65" s="29" t="s">
        <v>73</v>
      </c>
      <c r="AL65" s="29" t="s">
        <v>1018</v>
      </c>
      <c r="AM65" s="28" t="s">
        <v>74</v>
      </c>
      <c r="AN65" s="206">
        <f>'P. Yields - WABT 210 Act Fe (2)'!I34</f>
        <v>94.567132299999997</v>
      </c>
      <c r="AO65" s="206">
        <f>'P. Yields - WABT 215 Act Fe (2)'!I34</f>
        <v>94.175153280000004</v>
      </c>
      <c r="AP65" s="206">
        <f>'P. Yields - WABT 220 Act Fe (2)'!H34</f>
        <v>95.711597519999998</v>
      </c>
      <c r="AQ65" s="1"/>
    </row>
    <row r="66" spans="37:43">
      <c r="AK66" s="29" t="s">
        <v>73</v>
      </c>
      <c r="AL66" s="29" t="s">
        <v>653</v>
      </c>
      <c r="AM66" s="207" t="s">
        <v>89</v>
      </c>
      <c r="AN66" s="209">
        <f>'P. Yields - WABT 210 Act Fe (2)'!I31</f>
        <v>57.485621479999999</v>
      </c>
      <c r="AO66" s="209">
        <f>'P. Yields - WABT 215 Act Fe (2)'!I31</f>
        <v>59.105136559999998</v>
      </c>
      <c r="AP66" s="209">
        <f>'P. Yields - WABT 220 Act Fe (2)'!H31</f>
        <v>56.668219860000001</v>
      </c>
      <c r="AQ66" s="1"/>
    </row>
    <row r="67" spans="37:43">
      <c r="AQ67" s="1"/>
    </row>
    <row r="68" spans="37:43">
      <c r="AQ68" s="1"/>
    </row>
    <row r="69" spans="37:43">
      <c r="AQ69" s="1"/>
    </row>
    <row r="70" spans="37:43">
      <c r="AL70" s="1"/>
      <c r="AM70" s="2"/>
      <c r="AN70" s="1"/>
      <c r="AO70" s="1"/>
      <c r="AP70" s="1"/>
      <c r="AQ70" s="1"/>
    </row>
    <row r="71" spans="37:43">
      <c r="AL71" s="1"/>
      <c r="AM71" s="2"/>
      <c r="AN71" s="1"/>
      <c r="AO71" s="1"/>
      <c r="AP71" s="1"/>
      <c r="AQ71" s="1"/>
    </row>
    <row r="72" spans="37:43">
      <c r="AL72" s="1"/>
      <c r="AM72" s="2"/>
      <c r="AN72" s="1"/>
      <c r="AO72" s="1"/>
      <c r="AP72" s="1"/>
      <c r="AQ72" s="1"/>
    </row>
    <row r="73" spans="37:43">
      <c r="AL73" s="1"/>
      <c r="AM73" s="2"/>
      <c r="AN73" s="1"/>
      <c r="AO73" s="1"/>
      <c r="AP73" s="1"/>
      <c r="AQ73" s="1"/>
    </row>
    <row r="74" spans="37:43">
      <c r="AL74" s="1"/>
      <c r="AM74" s="2"/>
      <c r="AN74" s="1"/>
      <c r="AO74" s="1"/>
      <c r="AP74" s="1"/>
      <c r="AQ74" s="1"/>
    </row>
    <row r="75" spans="37:43">
      <c r="AL75" s="1"/>
      <c r="AM75" s="2"/>
      <c r="AN75" s="1"/>
      <c r="AO75" s="1"/>
      <c r="AP75" s="1"/>
      <c r="AQ75" s="1"/>
    </row>
    <row r="76" spans="37:43">
      <c r="AL76" s="1"/>
      <c r="AM76" s="2"/>
      <c r="AN76" s="1"/>
      <c r="AO76" s="1"/>
      <c r="AP76" s="1"/>
      <c r="AQ76" s="1"/>
    </row>
    <row r="77" spans="37:43">
      <c r="AL77" s="1"/>
      <c r="AM77" s="2"/>
      <c r="AN77" s="1"/>
      <c r="AO77" s="1"/>
      <c r="AP77" s="1"/>
      <c r="AQ77" s="1"/>
    </row>
    <row r="78" spans="37:43">
      <c r="AL78" s="1"/>
      <c r="AM78" s="2"/>
      <c r="AN78" s="1"/>
      <c r="AO78" s="1"/>
      <c r="AP78" s="1"/>
      <c r="AQ78" s="1"/>
    </row>
    <row r="79" spans="37:43">
      <c r="AL79" s="1"/>
      <c r="AM79" s="2"/>
      <c r="AN79" s="1"/>
      <c r="AO79" s="1"/>
      <c r="AP79" s="1"/>
      <c r="AQ79" s="1"/>
    </row>
    <row r="80" spans="37:43">
      <c r="AL80" s="1"/>
      <c r="AM80" s="2"/>
      <c r="AN80" s="1"/>
      <c r="AO80" s="1"/>
      <c r="AP80" s="1"/>
      <c r="AQ80" s="1"/>
    </row>
    <row r="81" spans="38:43">
      <c r="AL81" s="1"/>
      <c r="AM81" s="2"/>
      <c r="AN81" s="1"/>
      <c r="AO81" s="1"/>
      <c r="AP81" s="1"/>
      <c r="AQ81" s="1"/>
    </row>
    <row r="82" spans="38:43">
      <c r="AL82" s="1"/>
      <c r="AM82" s="2"/>
      <c r="AN82" s="1"/>
      <c r="AO82" s="1"/>
      <c r="AP82" s="1"/>
      <c r="AQ82" s="1"/>
    </row>
    <row r="106" spans="10:24"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0:24"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0:24"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0:24"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0:24"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0:24"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0:24"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40" spans="11:24">
      <c r="K140" s="69" t="s">
        <v>1019</v>
      </c>
      <c r="L140" s="69"/>
      <c r="M140" s="69"/>
      <c r="N140" s="69"/>
      <c r="O140" s="69"/>
      <c r="P140" s="69"/>
      <c r="Q140" s="69"/>
      <c r="R140" s="69"/>
      <c r="S140" s="69"/>
      <c r="T140" s="69"/>
      <c r="U140" s="69"/>
    </row>
    <row r="142" spans="11:24">
      <c r="K142" s="1" t="s">
        <v>1020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1:24">
      <c r="K143" s="1" t="s">
        <v>1021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1:24">
      <c r="K144" s="1" t="s">
        <v>1022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1:24">
      <c r="K145" s="1" t="s">
        <v>1023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1:24">
      <c r="K146" s="1" t="s">
        <v>1024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1:24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</sheetData>
  <mergeCells count="1">
    <mergeCell ref="AK59:AP59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A01D1-0B97-458B-B6F8-68F11F35940A}">
  <dimension ref="C1:R72"/>
  <sheetViews>
    <sheetView zoomScale="110" zoomScaleNormal="110" workbookViewId="0">
      <selection activeCell="N29" sqref="N29:N36"/>
    </sheetView>
  </sheetViews>
  <sheetFormatPr defaultRowHeight="15"/>
  <cols>
    <col min="1" max="3" width="9.140625" style="40"/>
    <col min="4" max="4" width="23.28515625" style="40" customWidth="1"/>
    <col min="5" max="5" width="16.85546875" style="40" customWidth="1"/>
    <col min="6" max="6" width="9.140625" style="40"/>
    <col min="7" max="7" width="24.28515625" style="219" bestFit="1" customWidth="1"/>
    <col min="8" max="8" width="14.5703125" style="41" customWidth="1"/>
    <col min="9" max="9" width="9.140625" style="40"/>
    <col min="10" max="10" width="24.28515625" style="40" bestFit="1" customWidth="1"/>
    <col min="11" max="11" width="15.140625" style="40" customWidth="1"/>
    <col min="12" max="12" width="9.140625" style="40"/>
    <col min="13" max="13" width="24.28515625" style="40" bestFit="1" customWidth="1"/>
    <col min="14" max="14" width="18.5703125" style="40" customWidth="1"/>
    <col min="15" max="16" width="9.140625" style="40"/>
    <col min="17" max="17" width="17.42578125" style="40" bestFit="1" customWidth="1"/>
    <col min="18" max="16384" width="9.140625" style="40"/>
  </cols>
  <sheetData>
    <row r="1" spans="4:15">
      <c r="D1" s="264" t="s">
        <v>1025</v>
      </c>
      <c r="E1" s="264"/>
      <c r="G1" s="264" t="s">
        <v>1026</v>
      </c>
      <c r="H1" s="264"/>
      <c r="J1" s="264" t="s">
        <v>1027</v>
      </c>
      <c r="K1" s="264"/>
      <c r="M1" s="264" t="s">
        <v>1028</v>
      </c>
      <c r="N1" s="264"/>
    </row>
    <row r="3" spans="4:15">
      <c r="D3" s="216" t="s">
        <v>1029</v>
      </c>
      <c r="E3" s="216" t="s">
        <v>1030</v>
      </c>
      <c r="G3" s="217" t="s">
        <v>1029</v>
      </c>
      <c r="H3" s="216" t="s">
        <v>1030</v>
      </c>
      <c r="J3" s="217" t="s">
        <v>1029</v>
      </c>
      <c r="K3" s="216" t="s">
        <v>1030</v>
      </c>
    </row>
    <row r="4" spans="4:15">
      <c r="G4" s="218"/>
      <c r="H4" s="220"/>
      <c r="J4" s="218"/>
      <c r="K4" s="220"/>
      <c r="O4" s="221"/>
    </row>
    <row r="5" spans="4:15">
      <c r="D5" s="218" t="s">
        <v>11</v>
      </c>
      <c r="E5" s="220">
        <v>4.5288499400000001E-2</v>
      </c>
      <c r="G5" s="218" t="s">
        <v>11</v>
      </c>
      <c r="H5" s="220">
        <v>3.5257878304000001</v>
      </c>
      <c r="J5" s="218" t="s">
        <v>11</v>
      </c>
      <c r="K5" s="220">
        <v>2.5628566741999999</v>
      </c>
      <c r="M5" s="218" t="s">
        <v>11</v>
      </c>
      <c r="N5" s="220">
        <v>5.8204398155000003</v>
      </c>
    </row>
    <row r="6" spans="4:15">
      <c r="D6" s="218" t="s">
        <v>1031</v>
      </c>
      <c r="E6" s="220">
        <v>0.29705998300000003</v>
      </c>
      <c r="G6" s="218" t="s">
        <v>1031</v>
      </c>
      <c r="H6" s="220">
        <v>7.8659253119999999</v>
      </c>
      <c r="J6" s="218" t="s">
        <v>1031</v>
      </c>
      <c r="K6" s="220">
        <v>7.5486302376000003</v>
      </c>
      <c r="M6" s="218" t="s">
        <v>1031</v>
      </c>
      <c r="N6" s="220">
        <v>12.9081420898</v>
      </c>
    </row>
    <row r="7" spans="4:15">
      <c r="D7" s="218" t="s">
        <v>12</v>
      </c>
      <c r="E7" s="220">
        <v>1.6400021315</v>
      </c>
      <c r="G7" s="218" t="s">
        <v>12</v>
      </c>
      <c r="H7" s="220">
        <v>3.1664922237000002</v>
      </c>
      <c r="J7" s="218" t="s">
        <v>12</v>
      </c>
      <c r="K7" s="220">
        <v>2.6810355185999999</v>
      </c>
      <c r="M7" s="218" t="s">
        <v>12</v>
      </c>
      <c r="N7" s="220">
        <v>3.3182141780999999</v>
      </c>
    </row>
    <row r="8" spans="4:15">
      <c r="D8" s="218" t="s">
        <v>1032</v>
      </c>
      <c r="E8" s="220">
        <v>7.5930891036999997</v>
      </c>
      <c r="G8" s="218" t="s">
        <v>1032</v>
      </c>
      <c r="H8" s="220">
        <v>9.9942359924000002</v>
      </c>
      <c r="J8" s="218" t="s">
        <v>1032</v>
      </c>
      <c r="K8" s="220">
        <v>9.3874168396000002</v>
      </c>
      <c r="M8" s="218" t="s">
        <v>1032</v>
      </c>
      <c r="N8" s="220">
        <v>10.436207771299999</v>
      </c>
    </row>
    <row r="9" spans="4:15">
      <c r="D9" s="218" t="s">
        <v>14</v>
      </c>
      <c r="E9" s="220">
        <v>12.88804245</v>
      </c>
      <c r="G9" s="218" t="s">
        <v>14</v>
      </c>
      <c r="H9" s="220">
        <v>12.4288473129</v>
      </c>
      <c r="J9" s="218" t="s">
        <v>14</v>
      </c>
      <c r="K9" s="220">
        <v>12.6216058731</v>
      </c>
      <c r="M9" s="218" t="s">
        <v>14</v>
      </c>
      <c r="N9" s="220">
        <v>12.420854568499999</v>
      </c>
    </row>
    <row r="10" spans="4:15">
      <c r="G10" s="218"/>
      <c r="H10" s="220"/>
      <c r="J10" s="218"/>
      <c r="K10" s="220"/>
      <c r="M10" s="218"/>
      <c r="N10" s="220"/>
    </row>
    <row r="11" spans="4:15">
      <c r="D11" s="218" t="s">
        <v>1033</v>
      </c>
      <c r="E11" s="220">
        <v>1.668269E-2</v>
      </c>
      <c r="G11" s="218" t="s">
        <v>1033</v>
      </c>
      <c r="H11" s="220">
        <v>0.48736301059999998</v>
      </c>
      <c r="J11" s="218" t="s">
        <v>1033</v>
      </c>
      <c r="K11" s="220">
        <v>0.1520921439</v>
      </c>
      <c r="M11" s="218" t="s">
        <v>1033</v>
      </c>
      <c r="N11" s="220">
        <v>0.32698377969999998</v>
      </c>
    </row>
    <row r="12" spans="4:15">
      <c r="D12" s="218" t="s">
        <v>1034</v>
      </c>
      <c r="E12" s="220">
        <v>0.72013217210000002</v>
      </c>
      <c r="G12" s="218" t="s">
        <v>1034</v>
      </c>
      <c r="H12" s="220">
        <v>1.8150695562000001</v>
      </c>
      <c r="J12" s="218" t="s">
        <v>1034</v>
      </c>
      <c r="K12" s="220">
        <v>2.0431110859000001</v>
      </c>
      <c r="M12" s="218" t="s">
        <v>1034</v>
      </c>
      <c r="N12" s="220">
        <v>2.4536187648999999</v>
      </c>
    </row>
    <row r="13" spans="4:15">
      <c r="D13" s="218" t="s">
        <v>1035</v>
      </c>
      <c r="E13" s="220">
        <v>8.0209341049000002</v>
      </c>
      <c r="G13" s="218" t="s">
        <v>1035</v>
      </c>
      <c r="H13" s="220">
        <v>8.7503585815000005</v>
      </c>
      <c r="J13" s="218" t="s">
        <v>1035</v>
      </c>
      <c r="K13" s="220">
        <v>7.3540091514999997</v>
      </c>
      <c r="M13" s="218" t="s">
        <v>1035</v>
      </c>
      <c r="N13" s="220">
        <v>7.9809365272999999</v>
      </c>
    </row>
    <row r="14" spans="4:15">
      <c r="D14" s="218" t="s">
        <v>1036</v>
      </c>
      <c r="E14" s="220">
        <v>3.685031414</v>
      </c>
      <c r="G14" s="218" t="s">
        <v>1036</v>
      </c>
      <c r="H14" s="220">
        <v>5.339117527</v>
      </c>
      <c r="J14" s="218" t="s">
        <v>1036</v>
      </c>
      <c r="K14" s="220">
        <v>4.3787822722999996</v>
      </c>
      <c r="M14" s="218" t="s">
        <v>1036</v>
      </c>
      <c r="N14" s="220">
        <v>4.8414435387000001</v>
      </c>
    </row>
    <row r="15" spans="4:15">
      <c r="D15" s="218" t="s">
        <v>17</v>
      </c>
      <c r="E15" s="220">
        <v>17.786645889300001</v>
      </c>
      <c r="G15" s="218" t="s">
        <v>17</v>
      </c>
      <c r="H15" s="220">
        <v>13.7966556549</v>
      </c>
      <c r="J15" s="218" t="s">
        <v>17</v>
      </c>
      <c r="K15" s="220">
        <v>16.354993820200001</v>
      </c>
      <c r="M15" s="218" t="s">
        <v>17</v>
      </c>
      <c r="N15" s="220">
        <v>14.605986595199999</v>
      </c>
    </row>
    <row r="16" spans="4:15">
      <c r="G16" s="218"/>
      <c r="H16" s="220"/>
      <c r="J16" s="218"/>
      <c r="K16" s="220"/>
      <c r="M16" s="218"/>
      <c r="N16" s="220"/>
    </row>
    <row r="17" spans="4:14">
      <c r="D17" s="218" t="s">
        <v>1037</v>
      </c>
      <c r="E17" s="220">
        <v>2.6701515499999998E-2</v>
      </c>
      <c r="G17" s="218" t="s">
        <v>1037</v>
      </c>
      <c r="H17" s="220">
        <v>0.68900042770000003</v>
      </c>
      <c r="J17" s="218" t="s">
        <v>1037</v>
      </c>
      <c r="K17" s="220">
        <v>0.1820295602</v>
      </c>
      <c r="M17" s="218" t="s">
        <v>1037</v>
      </c>
      <c r="N17" s="220">
        <v>0.28820621969999999</v>
      </c>
    </row>
    <row r="18" spans="4:14">
      <c r="D18" s="218" t="s">
        <v>1038</v>
      </c>
      <c r="E18" s="220">
        <v>0.39878648519999998</v>
      </c>
      <c r="G18" s="218" t="s">
        <v>1038</v>
      </c>
      <c r="H18" s="220">
        <v>1.6045118570000001</v>
      </c>
      <c r="J18" s="218" t="s">
        <v>1038</v>
      </c>
      <c r="K18" s="220">
        <v>1.7520889044000001</v>
      </c>
      <c r="M18" s="218" t="s">
        <v>1038</v>
      </c>
      <c r="N18" s="220">
        <v>1.3065446615</v>
      </c>
    </row>
    <row r="19" spans="4:14">
      <c r="D19" s="218" t="s">
        <v>1039</v>
      </c>
      <c r="E19" s="220">
        <v>1.5251748000000001E-3</v>
      </c>
      <c r="G19" s="218" t="s">
        <v>1039</v>
      </c>
      <c r="H19" s="220">
        <v>0.121020101</v>
      </c>
      <c r="J19" s="218" t="s">
        <v>1039</v>
      </c>
      <c r="K19" s="220">
        <v>0.18537423010000001</v>
      </c>
      <c r="M19" s="218" t="s">
        <v>1039</v>
      </c>
      <c r="N19" s="220">
        <v>0.2242764384</v>
      </c>
    </row>
    <row r="20" spans="4:14">
      <c r="D20" s="218" t="s">
        <v>1040</v>
      </c>
      <c r="E20" s="220">
        <v>0</v>
      </c>
      <c r="G20" s="218" t="s">
        <v>1040</v>
      </c>
      <c r="H20" s="220">
        <v>0.44200721380000002</v>
      </c>
      <c r="J20" s="218" t="s">
        <v>1040</v>
      </c>
      <c r="K20" s="220">
        <v>0.1181713194</v>
      </c>
      <c r="M20" s="218" t="s">
        <v>1040</v>
      </c>
      <c r="N20" s="220">
        <v>0.18519233169999999</v>
      </c>
    </row>
    <row r="21" spans="4:14">
      <c r="D21" s="218" t="s">
        <v>1041</v>
      </c>
      <c r="E21" s="220">
        <v>8.1471137999999996</v>
      </c>
      <c r="G21" s="218" t="s">
        <v>1041</v>
      </c>
      <c r="H21" s="220">
        <v>6.5760564804000001</v>
      </c>
      <c r="J21" s="218" t="s">
        <v>1041</v>
      </c>
      <c r="K21" s="220">
        <v>5.3645687103000004</v>
      </c>
      <c r="M21" s="218" t="s">
        <v>1041</v>
      </c>
      <c r="N21" s="220">
        <v>4.1721038818</v>
      </c>
    </row>
    <row r="22" spans="4:14">
      <c r="D22" s="218" t="s">
        <v>1042</v>
      </c>
      <c r="E22" s="220">
        <v>0.55054795739999995</v>
      </c>
      <c r="G22" s="218" t="s">
        <v>1042</v>
      </c>
      <c r="H22" s="220">
        <v>1.8189727067999999</v>
      </c>
      <c r="J22" s="218" t="s">
        <v>1042</v>
      </c>
      <c r="K22" s="220">
        <v>1.7977502346000001</v>
      </c>
      <c r="M22" s="218" t="s">
        <v>1042</v>
      </c>
      <c r="N22" s="220">
        <v>1.4648395777000001</v>
      </c>
    </row>
    <row r="23" spans="4:14">
      <c r="D23" s="218" t="s">
        <v>1043</v>
      </c>
      <c r="E23" s="220">
        <v>5.5198402404999998</v>
      </c>
      <c r="G23" s="218" t="s">
        <v>1043</v>
      </c>
      <c r="H23" s="220">
        <v>6.9530868530000003</v>
      </c>
      <c r="J23" s="218" t="s">
        <v>1043</v>
      </c>
      <c r="K23" s="220">
        <v>5.6513781547999997</v>
      </c>
      <c r="M23" s="218" t="s">
        <v>1043</v>
      </c>
      <c r="N23" s="220">
        <v>4.7405576706000003</v>
      </c>
    </row>
    <row r="24" spans="4:14">
      <c r="D24" s="218" t="s">
        <v>1044</v>
      </c>
      <c r="E24" s="220">
        <v>7.2881884899999999E-2</v>
      </c>
      <c r="G24" s="218" t="s">
        <v>1044</v>
      </c>
      <c r="H24" s="220">
        <v>0.44791206719999999</v>
      </c>
      <c r="J24" s="218" t="s">
        <v>1044</v>
      </c>
      <c r="K24" s="220">
        <v>0.18982055780000001</v>
      </c>
      <c r="M24" s="218" t="s">
        <v>1044</v>
      </c>
      <c r="N24" s="220">
        <v>0.2373978943</v>
      </c>
    </row>
    <row r="25" spans="4:14">
      <c r="D25" s="218" t="s">
        <v>25</v>
      </c>
      <c r="E25" s="220">
        <v>16.036531448400002</v>
      </c>
      <c r="G25" s="218" t="s">
        <v>25</v>
      </c>
      <c r="H25" s="220">
        <v>6.7792601584999996</v>
      </c>
      <c r="J25" s="218" t="s">
        <v>25</v>
      </c>
      <c r="K25" s="220">
        <v>11.818124771100001</v>
      </c>
      <c r="M25" s="218" t="s">
        <v>25</v>
      </c>
      <c r="N25" s="220">
        <v>7.8588352202999996</v>
      </c>
    </row>
    <row r="27" spans="4:14">
      <c r="M27" s="218"/>
      <c r="N27" s="220"/>
    </row>
    <row r="28" spans="4:14">
      <c r="D28" s="218" t="s">
        <v>1045</v>
      </c>
      <c r="E28" s="220">
        <v>0.80096626280000005</v>
      </c>
      <c r="G28" s="218" t="s">
        <v>1045</v>
      </c>
      <c r="H28" s="220">
        <v>0.32336896659999997</v>
      </c>
      <c r="J28" s="218" t="s">
        <v>1045</v>
      </c>
      <c r="K28" s="220">
        <v>0.28158417340000003</v>
      </c>
      <c r="M28" s="218"/>
      <c r="N28" s="220"/>
    </row>
    <row r="29" spans="4:14">
      <c r="D29" s="218" t="s">
        <v>1046</v>
      </c>
      <c r="E29" s="220">
        <v>0.403976053</v>
      </c>
      <c r="G29" s="218" t="s">
        <v>1046</v>
      </c>
      <c r="H29" s="220">
        <v>0.4807722867</v>
      </c>
      <c r="J29" s="218" t="s">
        <v>1046</v>
      </c>
      <c r="K29" s="220">
        <v>0.38543689250000002</v>
      </c>
      <c r="M29" s="218" t="s">
        <v>1046</v>
      </c>
      <c r="N29" s="220">
        <v>0.1092944071</v>
      </c>
    </row>
    <row r="30" spans="4:14">
      <c r="D30" s="218" t="s">
        <v>1047</v>
      </c>
      <c r="E30" s="220">
        <v>2.6944080400000001E-2</v>
      </c>
      <c r="G30" s="218" t="s">
        <v>1047</v>
      </c>
      <c r="H30" s="220">
        <v>0.1565137804</v>
      </c>
      <c r="J30" s="218" t="s">
        <v>1047</v>
      </c>
      <c r="K30" s="220">
        <v>6.7132845499999996E-2</v>
      </c>
      <c r="M30" s="218" t="s">
        <v>1047</v>
      </c>
      <c r="N30" s="220">
        <v>6.5172225200000003E-2</v>
      </c>
    </row>
    <row r="31" spans="4:14">
      <c r="D31" s="218" t="s">
        <v>1048</v>
      </c>
      <c r="E31" s="220">
        <v>0.1535085887</v>
      </c>
      <c r="G31" s="218" t="s">
        <v>1048</v>
      </c>
      <c r="H31" s="220">
        <v>0.2432661206</v>
      </c>
      <c r="J31" s="218" t="s">
        <v>1048</v>
      </c>
      <c r="K31" s="220">
        <v>0.20445086060000001</v>
      </c>
      <c r="M31" s="218" t="s">
        <v>1048</v>
      </c>
      <c r="N31" s="220">
        <v>7.3461465500000003E-2</v>
      </c>
    </row>
    <row r="32" spans="4:14">
      <c r="D32" s="218" t="s">
        <v>1049</v>
      </c>
      <c r="E32" s="220">
        <v>4.1196584702000001</v>
      </c>
      <c r="G32" s="218" t="s">
        <v>1049</v>
      </c>
      <c r="H32" s="220">
        <v>0.76946902279999996</v>
      </c>
      <c r="J32" s="218" t="s">
        <v>1049</v>
      </c>
      <c r="K32" s="220">
        <v>0.58716982600000001</v>
      </c>
      <c r="M32" s="218" t="s">
        <v>1049</v>
      </c>
      <c r="N32" s="220">
        <v>0.1663868278</v>
      </c>
    </row>
    <row r="33" spans="3:14">
      <c r="D33" s="218" t="s">
        <v>1050</v>
      </c>
      <c r="E33" s="220">
        <v>8.7559253000000004E-2</v>
      </c>
      <c r="G33" s="218" t="s">
        <v>1051</v>
      </c>
      <c r="H33" s="220">
        <v>0.40022647379999998</v>
      </c>
      <c r="J33" s="218" t="s">
        <v>1051</v>
      </c>
      <c r="K33" s="220">
        <v>0.49628368020000002</v>
      </c>
      <c r="M33" s="218" t="s">
        <v>1051</v>
      </c>
      <c r="N33" s="220">
        <v>0.19535835090000001</v>
      </c>
    </row>
    <row r="34" spans="3:14">
      <c r="D34" s="218" t="s">
        <v>1052</v>
      </c>
      <c r="E34" s="220">
        <v>2.5940945148000001</v>
      </c>
      <c r="G34" s="218" t="s">
        <v>1052</v>
      </c>
      <c r="H34" s="220">
        <v>0.94401353600000004</v>
      </c>
      <c r="J34" s="218" t="s">
        <v>1052</v>
      </c>
      <c r="K34" s="220">
        <v>0.77196264270000003</v>
      </c>
      <c r="M34" s="218" t="s">
        <v>1052</v>
      </c>
      <c r="N34" s="220">
        <v>0.2312459499</v>
      </c>
    </row>
    <row r="35" spans="3:14">
      <c r="D35" s="218" t="s">
        <v>1051</v>
      </c>
      <c r="E35" s="220">
        <v>0.79443818330000004</v>
      </c>
      <c r="G35" s="218" t="s">
        <v>1051</v>
      </c>
      <c r="H35" s="220">
        <v>0</v>
      </c>
      <c r="J35" s="218" t="s">
        <v>1051</v>
      </c>
      <c r="K35" s="220">
        <v>0</v>
      </c>
      <c r="M35" s="218" t="s">
        <v>1051</v>
      </c>
      <c r="N35" s="220">
        <v>0</v>
      </c>
    </row>
    <row r="36" spans="3:14">
      <c r="D36" s="218" t="s">
        <v>1053</v>
      </c>
      <c r="E36" s="220">
        <v>4.4279632568</v>
      </c>
      <c r="G36" s="218" t="s">
        <v>1053</v>
      </c>
      <c r="H36" s="220">
        <v>0.5985250473</v>
      </c>
      <c r="J36" s="218" t="s">
        <v>1053</v>
      </c>
      <c r="K36" s="220">
        <v>1.9223419427999999</v>
      </c>
      <c r="M36" s="218" t="s">
        <v>1053</v>
      </c>
      <c r="N36" s="220">
        <v>0.5486985445</v>
      </c>
    </row>
    <row r="37" spans="3:14">
      <c r="D37" s="218"/>
      <c r="E37" s="220"/>
      <c r="G37" s="218"/>
      <c r="H37" s="220"/>
      <c r="J37" s="218"/>
      <c r="K37" s="220"/>
    </row>
    <row r="38" spans="3:14">
      <c r="D38" s="218" t="s">
        <v>1054</v>
      </c>
      <c r="E38" s="220">
        <v>0.66657829280000003</v>
      </c>
      <c r="G38" s="218" t="s">
        <v>1054</v>
      </c>
      <c r="H38" s="220">
        <v>0.70042574410000003</v>
      </c>
      <c r="J38" s="218" t="s">
        <v>1054</v>
      </c>
      <c r="K38" s="220">
        <v>0.55936938520000001</v>
      </c>
      <c r="M38" s="218" t="s">
        <v>1054</v>
      </c>
      <c r="N38" s="220">
        <v>0.58076274390000004</v>
      </c>
    </row>
    <row r="39" spans="3:14">
      <c r="D39" s="218" t="s">
        <v>22</v>
      </c>
      <c r="E39" s="220">
        <v>0.3058757782</v>
      </c>
      <c r="G39" s="218" t="s">
        <v>22</v>
      </c>
      <c r="H39" s="220">
        <v>0.30860477689999999</v>
      </c>
      <c r="J39" s="218" t="s">
        <v>22</v>
      </c>
      <c r="K39" s="220">
        <v>0.39536136389999998</v>
      </c>
      <c r="M39" s="218" t="s">
        <v>22</v>
      </c>
      <c r="N39" s="220">
        <v>0.33831587429999999</v>
      </c>
    </row>
    <row r="40" spans="3:14">
      <c r="D40" s="218" t="s">
        <v>1055</v>
      </c>
      <c r="E40" s="220">
        <v>0.17491233349999999</v>
      </c>
      <c r="G40" s="218" t="s">
        <v>1050</v>
      </c>
      <c r="H40" s="220">
        <v>0.15076397359999999</v>
      </c>
      <c r="J40" s="218" t="s">
        <v>1050</v>
      </c>
      <c r="K40" s="220">
        <v>0.15202793479999999</v>
      </c>
      <c r="M40" s="218" t="s">
        <v>1050</v>
      </c>
      <c r="N40" s="220">
        <v>0.17421188949999999</v>
      </c>
    </row>
    <row r="41" spans="3:14">
      <c r="D41" s="218" t="s">
        <v>1056</v>
      </c>
      <c r="E41" s="220">
        <v>0.1055210754</v>
      </c>
      <c r="G41" s="218" t="s">
        <v>1056</v>
      </c>
      <c r="H41" s="220">
        <v>0.2947985232</v>
      </c>
      <c r="J41" s="218" t="s">
        <v>1056</v>
      </c>
      <c r="K41" s="220">
        <v>0.29709139470000001</v>
      </c>
      <c r="M41" s="218" t="s">
        <v>1056</v>
      </c>
      <c r="N41" s="220">
        <v>0.2688321769</v>
      </c>
    </row>
    <row r="42" spans="3:14">
      <c r="D42" s="218" t="s">
        <v>1057</v>
      </c>
      <c r="E42" s="220">
        <v>0.45996436480000003</v>
      </c>
      <c r="G42" s="218" t="s">
        <v>1057</v>
      </c>
      <c r="H42" s="220">
        <v>0.59342426059999998</v>
      </c>
      <c r="J42" s="218" t="s">
        <v>1057</v>
      </c>
      <c r="K42" s="220">
        <v>0.63697224860000001</v>
      </c>
      <c r="M42" s="218" t="s">
        <v>1057</v>
      </c>
      <c r="N42" s="220">
        <v>0.54777228830000002</v>
      </c>
    </row>
    <row r="43" spans="3:14">
      <c r="C43" s="41"/>
      <c r="D43" s="218" t="s">
        <v>1058</v>
      </c>
      <c r="E43" s="220">
        <v>3.5541392900000003E-2</v>
      </c>
      <c r="G43" s="218" t="s">
        <v>1058</v>
      </c>
      <c r="H43" s="220">
        <v>0.312472254</v>
      </c>
      <c r="J43" s="218" t="s">
        <v>1058</v>
      </c>
      <c r="K43" s="220">
        <v>0.21744452419999999</v>
      </c>
      <c r="M43" s="218" t="s">
        <v>1058</v>
      </c>
      <c r="N43" s="220">
        <v>0.17976853249999999</v>
      </c>
    </row>
    <row r="45" spans="3:14">
      <c r="D45" s="218"/>
      <c r="E45" s="220"/>
      <c r="M45" s="218"/>
      <c r="N45" s="220"/>
    </row>
    <row r="46" spans="3:14">
      <c r="D46" s="218"/>
      <c r="E46" s="220"/>
      <c r="G46" s="218"/>
      <c r="H46" s="220"/>
      <c r="J46" s="218"/>
      <c r="K46" s="220"/>
      <c r="M46" s="218"/>
      <c r="N46" s="220"/>
    </row>
    <row r="47" spans="3:14">
      <c r="G47" s="218"/>
      <c r="H47" s="220"/>
      <c r="J47" s="218"/>
      <c r="K47" s="220"/>
    </row>
    <row r="48" spans="3:14">
      <c r="G48" s="218"/>
      <c r="H48" s="220"/>
      <c r="J48" s="218"/>
      <c r="K48" s="220"/>
    </row>
    <row r="49" spans="4:18">
      <c r="D49" s="218"/>
      <c r="E49" s="220"/>
      <c r="G49" s="218"/>
      <c r="H49" s="220"/>
      <c r="J49" s="218"/>
      <c r="K49" s="220"/>
      <c r="M49" s="218"/>
      <c r="N49" s="220"/>
    </row>
    <row r="50" spans="4:18">
      <c r="M50" s="218"/>
      <c r="N50" s="220"/>
      <c r="Q50" s="218"/>
      <c r="R50" s="220"/>
    </row>
    <row r="51" spans="4:18">
      <c r="J51" s="218"/>
      <c r="K51" s="220"/>
      <c r="M51" s="218"/>
      <c r="N51" s="220"/>
    </row>
    <row r="52" spans="4:18">
      <c r="D52" s="218"/>
      <c r="E52" s="220"/>
      <c r="J52" s="218"/>
      <c r="K52" s="220"/>
      <c r="M52" s="218"/>
      <c r="N52" s="220"/>
    </row>
    <row r="53" spans="4:18">
      <c r="D53" s="218"/>
      <c r="E53" s="220"/>
      <c r="J53" s="218"/>
      <c r="K53" s="220"/>
      <c r="M53" s="218"/>
      <c r="N53" s="220"/>
    </row>
    <row r="54" spans="4:18">
      <c r="D54" s="218"/>
      <c r="E54" s="220"/>
      <c r="M54" s="218"/>
      <c r="N54" s="220"/>
    </row>
    <row r="55" spans="4:18">
      <c r="J55" s="222"/>
      <c r="K55" s="222"/>
      <c r="M55" s="218"/>
      <c r="N55" s="220"/>
    </row>
    <row r="56" spans="4:18">
      <c r="D56" s="218"/>
      <c r="E56" s="220"/>
    </row>
    <row r="57" spans="4:18">
      <c r="D57" s="218"/>
      <c r="E57" s="220"/>
      <c r="M57" s="218"/>
      <c r="N57" s="220"/>
    </row>
    <row r="58" spans="4:18">
      <c r="D58" s="218"/>
      <c r="E58" s="220"/>
      <c r="M58" s="218"/>
      <c r="N58" s="220"/>
    </row>
    <row r="59" spans="4:18">
      <c r="D59" s="218"/>
      <c r="E59" s="220"/>
      <c r="M59" s="218"/>
      <c r="N59" s="220"/>
    </row>
    <row r="60" spans="4:18">
      <c r="D60" s="218"/>
      <c r="E60" s="220"/>
      <c r="M60" s="218"/>
      <c r="N60" s="220"/>
    </row>
    <row r="61" spans="4:18">
      <c r="D61" s="218"/>
      <c r="E61" s="220"/>
      <c r="M61" s="218"/>
      <c r="N61" s="220"/>
    </row>
    <row r="62" spans="4:18">
      <c r="D62" s="218"/>
      <c r="E62" s="220"/>
      <c r="M62" s="218"/>
      <c r="N62" s="220"/>
    </row>
    <row r="63" spans="4:18">
      <c r="D63" s="218"/>
      <c r="E63" s="220"/>
      <c r="M63" s="218"/>
      <c r="N63" s="220"/>
    </row>
    <row r="64" spans="4:18">
      <c r="D64" s="218"/>
      <c r="E64" s="220"/>
    </row>
    <row r="65" spans="4:5">
      <c r="D65" s="218"/>
      <c r="E65" s="220"/>
    </row>
    <row r="66" spans="4:5">
      <c r="D66" s="218"/>
      <c r="E66" s="220"/>
    </row>
    <row r="67" spans="4:5">
      <c r="D67" s="218"/>
      <c r="E67" s="220"/>
    </row>
    <row r="68" spans="4:5">
      <c r="D68" s="218"/>
      <c r="E68" s="220"/>
    </row>
    <row r="72" spans="4:5">
      <c r="D72" s="218"/>
      <c r="E72" s="220"/>
    </row>
  </sheetData>
  <mergeCells count="4">
    <mergeCell ref="G1:H1"/>
    <mergeCell ref="J1:K1"/>
    <mergeCell ref="M1:N1"/>
    <mergeCell ref="D1:E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E11B3-D9B5-4DD6-B0EA-0E2D707E721A}">
  <sheetPr codeName="Sheet14"/>
  <dimension ref="B5:B48"/>
  <sheetViews>
    <sheetView workbookViewId="0">
      <selection activeCell="P24" sqref="P24"/>
    </sheetView>
  </sheetViews>
  <sheetFormatPr defaultRowHeight="15"/>
  <sheetData>
    <row r="5" spans="2:2" ht="16.5">
      <c r="B5" s="117"/>
    </row>
    <row r="6" spans="2:2" ht="16.5">
      <c r="B6" s="117"/>
    </row>
    <row r="7" spans="2:2" ht="16.5">
      <c r="B7" s="117"/>
    </row>
    <row r="8" spans="2:2" ht="16.5">
      <c r="B8" s="117"/>
    </row>
    <row r="9" spans="2:2" ht="16.5">
      <c r="B9" s="117"/>
    </row>
    <row r="10" spans="2:2" ht="16.5">
      <c r="B10" s="117"/>
    </row>
    <row r="11" spans="2:2" ht="16.5">
      <c r="B11" s="117"/>
    </row>
    <row r="12" spans="2:2" ht="16.5">
      <c r="B12" s="117"/>
    </row>
    <row r="13" spans="2:2" ht="16.5">
      <c r="B13" s="117"/>
    </row>
    <row r="14" spans="2:2" ht="16.5">
      <c r="B14" s="117"/>
    </row>
    <row r="15" spans="2:2" ht="16.5">
      <c r="B15" s="117"/>
    </row>
    <row r="16" spans="2:2" ht="16.5">
      <c r="B16" s="117"/>
    </row>
    <row r="17" spans="2:2" ht="16.5">
      <c r="B17" s="117"/>
    </row>
    <row r="18" spans="2:2" ht="16.5">
      <c r="B18" s="117"/>
    </row>
    <row r="19" spans="2:2" ht="16.5">
      <c r="B19" s="117"/>
    </row>
    <row r="20" spans="2:2" ht="16.5">
      <c r="B20" s="117"/>
    </row>
    <row r="21" spans="2:2" ht="16.5">
      <c r="B21" s="117"/>
    </row>
    <row r="22" spans="2:2" ht="16.5">
      <c r="B22" s="117"/>
    </row>
    <row r="23" spans="2:2" ht="16.5">
      <c r="B23" s="117"/>
    </row>
    <row r="24" spans="2:2" ht="16.5">
      <c r="B24" s="117"/>
    </row>
    <row r="25" spans="2:2" ht="16.5">
      <c r="B25" s="117"/>
    </row>
    <row r="26" spans="2:2" ht="16.5">
      <c r="B26" s="117"/>
    </row>
    <row r="27" spans="2:2" ht="16.5">
      <c r="B27" s="117"/>
    </row>
    <row r="28" spans="2:2" ht="16.5">
      <c r="B28" s="117"/>
    </row>
    <row r="29" spans="2:2" ht="16.5">
      <c r="B29" s="117"/>
    </row>
    <row r="30" spans="2:2" ht="16.5">
      <c r="B30" s="117"/>
    </row>
    <row r="31" spans="2:2" ht="16.5">
      <c r="B31" s="117"/>
    </row>
    <row r="32" spans="2:2" ht="16.5">
      <c r="B32" s="117"/>
    </row>
    <row r="33" spans="2:2" ht="16.5">
      <c r="B33" s="117"/>
    </row>
    <row r="34" spans="2:2" ht="16.5">
      <c r="B34" s="117"/>
    </row>
    <row r="35" spans="2:2" ht="16.5">
      <c r="B35" s="117"/>
    </row>
    <row r="36" spans="2:2" ht="16.5">
      <c r="B36" s="117"/>
    </row>
    <row r="37" spans="2:2" ht="16.5">
      <c r="B37" s="117"/>
    </row>
    <row r="38" spans="2:2" ht="16.5">
      <c r="B38" s="117"/>
    </row>
    <row r="39" spans="2:2" ht="16.5">
      <c r="B39" s="117"/>
    </row>
    <row r="40" spans="2:2" ht="16.5">
      <c r="B40" s="117"/>
    </row>
    <row r="41" spans="2:2" ht="16.5">
      <c r="B41" s="117"/>
    </row>
    <row r="42" spans="2:2" ht="16.5">
      <c r="B42" s="117"/>
    </row>
    <row r="43" spans="2:2" ht="16.5">
      <c r="B43" s="117"/>
    </row>
    <row r="44" spans="2:2" ht="16.5">
      <c r="B44" s="117"/>
    </row>
    <row r="45" spans="2:2" ht="16.5">
      <c r="B45" s="117"/>
    </row>
    <row r="46" spans="2:2" ht="16.5">
      <c r="B46" s="117"/>
    </row>
    <row r="47" spans="2:2" ht="16.5">
      <c r="B47" s="117"/>
    </row>
    <row r="48" spans="2:2" ht="16.5">
      <c r="B48" s="117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B2192-0353-4900-8BD0-037B40646AB4}">
  <dimension ref="Y9:AB14"/>
  <sheetViews>
    <sheetView topLeftCell="A22" workbookViewId="0">
      <selection activeCell="Z31" sqref="Z31"/>
    </sheetView>
  </sheetViews>
  <sheetFormatPr defaultRowHeight="15"/>
  <cols>
    <col min="1" max="24" width="9.140625" style="40"/>
    <col min="25" max="25" width="22.28515625" style="219" bestFit="1" customWidth="1"/>
    <col min="26" max="28" width="13.85546875" style="40" bestFit="1" customWidth="1"/>
    <col min="29" max="16384" width="9.140625" style="40"/>
  </cols>
  <sheetData>
    <row r="9" spans="25:28">
      <c r="Y9" s="263" t="s">
        <v>1059</v>
      </c>
      <c r="Z9" s="263"/>
      <c r="AA9" s="263"/>
      <c r="AB9" s="263"/>
    </row>
    <row r="10" spans="25:28">
      <c r="Y10" s="263" t="s">
        <v>1060</v>
      </c>
      <c r="Z10" s="84" t="s">
        <v>1061</v>
      </c>
      <c r="AA10" s="84" t="s">
        <v>1062</v>
      </c>
      <c r="AB10" s="84" t="s">
        <v>1063</v>
      </c>
    </row>
    <row r="11" spans="25:28">
      <c r="Y11" s="265"/>
      <c r="Z11" s="241" t="s">
        <v>1064</v>
      </c>
      <c r="AA11" s="241" t="s">
        <v>1065</v>
      </c>
      <c r="AB11" s="241" t="s">
        <v>1066</v>
      </c>
    </row>
    <row r="12" spans="25:28">
      <c r="Y12" s="237" t="s">
        <v>4</v>
      </c>
      <c r="Z12" s="238"/>
      <c r="AA12" s="238"/>
      <c r="AB12" s="238"/>
    </row>
    <row r="13" spans="25:28">
      <c r="Y13" s="239" t="s">
        <v>72</v>
      </c>
      <c r="Z13" s="240"/>
      <c r="AA13" s="240"/>
      <c r="AB13" s="240"/>
    </row>
    <row r="14" spans="25:28">
      <c r="Y14" s="239" t="s">
        <v>73</v>
      </c>
      <c r="Z14" s="240"/>
      <c r="AA14" s="240"/>
      <c r="AB14" s="240"/>
    </row>
  </sheetData>
  <mergeCells count="2">
    <mergeCell ref="Y10:Y11"/>
    <mergeCell ref="Y9:AB9"/>
  </mergeCells>
  <phoneticPr fontId="38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CFDD-6E56-4023-8E8E-6479A6858AA1}">
  <dimension ref="I7:L26"/>
  <sheetViews>
    <sheetView workbookViewId="0">
      <selection activeCell="M33" sqref="M33"/>
    </sheetView>
  </sheetViews>
  <sheetFormatPr defaultRowHeight="15"/>
  <cols>
    <col min="1" max="8" width="9.140625" style="40"/>
    <col min="9" max="9" width="30.42578125" style="40" bestFit="1" customWidth="1"/>
    <col min="10" max="11" width="9.140625" style="41"/>
    <col min="12" max="12" width="33.140625" style="40" bestFit="1" customWidth="1"/>
    <col min="13" max="16384" width="9.140625" style="40"/>
  </cols>
  <sheetData>
    <row r="7" spans="9:11">
      <c r="I7" s="219" t="s">
        <v>1067</v>
      </c>
      <c r="J7" s="41" t="s">
        <v>1068</v>
      </c>
      <c r="K7" s="41">
        <v>67</v>
      </c>
    </row>
    <row r="8" spans="9:11">
      <c r="I8" s="219" t="s">
        <v>1067</v>
      </c>
      <c r="J8" s="41" t="s">
        <v>1069</v>
      </c>
      <c r="K8" s="41">
        <v>8.4600000000000009</v>
      </c>
    </row>
    <row r="9" spans="9:11">
      <c r="I9" s="219" t="s">
        <v>1070</v>
      </c>
      <c r="J9" s="41" t="s">
        <v>102</v>
      </c>
      <c r="K9" s="41">
        <v>0.66500000000000004</v>
      </c>
    </row>
    <row r="10" spans="9:11">
      <c r="I10" s="219" t="s">
        <v>1067</v>
      </c>
      <c r="J10" s="41" t="s">
        <v>1071</v>
      </c>
      <c r="K10" s="225">
        <f>K8/K9</f>
        <v>12.721804511278195</v>
      </c>
    </row>
    <row r="11" spans="9:11">
      <c r="I11" s="40" t="s">
        <v>1072</v>
      </c>
      <c r="J11" s="41" t="s">
        <v>118</v>
      </c>
      <c r="K11" s="41">
        <v>1.5</v>
      </c>
    </row>
    <row r="12" spans="9:11">
      <c r="I12" s="153" t="s">
        <v>105</v>
      </c>
      <c r="J12" s="84" t="s">
        <v>1073</v>
      </c>
      <c r="K12" s="88">
        <f>K10/K11</f>
        <v>8.481203007518797</v>
      </c>
    </row>
    <row r="14" spans="9:11">
      <c r="I14" s="85" t="s">
        <v>1074</v>
      </c>
      <c r="J14" s="84" t="s">
        <v>1075</v>
      </c>
      <c r="K14" s="90">
        <f>K12*0.5</f>
        <v>4.2406015037593985</v>
      </c>
    </row>
    <row r="15" spans="9:11">
      <c r="I15" s="85" t="s">
        <v>1076</v>
      </c>
      <c r="J15" s="84" t="s">
        <v>1075</v>
      </c>
      <c r="K15" s="90">
        <f>K12*0.626</f>
        <v>5.3092330827067666</v>
      </c>
    </row>
    <row r="21" spans="9:12">
      <c r="I21" s="219" t="s">
        <v>1077</v>
      </c>
      <c r="J21" s="41" t="s">
        <v>1078</v>
      </c>
      <c r="K21" s="242">
        <v>56900</v>
      </c>
    </row>
    <row r="22" spans="9:12">
      <c r="I22" s="219" t="s">
        <v>1079</v>
      </c>
      <c r="J22" s="41" t="s">
        <v>8</v>
      </c>
      <c r="K22" s="41">
        <v>0.3</v>
      </c>
    </row>
    <row r="23" spans="9:12">
      <c r="I23" s="219" t="s">
        <v>1080</v>
      </c>
      <c r="J23" s="41" t="s">
        <v>108</v>
      </c>
      <c r="K23" s="41">
        <f>1*K22*1.02/100*1000</f>
        <v>3.0599999999999996</v>
      </c>
      <c r="L23" s="40" t="s">
        <v>1081</v>
      </c>
    </row>
    <row r="24" spans="9:12">
      <c r="I24" s="40" t="s">
        <v>1082</v>
      </c>
      <c r="J24" s="41" t="s">
        <v>1083</v>
      </c>
      <c r="K24" s="41">
        <f>(K23*K21)/1000</f>
        <v>174.11399999999998</v>
      </c>
    </row>
    <row r="25" spans="9:12">
      <c r="I25" s="219"/>
    </row>
    <row r="26" spans="9:12">
      <c r="I26" s="21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Balam, Harish K PTIN-PTX/D/L/L</dc:creator>
  <cp:keywords/>
  <dc:description/>
  <cp:lastModifiedBy/>
  <cp:revision/>
  <dcterms:created xsi:type="dcterms:W3CDTF">2026-07-06T05:20:57Z</dcterms:created>
  <dcterms:modified xsi:type="dcterms:W3CDTF">2026-09-20T14:04:01Z</dcterms:modified>
  <cp:category/>
  <cp:contentStatus/>
</cp:coreProperties>
</file>