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ocuments\Course Study process\LUBS5308M01 Business analytics &amp; Decision Sciences\Coursework\"/>
    </mc:Choice>
  </mc:AlternateContent>
  <xr:revisionPtr revIDLastSave="0" documentId="13_ncr:1_{7D782859-EC5E-4F02-9B37-055A34B5A892}" xr6:coauthVersionLast="47" xr6:coauthVersionMax="47" xr10:uidLastSave="{00000000-0000-0000-0000-000000000000}"/>
  <bookViews>
    <workbookView xWindow="-98" yWindow="-98" windowWidth="21795" windowHeight="12975" tabRatio="842" xr2:uid="{6384F6F9-48B9-462D-8CFA-33BE804442B5}"/>
  </bookViews>
  <sheets>
    <sheet name="Intro &amp; Scaling" sheetId="1" r:id="rId1"/>
    <sheet name="AHP_Weights" sheetId="2" r:id="rId2"/>
    <sheet name="AHP_Public Transport Links" sheetId="3" r:id="rId3"/>
    <sheet name="AHP_Parking" sheetId="4" r:id="rId4"/>
    <sheet name="AHP_Warehouse Space" sheetId="5" r:id="rId5"/>
    <sheet name="AHP_Security" sheetId="6" r:id="rId6"/>
    <sheet name="AHP_Cost" sheetId="7" r:id="rId7"/>
    <sheet name="AHP_Results" sheetId="8" r:id="rId8"/>
    <sheet name="TOPSI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H31" i="5"/>
  <c r="I42" i="2"/>
  <c r="I35" i="2"/>
  <c r="I28" i="2"/>
  <c r="I21" i="2"/>
  <c r="I14" i="2"/>
  <c r="E3" i="7" l="1"/>
  <c r="C9" i="3" a="1"/>
  <c r="C9" i="3" s="1"/>
  <c r="F6" i="3"/>
  <c r="C6" i="3"/>
  <c r="F4" i="3"/>
  <c r="E5" i="3"/>
  <c r="H8" i="9" l="1"/>
  <c r="H9" i="9" s="1"/>
  <c r="G8" i="9"/>
  <c r="G9" i="9" s="1"/>
  <c r="F8" i="9"/>
  <c r="F9" i="9" s="1"/>
  <c r="E8" i="9"/>
  <c r="E9" i="9" s="1"/>
  <c r="D8" i="9"/>
  <c r="D9" i="9" s="1"/>
  <c r="E13" i="9" l="1"/>
  <c r="E19" i="9" s="1"/>
  <c r="E12" i="9"/>
  <c r="E18" i="9" s="1"/>
  <c r="E15" i="9"/>
  <c r="E21" i="9" s="1"/>
  <c r="E14" i="9"/>
  <c r="E20" i="9" s="1"/>
  <c r="G12" i="9"/>
  <c r="G18" i="9" s="1"/>
  <c r="G15" i="9"/>
  <c r="G21" i="9" s="1"/>
  <c r="G13" i="9"/>
  <c r="G19" i="9" s="1"/>
  <c r="G14" i="9"/>
  <c r="G20" i="9" s="1"/>
  <c r="D13" i="9"/>
  <c r="D19" i="9" s="1"/>
  <c r="D12" i="9"/>
  <c r="D18" i="9" s="1"/>
  <c r="D15" i="9"/>
  <c r="D21" i="9" s="1"/>
  <c r="D14" i="9"/>
  <c r="D20" i="9" s="1"/>
  <c r="F13" i="9"/>
  <c r="F19" i="9" s="1"/>
  <c r="F12" i="9"/>
  <c r="F18" i="9" s="1"/>
  <c r="F15" i="9"/>
  <c r="F21" i="9" s="1"/>
  <c r="F14" i="9"/>
  <c r="F20" i="9" s="1"/>
  <c r="H12" i="9"/>
  <c r="H18" i="9" s="1"/>
  <c r="H15" i="9"/>
  <c r="H21" i="9" s="1"/>
  <c r="H14" i="9"/>
  <c r="H20" i="9" s="1"/>
  <c r="H13" i="9"/>
  <c r="H19" i="9" s="1"/>
  <c r="G6" i="2"/>
  <c r="E7" i="2"/>
  <c r="E6" i="2"/>
  <c r="G4" i="2"/>
  <c r="E4" i="2"/>
  <c r="G3" i="2"/>
  <c r="E3" i="2"/>
  <c r="E4" i="8"/>
  <c r="E5" i="8"/>
  <c r="E6" i="8"/>
  <c r="E3" i="8"/>
  <c r="D7" i="5"/>
  <c r="D6" i="5"/>
  <c r="F4" i="5"/>
  <c r="E4" i="5"/>
  <c r="D4" i="5"/>
  <c r="H37" i="4"/>
  <c r="H34" i="4"/>
  <c r="H35" i="4"/>
  <c r="H36" i="4"/>
  <c r="H33" i="4"/>
  <c r="G37" i="4"/>
  <c r="G34" i="4"/>
  <c r="G35" i="4"/>
  <c r="G36" i="4"/>
  <c r="G33" i="4"/>
  <c r="C33" i="4" a="1"/>
  <c r="C33" i="4" s="1"/>
  <c r="H31" i="4"/>
  <c r="H28" i="4"/>
  <c r="H29" i="4"/>
  <c r="H30" i="4"/>
  <c r="E7" i="4"/>
  <c r="D7" i="4"/>
  <c r="E5" i="4"/>
  <c r="F4" i="4"/>
  <c r="E4" i="4"/>
  <c r="D4" i="4"/>
  <c r="F5" i="3"/>
  <c r="C9" i="2" l="1" a="1"/>
  <c r="F24" i="9"/>
  <c r="F29" i="9"/>
  <c r="F31" i="9"/>
  <c r="F26" i="9"/>
  <c r="D28" i="9"/>
  <c r="D23" i="9"/>
  <c r="G25" i="9"/>
  <c r="G30" i="9"/>
  <c r="D25" i="9"/>
  <c r="D30" i="9"/>
  <c r="G24" i="9"/>
  <c r="G29" i="9"/>
  <c r="G31" i="9"/>
  <c r="G26" i="9"/>
  <c r="F28" i="9"/>
  <c r="F23" i="9"/>
  <c r="D31" i="9"/>
  <c r="D26" i="9"/>
  <c r="G28" i="9"/>
  <c r="G23" i="9"/>
  <c r="F25" i="9"/>
  <c r="F30" i="9"/>
  <c r="D29" i="9"/>
  <c r="D24" i="9"/>
  <c r="H24" i="9"/>
  <c r="H29" i="9"/>
  <c r="E25" i="9"/>
  <c r="E30" i="9"/>
  <c r="E31" i="9"/>
  <c r="E26" i="9"/>
  <c r="H30" i="9"/>
  <c r="H25" i="9"/>
  <c r="H31" i="9"/>
  <c r="H26" i="9"/>
  <c r="E28" i="9"/>
  <c r="E23" i="9"/>
  <c r="H28" i="9"/>
  <c r="H23" i="9"/>
  <c r="E29" i="9"/>
  <c r="E24" i="9"/>
  <c r="F4" i="2"/>
  <c r="F3" i="2"/>
  <c r="C4" i="2"/>
  <c r="J31" i="9" l="1"/>
  <c r="J30" i="9"/>
  <c r="J26" i="9"/>
  <c r="C9" i="2"/>
  <c r="H11" i="2"/>
  <c r="H10" i="2"/>
  <c r="H13" i="2"/>
  <c r="H12" i="2"/>
  <c r="J25" i="9"/>
  <c r="J24" i="9"/>
  <c r="J29" i="9"/>
  <c r="J23" i="9"/>
  <c r="J28" i="9"/>
  <c r="H4" i="8"/>
  <c r="H5" i="8"/>
  <c r="H6" i="8"/>
  <c r="H3" i="8"/>
  <c r="G4" i="8"/>
  <c r="G5" i="8"/>
  <c r="G6" i="8"/>
  <c r="G3" i="8"/>
  <c r="F4" i="7"/>
  <c r="F5" i="7"/>
  <c r="F6" i="7"/>
  <c r="F3" i="7"/>
  <c r="E7" i="7"/>
  <c r="E4" i="7"/>
  <c r="E5" i="7"/>
  <c r="E6" i="7"/>
  <c r="E4" i="6"/>
  <c r="E5" i="6"/>
  <c r="E6" i="6"/>
  <c r="E3" i="6"/>
  <c r="D7" i="6"/>
  <c r="C9" i="5" a="1"/>
  <c r="C9" i="4" a="1"/>
  <c r="D36" i="9" l="1"/>
  <c r="D37" i="9"/>
  <c r="D35" i="9"/>
  <c r="C16" i="2" a="1"/>
  <c r="H9" i="2"/>
  <c r="D34" i="9"/>
  <c r="C9" i="5"/>
  <c r="G11" i="5"/>
  <c r="G12" i="5"/>
  <c r="G10" i="5"/>
  <c r="C9" i="4"/>
  <c r="G10" i="4"/>
  <c r="G11" i="4"/>
  <c r="G12" i="4"/>
  <c r="G10" i="3"/>
  <c r="G11" i="3"/>
  <c r="G12" i="3"/>
  <c r="I9" i="2" l="1"/>
  <c r="H14" i="2"/>
  <c r="C16" i="2"/>
  <c r="H19" i="2"/>
  <c r="H17" i="2"/>
  <c r="H18" i="2"/>
  <c r="H20" i="2"/>
  <c r="G9" i="5"/>
  <c r="C15" i="5" a="1"/>
  <c r="C15" i="4" a="1"/>
  <c r="G9" i="4"/>
  <c r="C15" i="3" a="1"/>
  <c r="G9" i="3"/>
  <c r="H16" i="2" l="1"/>
  <c r="C23" i="2" a="1"/>
  <c r="I13" i="2"/>
  <c r="I12" i="2"/>
  <c r="I10" i="2"/>
  <c r="I11" i="2"/>
  <c r="C15" i="5"/>
  <c r="G16" i="5"/>
  <c r="G17" i="5"/>
  <c r="G18" i="5"/>
  <c r="G13" i="5"/>
  <c r="C15" i="4"/>
  <c r="G16" i="4"/>
  <c r="G17" i="4"/>
  <c r="G18" i="4"/>
  <c r="G13" i="4"/>
  <c r="C15" i="3"/>
  <c r="C21" i="3" s="1" a="1"/>
  <c r="C21" i="3" s="1"/>
  <c r="G16" i="3"/>
  <c r="G17" i="3"/>
  <c r="G18" i="3"/>
  <c r="G13" i="3"/>
  <c r="C23" i="2" l="1"/>
  <c r="H24" i="2"/>
  <c r="H25" i="2"/>
  <c r="H26" i="2"/>
  <c r="H27" i="2"/>
  <c r="H21" i="2"/>
  <c r="G15" i="3"/>
  <c r="G15" i="5"/>
  <c r="G19" i="5" s="1"/>
  <c r="H17" i="5" s="1"/>
  <c r="C21" i="5" a="1"/>
  <c r="H10" i="5"/>
  <c r="H12" i="5"/>
  <c r="H11" i="5"/>
  <c r="H9" i="5"/>
  <c r="G15" i="4"/>
  <c r="G19" i="4" s="1"/>
  <c r="H18" i="4" s="1"/>
  <c r="C21" i="4" a="1"/>
  <c r="H12" i="4"/>
  <c r="H11" i="4"/>
  <c r="H10" i="4"/>
  <c r="H9" i="4"/>
  <c r="H12" i="3"/>
  <c r="H11" i="3"/>
  <c r="H10" i="3"/>
  <c r="H9" i="3"/>
  <c r="G19" i="3"/>
  <c r="H16" i="3" s="1"/>
  <c r="I20" i="2" l="1"/>
  <c r="I17" i="2"/>
  <c r="I18" i="2"/>
  <c r="I19" i="2"/>
  <c r="I16" i="2"/>
  <c r="H23" i="2"/>
  <c r="C30" i="2" a="1"/>
  <c r="G22" i="3"/>
  <c r="G23" i="3"/>
  <c r="G24" i="3"/>
  <c r="C21" i="5"/>
  <c r="G23" i="5"/>
  <c r="G24" i="5"/>
  <c r="G22" i="5"/>
  <c r="H15" i="5"/>
  <c r="H18" i="5"/>
  <c r="H16" i="5"/>
  <c r="C21" i="4"/>
  <c r="G22" i="4"/>
  <c r="G23" i="4"/>
  <c r="G24" i="4"/>
  <c r="H15" i="4"/>
  <c r="H16" i="4"/>
  <c r="H17" i="4"/>
  <c r="H13" i="3"/>
  <c r="H17" i="3"/>
  <c r="H18" i="3"/>
  <c r="H15" i="3"/>
  <c r="H19" i="3" s="1"/>
  <c r="H28" i="2" l="1"/>
  <c r="C30" i="2"/>
  <c r="H34" i="2"/>
  <c r="H32" i="2"/>
  <c r="H33" i="2"/>
  <c r="H31" i="2"/>
  <c r="C27" i="3" a="1"/>
  <c r="G21" i="3"/>
  <c r="G21" i="5"/>
  <c r="C27" i="5" a="1"/>
  <c r="C27" i="4" a="1"/>
  <c r="G21" i="4"/>
  <c r="C37" i="2" l="1" a="1"/>
  <c r="H30" i="2"/>
  <c r="I27" i="2"/>
  <c r="I25" i="2"/>
  <c r="I24" i="2"/>
  <c r="I26" i="2"/>
  <c r="I23" i="2"/>
  <c r="G25" i="3"/>
  <c r="C27" i="3"/>
  <c r="G30" i="3"/>
  <c r="G29" i="3"/>
  <c r="G28" i="3"/>
  <c r="C27" i="5"/>
  <c r="G27" i="5" s="1"/>
  <c r="G30" i="5"/>
  <c r="G28" i="5"/>
  <c r="G29" i="5"/>
  <c r="G25" i="5"/>
  <c r="G25" i="4"/>
  <c r="C27" i="4"/>
  <c r="G27" i="4" s="1"/>
  <c r="G30" i="4"/>
  <c r="G28" i="4"/>
  <c r="G29" i="4"/>
  <c r="G27" i="3" l="1"/>
  <c r="G31" i="3" s="1"/>
  <c r="H28" i="3" s="1"/>
  <c r="C33" i="3" a="1"/>
  <c r="H35" i="2"/>
  <c r="C37" i="2"/>
  <c r="H37" i="2" s="1"/>
  <c r="H39" i="2"/>
  <c r="H40" i="2"/>
  <c r="H38" i="2"/>
  <c r="H41" i="2"/>
  <c r="H24" i="3"/>
  <c r="H23" i="3"/>
  <c r="H22" i="3"/>
  <c r="H21" i="3"/>
  <c r="G31" i="5"/>
  <c r="H27" i="5" s="1"/>
  <c r="F3" i="8" s="1"/>
  <c r="H22" i="5"/>
  <c r="H24" i="5"/>
  <c r="H23" i="5"/>
  <c r="H21" i="5"/>
  <c r="G31" i="4"/>
  <c r="H27" i="4"/>
  <c r="H23" i="4"/>
  <c r="H22" i="4"/>
  <c r="H24" i="4"/>
  <c r="H21" i="4"/>
  <c r="H25" i="4" s="1"/>
  <c r="C33" i="3" l="1"/>
  <c r="G33" i="3" s="1"/>
  <c r="G35" i="3"/>
  <c r="G36" i="3"/>
  <c r="G34" i="3"/>
  <c r="I31" i="2"/>
  <c r="I32" i="2"/>
  <c r="I34" i="2"/>
  <c r="I33" i="2"/>
  <c r="I39" i="2"/>
  <c r="K5" i="8" s="1"/>
  <c r="H42" i="2"/>
  <c r="I40" i="2" s="1"/>
  <c r="K6" i="8" s="1"/>
  <c r="I37" i="2"/>
  <c r="K3" i="8" s="1"/>
  <c r="I30" i="2"/>
  <c r="H25" i="3"/>
  <c r="H30" i="3"/>
  <c r="H29" i="3"/>
  <c r="H27" i="3"/>
  <c r="H25" i="5"/>
  <c r="H30" i="5"/>
  <c r="F6" i="8" s="1"/>
  <c r="H28" i="5"/>
  <c r="F4" i="8" s="1"/>
  <c r="H29" i="5"/>
  <c r="F5" i="8" s="1"/>
  <c r="G37" i="3" l="1"/>
  <c r="H33" i="3"/>
  <c r="H34" i="3"/>
  <c r="D4" i="8" s="1"/>
  <c r="H36" i="3"/>
  <c r="D6" i="8" s="1"/>
  <c r="H35" i="3"/>
  <c r="D5" i="8" s="1"/>
  <c r="H31" i="3"/>
  <c r="I38" i="2"/>
  <c r="K4" i="8" s="1"/>
  <c r="I41" i="2"/>
  <c r="K7" i="8" s="1"/>
  <c r="D3" i="8" l="1"/>
  <c r="D10" i="8" s="1"/>
  <c r="H37" i="3"/>
  <c r="D12" i="8"/>
  <c r="D13" i="8"/>
  <c r="D11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<sst xmlns="http://schemas.openxmlformats.org/spreadsheetml/2006/main" count="187" uniqueCount="48">
  <si>
    <t>Centre(A1)</t>
  </si>
  <si>
    <t>Suburb(A2)</t>
  </si>
  <si>
    <t>Shared(A3)</t>
  </si>
  <si>
    <t>Public Transport Links (C1)</t>
  </si>
  <si>
    <t>Parking(C2)</t>
  </si>
  <si>
    <t>Warehouse Space(C3)</t>
  </si>
  <si>
    <t>Security(C4)</t>
  </si>
  <si>
    <t>Cost(C5)</t>
  </si>
  <si>
    <t>Good Bus &amp; Rail Links</t>
  </si>
  <si>
    <t>Good bus links but no rail links</t>
  </si>
  <si>
    <t>Poor bus links but good rail links</t>
  </si>
  <si>
    <t>Excellent bus and rail links</t>
  </si>
  <si>
    <t>Poor</t>
  </si>
  <si>
    <t xml:space="preserve">Good </t>
  </si>
  <si>
    <t>Excellent</t>
  </si>
  <si>
    <t>Moderate</t>
  </si>
  <si>
    <t>Good</t>
  </si>
  <si>
    <t>***</t>
  </si>
  <si>
    <t>****</t>
  </si>
  <si>
    <t>*</t>
  </si>
  <si>
    <t>£900,000</t>
  </si>
  <si>
    <t>£600,000</t>
  </si>
  <si>
    <t>£300,000</t>
  </si>
  <si>
    <t>£200,000</t>
  </si>
  <si>
    <t>Extend(A4)</t>
  </si>
  <si>
    <t xml:space="preserve">No </t>
  </si>
  <si>
    <t>Weightage</t>
  </si>
  <si>
    <t>Summed rows</t>
  </si>
  <si>
    <t>Summed Rows</t>
  </si>
  <si>
    <t>Weights</t>
  </si>
  <si>
    <t>Score</t>
  </si>
  <si>
    <t>Alternatives</t>
  </si>
  <si>
    <t>Sum Squared</t>
  </si>
  <si>
    <t>Root sum Squared</t>
  </si>
  <si>
    <t>Si*</t>
  </si>
  <si>
    <t>PIS</t>
  </si>
  <si>
    <t>Si-</t>
  </si>
  <si>
    <t>NIS</t>
  </si>
  <si>
    <t>Scores</t>
  </si>
  <si>
    <t>Normalised Value</t>
  </si>
  <si>
    <t>Total</t>
  </si>
  <si>
    <t>Value</t>
  </si>
  <si>
    <t>Inverted Value</t>
  </si>
  <si>
    <t>Rank</t>
  </si>
  <si>
    <t>Best option</t>
  </si>
  <si>
    <t>Worst option</t>
  </si>
  <si>
    <t>Qualitative data conveted to quantitative data using a custom scale</t>
  </si>
  <si>
    <t>Custom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</si>
</sst>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6" borderId="1" xfId="0" applyFill="1" applyBorder="1"/>
    <xf numFmtId="0" fontId="0" fillId="4" borderId="1" xfId="0" applyFill="1" applyBorder="1"/>
    <xf numFmtId="0" fontId="0" fillId="4" borderId="4" xfId="0" applyFill="1" applyBorder="1"/>
    <xf numFmtId="0" fontId="0" fillId="6" borderId="4" xfId="0" applyFill="1" applyBorder="1"/>
    <xf numFmtId="0" fontId="0" fillId="0" borderId="5" xfId="0" applyBorder="1"/>
    <xf numFmtId="16" fontId="0" fillId="0" borderId="0" xfId="0" applyNumberFormat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2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8" borderId="1" xfId="0" applyFont="1" applyFill="1" applyBorder="1" applyAlignment="1">
      <alignment wrapText="1"/>
    </xf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1" fillId="13" borderId="1" xfId="0" applyFont="1" applyFill="1" applyBorder="1"/>
    <xf numFmtId="0" fontId="0" fillId="14" borderId="1" xfId="0" applyFill="1" applyBorder="1"/>
    <xf numFmtId="0" fontId="0" fillId="9" borderId="1" xfId="0" applyFill="1" applyBorder="1" applyAlignment="1">
      <alignment wrapText="1"/>
    </xf>
    <xf numFmtId="0" fontId="0" fillId="15" borderId="1" xfId="0" applyFill="1" applyBorder="1"/>
    <xf numFmtId="0" fontId="1" fillId="11" borderId="1" xfId="0" applyFont="1" applyFill="1" applyBorder="1" applyAlignment="1">
      <alignment wrapText="1"/>
    </xf>
    <xf numFmtId="0" fontId="0" fillId="2" borderId="6" xfId="0" applyFill="1" applyBorder="1"/>
    <xf numFmtId="0" fontId="1" fillId="8" borderId="0" xfId="0" applyFont="1" applyFill="1"/>
    <xf numFmtId="3" fontId="0" fillId="11" borderId="2" xfId="0" applyNumberFormat="1" applyFill="1" applyBorder="1"/>
    <xf numFmtId="0" fontId="1" fillId="16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0" fillId="11" borderId="2" xfId="0" applyFill="1" applyBorder="1"/>
    <xf numFmtId="0" fontId="0" fillId="17" borderId="1" xfId="0" applyFill="1" applyBorder="1"/>
    <xf numFmtId="0" fontId="1" fillId="5" borderId="1" xfId="0" applyFont="1" applyFill="1" applyBorder="1"/>
    <xf numFmtId="0" fontId="0" fillId="9" borderId="2" xfId="0" applyFill="1" applyBorder="1"/>
    <xf numFmtId="0" fontId="1" fillId="10" borderId="2" xfId="0" applyFont="1" applyFill="1" applyBorder="1"/>
    <xf numFmtId="0" fontId="3" fillId="0" borderId="3" xfId="0" applyFont="1" applyBorder="1"/>
    <xf numFmtId="3" fontId="0" fillId="9" borderId="1" xfId="0" applyNumberFormat="1" applyFill="1" applyBorder="1"/>
    <xf numFmtId="0" fontId="0" fillId="10" borderId="1" xfId="0" applyFill="1" applyBorder="1" applyAlignment="1">
      <alignment wrapText="1"/>
    </xf>
    <xf numFmtId="3" fontId="0" fillId="10" borderId="1" xfId="0" applyNumberFormat="1" applyFill="1" applyBorder="1"/>
    <xf numFmtId="0" fontId="4" fillId="18" borderId="1" xfId="0" applyFont="1" applyFill="1" applyBorder="1"/>
    <xf numFmtId="0" fontId="0" fillId="7" borderId="1" xfId="0" applyFill="1" applyBorder="1"/>
    <xf numFmtId="0" fontId="0" fillId="10" borderId="4" xfId="0" applyFill="1" applyBorder="1"/>
    <xf numFmtId="0" fontId="0" fillId="0" borderId="7" xfId="0" applyBorder="1"/>
    <xf numFmtId="0" fontId="0" fillId="0" borderId="9" xfId="0" applyBorder="1"/>
    <xf numFmtId="0" fontId="1" fillId="15" borderId="4" xfId="0" applyFont="1" applyFill="1" applyBorder="1"/>
    <xf numFmtId="0" fontId="1" fillId="6" borderId="4" xfId="0" applyFont="1" applyFill="1" applyBorder="1"/>
    <xf numFmtId="0" fontId="1" fillId="4" borderId="1" xfId="0" applyFont="1" applyFill="1" applyBorder="1"/>
    <xf numFmtId="0" fontId="1" fillId="15" borderId="1" xfId="0" applyFont="1" applyFill="1" applyBorder="1"/>
    <xf numFmtId="0" fontId="0" fillId="19" borderId="8" xfId="0" applyFill="1" applyBorder="1"/>
    <xf numFmtId="0" fontId="1" fillId="19" borderId="8" xfId="0" applyFont="1" applyFill="1" applyBorder="1"/>
    <xf numFmtId="0" fontId="1" fillId="9" borderId="2" xfId="0" applyFont="1" applyFill="1" applyBorder="1"/>
    <xf numFmtId="0" fontId="0" fillId="10" borderId="2" xfId="0" applyFill="1" applyBorder="1"/>
    <xf numFmtId="0" fontId="1" fillId="17" borderId="1" xfId="0" applyFont="1" applyFill="1" applyBorder="1"/>
    <xf numFmtId="0" fontId="0" fillId="1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AHP_Results!$C$10:$C$13</c:f>
              <c:strCache>
                <c:ptCount val="4"/>
                <c:pt idx="0">
                  <c:v>Centre(A1)</c:v>
                </c:pt>
                <c:pt idx="1">
                  <c:v>Suburb(A2)</c:v>
                </c:pt>
                <c:pt idx="2">
                  <c:v>Shared(A3)</c:v>
                </c:pt>
                <c:pt idx="3">
                  <c:v>Extend(A4)</c:v>
                </c:pt>
              </c:strCache>
            </c:strRef>
          </c:cat>
          <c:val>
            <c:numRef>
              <c:f>AHP_Results!$D$10:$D$13</c:f>
              <c:numCache>
                <c:formatCode>General</c:formatCode>
                <c:ptCount val="4"/>
                <c:pt idx="0">
                  <c:v>0.10372440978394575</c:v>
                </c:pt>
                <c:pt idx="1">
                  <c:v>0.36869471799571824</c:v>
                </c:pt>
                <c:pt idx="2">
                  <c:v>0.24437312744071707</c:v>
                </c:pt>
                <c:pt idx="3">
                  <c:v>0.28320774477961908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A7-4585-AE69-FC27697D562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899187824"/>
        <c:axId val="899192400"/>
        <c:axId val="0"/>
      </c:bar3DChart>
      <c:catAx>
        <c:axId val="8991878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192400"/>
        <c:crosses val="autoZero"/>
        <c:auto val="1"/>
        <c:lblAlgn val="ctr"/>
        <c:lblOffset val="100"/>
        <c:noMultiLvlLbl val="0"/>
      </c:catAx>
      <c:valAx>
        <c:axId val="899192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187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Result</a:t>
            </a:r>
            <a:r>
              <a:rPr lang="en-US" baseline="0"/>
              <a:t> Graph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accent1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1">
                  <a:lumMod val="75000"/>
                </a:schemeClr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TOPSIS!$C$34:$C$37</c:f>
              <c:strCache>
                <c:ptCount val="4"/>
                <c:pt idx="0">
                  <c:v>Centre(A1)</c:v>
                </c:pt>
                <c:pt idx="1">
                  <c:v>Suburb(A2)</c:v>
                </c:pt>
                <c:pt idx="2">
                  <c:v>Shared(A3)</c:v>
                </c:pt>
                <c:pt idx="3">
                  <c:v>Extend(A4)</c:v>
                </c:pt>
              </c:strCache>
            </c:strRef>
          </c:cat>
          <c:val>
            <c:numRef>
              <c:f>TOPSIS!$D$34:$D$37</c:f>
              <c:numCache>
                <c:formatCode>General</c:formatCode>
                <c:ptCount val="4"/>
                <c:pt idx="0">
                  <c:v>0.23889393801013736</c:v>
                </c:pt>
                <c:pt idx="1">
                  <c:v>0.65750161462180123</c:v>
                </c:pt>
                <c:pt idx="2">
                  <c:v>0.67689177237582676</c:v>
                </c:pt>
                <c:pt idx="3">
                  <c:v>0.6241320753473828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37-4FD4-95C5-BD74F690EF7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5"/>
        <c:shape val="box"/>
        <c:axId val="723644240"/>
        <c:axId val="823233920"/>
        <c:axId val="0"/>
      </c:bar3DChart>
      <c:catAx>
        <c:axId val="72364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233920"/>
        <c:crosses val="autoZero"/>
        <c:auto val="1"/>
        <c:lblAlgn val="ctr"/>
        <c:lblOffset val="100"/>
        <c:noMultiLvlLbl val="0"/>
      </c:catAx>
      <c:valAx>
        <c:axId val="82323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4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335757</xdr:colOff>
      <xdr:row>13</xdr:row>
      <xdr:rowOff>107155</xdr:rowOff>
    </xdr:from>
    <xdr:to>
      <xdr:col>9</xdr:col>
      <xdr:colOff>1512095</xdr:colOff>
      <xdr:row>28</xdr:row>
      <xdr:rowOff>135730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545322-7D95-2112-DA6A-45A3D3FF3D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488157</xdr:colOff>
      <xdr:row>37</xdr:row>
      <xdr:rowOff>50006</xdr:rowOff>
    </xdr:from>
    <xdr:to>
      <xdr:col>11</xdr:col>
      <xdr:colOff>264320</xdr:colOff>
      <xdr:row>52</xdr:row>
      <xdr:rowOff>78581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E6588F-31D2-B644-7383-D5CA834A4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C984-E921-4C11-AEB7-55A8D49CF9EA}">
  <dimension ref="A1:H19"/>
  <sheetViews>
    <sheetView tabSelected="1" workbookViewId="0">
      <selection activeCell="D19" sqref="D19"/>
    </sheetView>
  </sheetViews>
  <sheetFormatPr defaultRowHeight="14.25" x14ac:dyDescent="0.45"/>
  <cols>
    <col min="1" max="1" width="34.33203125" customWidth="1"/>
    <col min="2" max="2" width="14.86328125" customWidth="1"/>
    <col min="3" max="3" width="30.9296875" customWidth="1"/>
    <col min="4" max="4" width="14.46484375" customWidth="1"/>
    <col min="5" max="5" width="17.3984375" customWidth="1"/>
    <col min="7" max="7" width="22.73046875" customWidth="1"/>
    <col min="11" max="11" width="25.19921875" customWidth="1"/>
  </cols>
  <sheetData>
    <row r="1" spans="1:8" x14ac:dyDescent="0.45">
      <c r="A1" s="2"/>
      <c r="B1" s="17" t="s">
        <v>0</v>
      </c>
      <c r="C1" s="17" t="s">
        <v>1</v>
      </c>
      <c r="D1" s="17" t="s">
        <v>2</v>
      </c>
      <c r="E1" s="17" t="s">
        <v>24</v>
      </c>
      <c r="G1" s="3" t="s">
        <v>47</v>
      </c>
    </row>
    <row r="2" spans="1:8" ht="42.75" x14ac:dyDescent="0.45">
      <c r="A2" s="17" t="s">
        <v>3</v>
      </c>
      <c r="B2" s="25" t="s">
        <v>8</v>
      </c>
      <c r="C2" s="25" t="s">
        <v>9</v>
      </c>
      <c r="D2" s="25" t="s">
        <v>10</v>
      </c>
      <c r="E2" s="25" t="s">
        <v>11</v>
      </c>
      <c r="G2" s="19" t="s">
        <v>25</v>
      </c>
      <c r="H2" s="26">
        <v>0</v>
      </c>
    </row>
    <row r="3" spans="1:8" x14ac:dyDescent="0.45">
      <c r="A3" s="31" t="s">
        <v>4</v>
      </c>
      <c r="B3" s="20" t="s">
        <v>12</v>
      </c>
      <c r="C3" s="20" t="s">
        <v>13</v>
      </c>
      <c r="D3" s="20" t="s">
        <v>14</v>
      </c>
      <c r="E3" s="20" t="s">
        <v>15</v>
      </c>
      <c r="G3" s="20" t="s">
        <v>12</v>
      </c>
      <c r="H3" s="13">
        <v>1</v>
      </c>
    </row>
    <row r="4" spans="1:8" x14ac:dyDescent="0.45">
      <c r="A4" s="17" t="s">
        <v>5</v>
      </c>
      <c r="B4" s="19" t="s">
        <v>12</v>
      </c>
      <c r="C4" s="19" t="s">
        <v>14</v>
      </c>
      <c r="D4" s="19" t="s">
        <v>16</v>
      </c>
      <c r="E4" s="19" t="s">
        <v>16</v>
      </c>
      <c r="G4" s="19" t="s">
        <v>15</v>
      </c>
      <c r="H4" s="26">
        <v>3</v>
      </c>
    </row>
    <row r="5" spans="1:8" x14ac:dyDescent="0.45">
      <c r="A5" s="31" t="s">
        <v>6</v>
      </c>
      <c r="B5" s="20" t="s">
        <v>17</v>
      </c>
      <c r="C5" s="20" t="s">
        <v>18</v>
      </c>
      <c r="D5" s="20" t="s">
        <v>17</v>
      </c>
      <c r="E5" s="20" t="s">
        <v>19</v>
      </c>
      <c r="G5" s="20" t="s">
        <v>16</v>
      </c>
      <c r="H5" s="13">
        <v>5</v>
      </c>
    </row>
    <row r="6" spans="1:8" x14ac:dyDescent="0.45">
      <c r="A6" s="17" t="s">
        <v>7</v>
      </c>
      <c r="B6" s="19" t="s">
        <v>20</v>
      </c>
      <c r="C6" s="19" t="s">
        <v>21</v>
      </c>
      <c r="D6" s="19" t="s">
        <v>22</v>
      </c>
      <c r="E6" s="19" t="s">
        <v>23</v>
      </c>
      <c r="G6" s="19" t="s">
        <v>14</v>
      </c>
      <c r="H6" s="26">
        <v>7</v>
      </c>
    </row>
    <row r="8" spans="1:8" x14ac:dyDescent="0.45">
      <c r="A8" s="5" t="s">
        <v>46</v>
      </c>
    </row>
    <row r="9" spans="1:8" x14ac:dyDescent="0.45">
      <c r="A9" s="2"/>
      <c r="B9" s="16" t="s">
        <v>0</v>
      </c>
      <c r="C9" s="16" t="s">
        <v>1</v>
      </c>
      <c r="D9" s="16" t="s">
        <v>2</v>
      </c>
      <c r="E9" s="16" t="s">
        <v>24</v>
      </c>
      <c r="G9" s="5" t="s">
        <v>26</v>
      </c>
    </row>
    <row r="10" spans="1:8" x14ac:dyDescent="0.45">
      <c r="A10" s="16" t="s">
        <v>3</v>
      </c>
      <c r="B10" s="57">
        <v>10</v>
      </c>
      <c r="C10" s="57">
        <v>5</v>
      </c>
      <c r="D10" s="57">
        <v>6</v>
      </c>
      <c r="E10" s="57">
        <v>14</v>
      </c>
      <c r="G10" s="32" t="s">
        <v>3</v>
      </c>
      <c r="H10" s="44">
        <v>0.15</v>
      </c>
    </row>
    <row r="11" spans="1:8" x14ac:dyDescent="0.45">
      <c r="A11" s="56" t="s">
        <v>4</v>
      </c>
      <c r="B11" s="13">
        <v>1</v>
      </c>
      <c r="C11" s="13">
        <v>5</v>
      </c>
      <c r="D11" s="13">
        <v>7</v>
      </c>
      <c r="E11" s="13">
        <v>3</v>
      </c>
      <c r="G11" s="33" t="s">
        <v>4</v>
      </c>
      <c r="H11" s="35">
        <v>0.1</v>
      </c>
    </row>
    <row r="12" spans="1:8" x14ac:dyDescent="0.45">
      <c r="A12" s="16" t="s">
        <v>5</v>
      </c>
      <c r="B12" s="26">
        <v>1</v>
      </c>
      <c r="C12" s="26">
        <v>7</v>
      </c>
      <c r="D12" s="26">
        <v>5</v>
      </c>
      <c r="E12" s="26">
        <v>5</v>
      </c>
      <c r="G12" s="32" t="s">
        <v>5</v>
      </c>
      <c r="H12" s="44">
        <v>0.3</v>
      </c>
    </row>
    <row r="13" spans="1:8" x14ac:dyDescent="0.45">
      <c r="A13" s="56" t="s">
        <v>6</v>
      </c>
      <c r="B13" s="13">
        <v>3</v>
      </c>
      <c r="C13" s="13">
        <v>4</v>
      </c>
      <c r="D13" s="13">
        <v>3</v>
      </c>
      <c r="E13" s="13">
        <v>1</v>
      </c>
      <c r="G13" s="33" t="s">
        <v>6</v>
      </c>
      <c r="H13" s="35">
        <v>0.2</v>
      </c>
    </row>
    <row r="14" spans="1:8" x14ac:dyDescent="0.45">
      <c r="A14" s="16" t="s">
        <v>7</v>
      </c>
      <c r="B14" s="26" t="s">
        <v>20</v>
      </c>
      <c r="C14" s="26" t="s">
        <v>21</v>
      </c>
      <c r="D14" s="26" t="s">
        <v>22</v>
      </c>
      <c r="E14" s="26" t="s">
        <v>23</v>
      </c>
      <c r="G14" s="32" t="s">
        <v>7</v>
      </c>
      <c r="H14" s="44">
        <v>0.25</v>
      </c>
    </row>
    <row r="18" spans="1:3" x14ac:dyDescent="0.45">
      <c r="A18" s="4"/>
    </row>
    <row r="19" spans="1:3" ht="14.25" customHeight="1" x14ac:dyDescent="0.45">
      <c r="A19" s="1"/>
      <c r="C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4D8A-831F-46E7-B1E6-B89CFD1C297B}">
  <dimension ref="B1:M42"/>
  <sheetViews>
    <sheetView workbookViewId="0">
      <selection activeCell="J16" sqref="J16"/>
    </sheetView>
  </sheetViews>
  <sheetFormatPr defaultRowHeight="14.25" x14ac:dyDescent="0.45"/>
  <cols>
    <col min="2" max="2" width="22.06640625" customWidth="1"/>
    <col min="3" max="3" width="17.59765625" customWidth="1"/>
    <col min="4" max="4" width="16.06640625" customWidth="1"/>
    <col min="5" max="5" width="13.9296875" customWidth="1"/>
    <col min="6" max="6" width="13.53125" customWidth="1"/>
    <col min="7" max="7" width="13.73046875" customWidth="1"/>
    <col min="8" max="8" width="12.46484375" customWidth="1"/>
    <col min="9" max="9" width="16.19921875" customWidth="1"/>
    <col min="10" max="10" width="14.1328125" customWidth="1"/>
    <col min="12" max="12" width="11.9296875" customWidth="1"/>
    <col min="13" max="13" width="13.86328125" customWidth="1"/>
  </cols>
  <sheetData>
    <row r="1" spans="2:13" x14ac:dyDescent="0.45">
      <c r="I1" s="5" t="s">
        <v>26</v>
      </c>
    </row>
    <row r="2" spans="2:13" ht="28.5" x14ac:dyDescent="0.45">
      <c r="C2" s="18" t="s">
        <v>3</v>
      </c>
      <c r="D2" s="17" t="s">
        <v>4</v>
      </c>
      <c r="E2" s="18" t="s">
        <v>5</v>
      </c>
      <c r="F2" s="17" t="s">
        <v>6</v>
      </c>
      <c r="G2" s="17" t="s">
        <v>7</v>
      </c>
      <c r="I2" s="27" t="s">
        <v>3</v>
      </c>
      <c r="J2" s="13">
        <v>0.15</v>
      </c>
    </row>
    <row r="3" spans="2:13" x14ac:dyDescent="0.45">
      <c r="B3" s="17" t="s">
        <v>3</v>
      </c>
      <c r="C3" s="19">
        <v>1</v>
      </c>
      <c r="D3" s="19">
        <v>3</v>
      </c>
      <c r="E3" s="19">
        <f>1/7</f>
        <v>0.14285714285714285</v>
      </c>
      <c r="F3" s="19">
        <f>1/3</f>
        <v>0.33333333333333331</v>
      </c>
      <c r="G3" s="19">
        <f>1/5</f>
        <v>0.2</v>
      </c>
      <c r="I3" s="27" t="s">
        <v>4</v>
      </c>
      <c r="J3" s="13">
        <v>0.1</v>
      </c>
    </row>
    <row r="4" spans="2:13" ht="28.5" x14ac:dyDescent="0.45">
      <c r="B4" s="17" t="s">
        <v>4</v>
      </c>
      <c r="C4" s="20">
        <f>1/3</f>
        <v>0.33333333333333331</v>
      </c>
      <c r="D4" s="20">
        <v>1</v>
      </c>
      <c r="E4" s="20">
        <f>1/9</f>
        <v>0.1111111111111111</v>
      </c>
      <c r="F4" s="20">
        <f>1/5</f>
        <v>0.2</v>
      </c>
      <c r="G4" s="20">
        <f>1/7</f>
        <v>0.14285714285714285</v>
      </c>
      <c r="I4" s="27" t="s">
        <v>5</v>
      </c>
      <c r="J4" s="13">
        <v>0.3</v>
      </c>
    </row>
    <row r="5" spans="2:13" x14ac:dyDescent="0.45">
      <c r="B5" s="17" t="s">
        <v>5</v>
      </c>
      <c r="C5" s="19">
        <v>7</v>
      </c>
      <c r="D5" s="19">
        <v>9</v>
      </c>
      <c r="E5" s="19">
        <v>1</v>
      </c>
      <c r="F5" s="19">
        <v>5</v>
      </c>
      <c r="G5" s="19">
        <v>3</v>
      </c>
      <c r="I5" s="27" t="s">
        <v>6</v>
      </c>
      <c r="J5" s="13">
        <v>0.2</v>
      </c>
    </row>
    <row r="6" spans="2:13" x14ac:dyDescent="0.45">
      <c r="B6" s="17" t="s">
        <v>6</v>
      </c>
      <c r="C6" s="20">
        <v>3</v>
      </c>
      <c r="D6" s="20">
        <v>5</v>
      </c>
      <c r="E6" s="20">
        <f>1/5</f>
        <v>0.2</v>
      </c>
      <c r="F6" s="20">
        <v>1</v>
      </c>
      <c r="G6" s="20">
        <f>1/3</f>
        <v>0.33333333333333331</v>
      </c>
      <c r="I6" s="27" t="s">
        <v>7</v>
      </c>
      <c r="J6" s="13">
        <v>0.25</v>
      </c>
    </row>
    <row r="7" spans="2:13" x14ac:dyDescent="0.45">
      <c r="B7" s="17" t="s">
        <v>7</v>
      </c>
      <c r="C7" s="19">
        <v>5</v>
      </c>
      <c r="D7" s="19">
        <v>7</v>
      </c>
      <c r="E7" s="19">
        <f>1/3</f>
        <v>0.33333333333333331</v>
      </c>
      <c r="F7" s="19">
        <v>3</v>
      </c>
      <c r="G7" s="19">
        <v>1</v>
      </c>
    </row>
    <row r="8" spans="2:13" x14ac:dyDescent="0.45">
      <c r="H8" s="23" t="s">
        <v>27</v>
      </c>
      <c r="K8" s="14"/>
      <c r="L8" s="4"/>
      <c r="M8" s="4"/>
    </row>
    <row r="9" spans="2:13" x14ac:dyDescent="0.45">
      <c r="C9" s="21" cm="1">
        <f t="array" ref="C9:G13">MMULT(C3:G7,C3:G7)</f>
        <v>5</v>
      </c>
      <c r="D9" s="21">
        <v>10.352380952380953</v>
      </c>
      <c r="E9" s="21">
        <v>0.75238095238095237</v>
      </c>
      <c r="F9" s="21">
        <v>2.5809523809523807</v>
      </c>
      <c r="G9" s="21">
        <v>1.3682539682539683</v>
      </c>
      <c r="H9" s="24">
        <f>SUM(C9:G9)</f>
        <v>20.05396825396825</v>
      </c>
      <c r="I9" s="15">
        <f>H9/H$14</f>
        <v>6.022120831371082E-2</v>
      </c>
    </row>
    <row r="10" spans="2:13" x14ac:dyDescent="0.45">
      <c r="C10" s="21">
        <v>2.7587301587301587</v>
      </c>
      <c r="D10" s="21">
        <v>5</v>
      </c>
      <c r="E10" s="21">
        <v>0.35746031746031742</v>
      </c>
      <c r="F10" s="21">
        <v>1.4952380952380953</v>
      </c>
      <c r="G10" s="21">
        <v>0.75238095238095237</v>
      </c>
      <c r="H10" s="24">
        <f t="shared" ref="H10:H13" si="0">SUM(C10:G10)</f>
        <v>10.363809523809525</v>
      </c>
      <c r="I10" s="15">
        <f t="shared" ref="I10:I13" si="1">H10/H$14</f>
        <v>3.1122076406670952E-2</v>
      </c>
    </row>
    <row r="11" spans="2:13" x14ac:dyDescent="0.45">
      <c r="C11" s="21">
        <v>47</v>
      </c>
      <c r="D11" s="21">
        <v>85</v>
      </c>
      <c r="E11" s="21">
        <v>5</v>
      </c>
      <c r="F11" s="21">
        <v>23.133333333333333</v>
      </c>
      <c r="G11" s="21">
        <v>10.352380952380953</v>
      </c>
      <c r="H11" s="24">
        <f t="shared" si="0"/>
        <v>170.48571428571427</v>
      </c>
      <c r="I11" s="15">
        <f t="shared" si="1"/>
        <v>0.51196130284489672</v>
      </c>
    </row>
    <row r="12" spans="2:13" x14ac:dyDescent="0.45">
      <c r="C12" s="21">
        <v>10.733333333333333</v>
      </c>
      <c r="D12" s="21">
        <v>23.133333333333333</v>
      </c>
      <c r="E12" s="21">
        <v>1.4952380952380953</v>
      </c>
      <c r="F12" s="21">
        <v>5</v>
      </c>
      <c r="G12" s="21">
        <v>2.5809523809523811</v>
      </c>
      <c r="H12" s="24">
        <f t="shared" si="0"/>
        <v>42.942857142857143</v>
      </c>
      <c r="I12" s="15">
        <f t="shared" si="1"/>
        <v>0.12895556195339028</v>
      </c>
    </row>
    <row r="13" spans="2:13" x14ac:dyDescent="0.45">
      <c r="C13" s="21">
        <v>23.666666666666664</v>
      </c>
      <c r="D13" s="21">
        <v>47</v>
      </c>
      <c r="E13" s="21">
        <v>2.7587301587301587</v>
      </c>
      <c r="F13" s="21">
        <v>10.733333333333333</v>
      </c>
      <c r="G13" s="21">
        <v>5</v>
      </c>
      <c r="H13" s="24">
        <f t="shared" si="0"/>
        <v>89.158730158730151</v>
      </c>
      <c r="I13" s="15">
        <f t="shared" si="1"/>
        <v>0.26773985048133109</v>
      </c>
    </row>
    <row r="14" spans="2:13" x14ac:dyDescent="0.45">
      <c r="H14" s="22">
        <f>SUM(H9:H13)</f>
        <v>333.00507936507938</v>
      </c>
      <c r="I14" s="15">
        <f>SUM(I9:I13)</f>
        <v>0.99999999999999989</v>
      </c>
    </row>
    <row r="16" spans="2:13" x14ac:dyDescent="0.45">
      <c r="C16" s="21" cm="1">
        <f t="array" ref="C16:G20">MMULT(C9:G13, C9:G13)</f>
        <v>149.00556311413453</v>
      </c>
      <c r="D16" s="21">
        <v>291.49015873015873</v>
      </c>
      <c r="E16" s="21">
        <v>18.858156714537667</v>
      </c>
      <c r="F16" s="21">
        <v>73.379803476946336</v>
      </c>
      <c r="G16" s="21">
        <v>35.921723356009068</v>
      </c>
      <c r="H16" s="24">
        <f>SUM(C16:G16)</f>
        <v>568.65540539178642</v>
      </c>
      <c r="I16" s="15">
        <f>H16/H$21</f>
        <v>6.3509777147761834E-2</v>
      </c>
    </row>
    <row r="17" spans="3:9" x14ac:dyDescent="0.45">
      <c r="C17" s="21">
        <v>78.243174603174594</v>
      </c>
      <c r="D17" s="21">
        <v>153.89529856387</v>
      </c>
      <c r="E17" s="21">
        <v>9.9615721844293255</v>
      </c>
      <c r="F17" s="21">
        <v>38.41733635676492</v>
      </c>
      <c r="G17" s="21">
        <v>18.858156714537667</v>
      </c>
      <c r="H17" s="24">
        <f t="shared" ref="H17:H20" si="2">SUM(C17:G17)</f>
        <v>299.37553842277646</v>
      </c>
      <c r="I17" s="15">
        <f t="shared" ref="I17:I20" si="3">H17/H$21</f>
        <v>3.343549282824837E-2</v>
      </c>
    </row>
    <row r="18" spans="3:9" x14ac:dyDescent="0.45">
      <c r="C18" s="21">
        <v>1197.7961904761903</v>
      </c>
      <c r="D18" s="21">
        <v>2358.2749206349208</v>
      </c>
      <c r="E18" s="21">
        <v>153.89529856387</v>
      </c>
      <c r="F18" s="21">
        <v>590.84888888888884</v>
      </c>
      <c r="G18" s="21">
        <v>291.49015873015873</v>
      </c>
      <c r="H18" s="24">
        <f t="shared" si="2"/>
        <v>4592.3054572940282</v>
      </c>
      <c r="I18" s="15">
        <f t="shared" si="3"/>
        <v>0.5128875825707695</v>
      </c>
    </row>
    <row r="19" spans="3:9" x14ac:dyDescent="0.45">
      <c r="C19" s="21">
        <v>302.51068783068786</v>
      </c>
      <c r="D19" s="21">
        <v>590.84888888888884</v>
      </c>
      <c r="E19" s="21">
        <v>38.41733635676492</v>
      </c>
      <c r="F19" s="21">
        <v>149.58412698412698</v>
      </c>
      <c r="G19" s="21">
        <v>73.379803476946336</v>
      </c>
      <c r="H19" s="24">
        <f t="shared" si="2"/>
        <v>1154.740843537415</v>
      </c>
      <c r="I19" s="15">
        <f t="shared" si="3"/>
        <v>0.12896621212270468</v>
      </c>
    </row>
    <row r="20" spans="3:9" x14ac:dyDescent="0.45">
      <c r="C20" s="21">
        <v>611.19174603174588</v>
      </c>
      <c r="D20" s="21">
        <v>1197.7961904761905</v>
      </c>
      <c r="E20" s="21">
        <v>78.243174603174609</v>
      </c>
      <c r="F20" s="21">
        <v>302.5106878306878</v>
      </c>
      <c r="G20" s="21">
        <v>149.00556311413453</v>
      </c>
      <c r="H20" s="24">
        <f t="shared" si="2"/>
        <v>2338.7473620559331</v>
      </c>
      <c r="I20" s="15">
        <f t="shared" si="3"/>
        <v>0.26120093533051569</v>
      </c>
    </row>
    <row r="21" spans="3:9" x14ac:dyDescent="0.45">
      <c r="H21" s="22">
        <f>SUM(H16:H20)</f>
        <v>8953.824606701939</v>
      </c>
      <c r="I21" s="15">
        <f>SUM(I16:I20)</f>
        <v>1</v>
      </c>
    </row>
    <row r="23" spans="3:9" x14ac:dyDescent="0.45">
      <c r="C23" s="21" cm="1">
        <f t="array" ref="C23:G27">MMULT(C16:G20, C16:G20)</f>
        <v>111751.23713678769</v>
      </c>
      <c r="D23" s="21">
        <v>219148.61702172665</v>
      </c>
      <c r="E23" s="21">
        <v>14245.538440291852</v>
      </c>
      <c r="F23" s="21">
        <v>55117.754434043149</v>
      </c>
      <c r="G23" s="21">
        <v>27083.602979857431</v>
      </c>
      <c r="H23" s="24">
        <f>SUM(C23:G23)</f>
        <v>427346.75001270673</v>
      </c>
      <c r="I23" s="15">
        <f>H23/H$28</f>
        <v>6.337675823629102E-2</v>
      </c>
    </row>
    <row r="24" spans="3:9" x14ac:dyDescent="0.45">
      <c r="C24" s="21">
        <v>58779.462796593587</v>
      </c>
      <c r="D24" s="21">
        <v>115270.07292986916</v>
      </c>
      <c r="E24" s="21">
        <v>7493.0140807445996</v>
      </c>
      <c r="F24" s="21">
        <v>28990.917760118773</v>
      </c>
      <c r="G24" s="21">
        <v>14245.538440291852</v>
      </c>
      <c r="H24" s="24">
        <f t="shared" ref="H24:H27" si="4">SUM(C24:G24)</f>
        <v>224779.00600761798</v>
      </c>
      <c r="I24" s="15">
        <f t="shared" ref="I24:I27" si="5">H24/H$28</f>
        <v>3.3335376295514189E-2</v>
      </c>
    </row>
    <row r="25" spans="3:9" x14ac:dyDescent="0.45">
      <c r="C25" s="21">
        <v>904226.89743452694</v>
      </c>
      <c r="D25" s="21">
        <v>1773248.8588913986</v>
      </c>
      <c r="E25" s="21">
        <v>115270.07292986914</v>
      </c>
      <c r="F25" s="21">
        <v>445982.05970934161</v>
      </c>
      <c r="G25" s="21">
        <v>219148.61702172665</v>
      </c>
      <c r="H25" s="24">
        <f t="shared" si="4"/>
        <v>3457876.5059868628</v>
      </c>
      <c r="I25" s="15">
        <f t="shared" si="5"/>
        <v>0.51281308053556973</v>
      </c>
    </row>
    <row r="26" spans="3:9" x14ac:dyDescent="0.45">
      <c r="C26" s="21">
        <v>227421.73465511872</v>
      </c>
      <c r="D26" s="21">
        <v>445982.05970934161</v>
      </c>
      <c r="E26" s="21">
        <v>28990.917760118769</v>
      </c>
      <c r="F26" s="21">
        <v>112169.44169191743</v>
      </c>
      <c r="G26" s="21">
        <v>55117.754434043149</v>
      </c>
      <c r="H26" s="24">
        <f t="shared" si="4"/>
        <v>869681.90825053968</v>
      </c>
      <c r="I26" s="15">
        <f t="shared" si="5"/>
        <v>0.12897634073508649</v>
      </c>
    </row>
    <row r="27" spans="3:9" x14ac:dyDescent="0.45">
      <c r="C27" s="21">
        <v>461093.40976903052</v>
      </c>
      <c r="D27" s="21">
        <v>904226.89743452717</v>
      </c>
      <c r="E27" s="21">
        <v>58779.462796593594</v>
      </c>
      <c r="F27" s="21">
        <v>227421.73465511875</v>
      </c>
      <c r="G27" s="21">
        <v>111751.23713678768</v>
      </c>
      <c r="H27" s="24">
        <f t="shared" si="4"/>
        <v>1763272.7417920579</v>
      </c>
      <c r="I27" s="15">
        <f t="shared" si="5"/>
        <v>0.26149844419753859</v>
      </c>
    </row>
    <row r="28" spans="3:9" x14ac:dyDescent="0.45">
      <c r="H28" s="22">
        <f>SUM(H23:H27)</f>
        <v>6742956.9120497853</v>
      </c>
      <c r="I28" s="15">
        <f>SUM(I23:I27)</f>
        <v>1</v>
      </c>
    </row>
    <row r="30" spans="3:9" x14ac:dyDescent="0.45">
      <c r="C30" s="21" cm="1">
        <f t="array" ref="C30:G34">MMULT(C23:G27, C23:G27)</f>
        <v>63274022179.403557</v>
      </c>
      <c r="D30" s="21">
        <v>124083542861.98277</v>
      </c>
      <c r="E30" s="21">
        <v>8065998392.1114864</v>
      </c>
      <c r="F30" s="21">
        <v>31207979067.365139</v>
      </c>
      <c r="G30" s="21">
        <v>15334999227.932405</v>
      </c>
      <c r="H30" s="24">
        <f>SUM(C30:G30)</f>
        <v>241966541728.79535</v>
      </c>
      <c r="I30" s="13">
        <f>H30/H$35</f>
        <v>6.3376527675020444E-2</v>
      </c>
    </row>
    <row r="31" spans="3:9" x14ac:dyDescent="0.45">
      <c r="C31" s="21">
        <v>33281264223.441971</v>
      </c>
      <c r="D31" s="21">
        <v>65266234604.419708</v>
      </c>
      <c r="E31" s="21">
        <v>4242604065.2150607</v>
      </c>
      <c r="F31" s="21">
        <v>16414967176.338091</v>
      </c>
      <c r="G31" s="21">
        <v>8065998392.1114864</v>
      </c>
      <c r="H31" s="24">
        <f t="shared" ref="H31:H34" si="6">SUM(C31:G31)</f>
        <v>127271068461.52631</v>
      </c>
      <c r="I31" s="13">
        <f t="shared" ref="I31:I34" si="7">H31/H$35</f>
        <v>3.3335180702884118E-2</v>
      </c>
    </row>
    <row r="32" spans="3:9" x14ac:dyDescent="0.45">
      <c r="C32" s="21">
        <v>511983386896.2804</v>
      </c>
      <c r="D32" s="21">
        <v>1004025196250.2709</v>
      </c>
      <c r="E32" s="21">
        <v>65266234604.419708</v>
      </c>
      <c r="F32" s="21">
        <v>252520169742.46661</v>
      </c>
      <c r="G32" s="21">
        <v>124083542861.98276</v>
      </c>
      <c r="H32" s="24">
        <f t="shared" si="6"/>
        <v>1957878530355.4202</v>
      </c>
      <c r="I32" s="13">
        <f t="shared" si="7"/>
        <v>0.51281281278333035</v>
      </c>
    </row>
    <row r="33" spans="3:9" x14ac:dyDescent="0.45">
      <c r="C33" s="21">
        <v>128767816041.82603</v>
      </c>
      <c r="D33" s="21">
        <v>252520169742.46661</v>
      </c>
      <c r="E33" s="21">
        <v>16414967176.338087</v>
      </c>
      <c r="F33" s="21">
        <v>63510792727.890182</v>
      </c>
      <c r="G33" s="21">
        <v>31207979067.365131</v>
      </c>
      <c r="H33" s="24">
        <f t="shared" si="6"/>
        <v>492421724755.88605</v>
      </c>
      <c r="I33" s="13">
        <f t="shared" si="7"/>
        <v>0.12897642311948945</v>
      </c>
    </row>
    <row r="34" spans="3:9" x14ac:dyDescent="0.45">
      <c r="C34" s="21">
        <v>261076105903.02521</v>
      </c>
      <c r="D34" s="21">
        <v>511983386896.2804</v>
      </c>
      <c r="E34" s="21">
        <v>33281264223.441975</v>
      </c>
      <c r="F34" s="21">
        <v>128767816041.82605</v>
      </c>
      <c r="G34" s="21">
        <v>63274022179.403564</v>
      </c>
      <c r="H34" s="24">
        <f t="shared" si="6"/>
        <v>998382595243.97729</v>
      </c>
      <c r="I34" s="13">
        <f t="shared" si="7"/>
        <v>0.26149905571927551</v>
      </c>
    </row>
    <row r="35" spans="3:9" x14ac:dyDescent="0.45">
      <c r="H35" s="22">
        <f>SUM(H30:H34)</f>
        <v>3817920460545.6055</v>
      </c>
      <c r="I35" s="28">
        <f>SUM(I30:I34)</f>
        <v>0.99999999999999978</v>
      </c>
    </row>
    <row r="37" spans="3:9" x14ac:dyDescent="0.45">
      <c r="C37" s="21" cm="1">
        <f t="array" ref="C37:G41">MMULT(C30:G34, C30:G34)</f>
        <v>2.0285101424061404E+22</v>
      </c>
      <c r="D37" s="21">
        <v>3.9780105094898972E+22</v>
      </c>
      <c r="E37" s="21">
        <v>2.5858889611141935E+21</v>
      </c>
      <c r="F37" s="21">
        <v>1.0005006775592174E+22</v>
      </c>
      <c r="G37" s="21">
        <v>4.916267434432262E+21</v>
      </c>
      <c r="H37" s="24">
        <f>SUM(C37:G37)</f>
        <v>7.7572369690099009E+22</v>
      </c>
      <c r="I37" s="13">
        <f>H37/H$42</f>
        <v>6.3376527674386021E-2</v>
      </c>
    </row>
    <row r="38" spans="3:9" x14ac:dyDescent="0.45">
      <c r="C38" s="21">
        <v>1.066968397206808E+22</v>
      </c>
      <c r="D38" s="21">
        <v>2.0923787407578441E+22</v>
      </c>
      <c r="E38" s="21">
        <v>1.3601419793356795E+21</v>
      </c>
      <c r="F38" s="21">
        <v>5.2624957697941475E+21</v>
      </c>
      <c r="G38" s="21">
        <v>2.585888961114193E+21</v>
      </c>
      <c r="H38" s="24">
        <f t="shared" ref="H38:H41" si="8">SUM(C38:G38)</f>
        <v>4.0801998089890541E+22</v>
      </c>
      <c r="I38" s="13">
        <f t="shared" ref="I38:I41" si="9">H38/H$42</f>
        <v>3.3335180702159788E-2</v>
      </c>
    </row>
    <row r="39" spans="3:9" x14ac:dyDescent="0.45">
      <c r="C39" s="21">
        <v>1.6413742280540407E+23</v>
      </c>
      <c r="D39" s="21">
        <v>3.2188174920633703E+23</v>
      </c>
      <c r="E39" s="21">
        <v>2.0923787407578441E+22</v>
      </c>
      <c r="F39" s="21">
        <v>8.0955771083717421E+22</v>
      </c>
      <c r="G39" s="21">
        <v>3.9780105094898972E+22</v>
      </c>
      <c r="H39" s="24">
        <f t="shared" si="8"/>
        <v>6.2767883559793595E+23</v>
      </c>
      <c r="I39" s="13">
        <f t="shared" si="9"/>
        <v>0.51281281278140889</v>
      </c>
    </row>
    <row r="40" spans="3:9" x14ac:dyDescent="0.45">
      <c r="C40" s="21">
        <v>4.1281842352570463E+22</v>
      </c>
      <c r="D40" s="21">
        <v>8.0955771083717421E+22</v>
      </c>
      <c r="E40" s="21">
        <v>5.2624957697941475E+21</v>
      </c>
      <c r="F40" s="21">
        <v>2.0361008003464114E+22</v>
      </c>
      <c r="G40" s="21">
        <v>1.0005006775592172E+22</v>
      </c>
      <c r="H40" s="24">
        <f t="shared" si="8"/>
        <v>1.5786612398513833E+23</v>
      </c>
      <c r="I40" s="13">
        <f t="shared" si="9"/>
        <v>0.12897642312026944</v>
      </c>
    </row>
    <row r="41" spans="3:9" x14ac:dyDescent="0.45">
      <c r="C41" s="21">
        <v>8.3698729833637872E+22</v>
      </c>
      <c r="D41" s="21">
        <v>1.6413742280540407E+23</v>
      </c>
      <c r="E41" s="21">
        <v>1.066968397206808E+22</v>
      </c>
      <c r="F41" s="21">
        <v>4.128184235257048E+22</v>
      </c>
      <c r="G41" s="21">
        <v>2.0285101424061404E+22</v>
      </c>
      <c r="H41" s="24">
        <f t="shared" si="8"/>
        <v>3.2007278038774191E+23</v>
      </c>
      <c r="I41" s="13">
        <f t="shared" si="9"/>
        <v>0.26149905572177595</v>
      </c>
    </row>
    <row r="42" spans="3:9" x14ac:dyDescent="0.45">
      <c r="H42" s="22">
        <f>SUM(H37:H41)</f>
        <v>1.2239921077508056E+24</v>
      </c>
      <c r="I42" s="15">
        <f>SUM(I37:I41)</f>
        <v>1.0000000000000002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68265-3C28-4BD2-92DC-4626F05255C6}">
  <dimension ref="B3:Q37"/>
  <sheetViews>
    <sheetView workbookViewId="0">
      <selection activeCell="K15" sqref="K15"/>
    </sheetView>
  </sheetViews>
  <sheetFormatPr defaultRowHeight="14.25" x14ac:dyDescent="0.45"/>
  <cols>
    <col min="2" max="2" width="11.73046875" customWidth="1"/>
    <col min="3" max="3" width="11.46484375" customWidth="1"/>
    <col min="4" max="4" width="11.265625" customWidth="1"/>
    <col min="5" max="5" width="10.6640625" customWidth="1"/>
    <col min="6" max="6" width="11.06640625" customWidth="1"/>
    <col min="7" max="7" width="12.796875" customWidth="1"/>
    <col min="13" max="13" width="14.33203125" customWidth="1"/>
    <col min="14" max="14" width="9.19921875" customWidth="1"/>
  </cols>
  <sheetData>
    <row r="3" spans="2:17" x14ac:dyDescent="0.45">
      <c r="C3" s="17" t="s">
        <v>0</v>
      </c>
      <c r="D3" s="17" t="s">
        <v>1</v>
      </c>
      <c r="E3" s="17" t="s">
        <v>2</v>
      </c>
      <c r="F3" s="17" t="s">
        <v>24</v>
      </c>
      <c r="N3" s="4"/>
      <c r="O3" s="4"/>
      <c r="P3" s="4"/>
      <c r="Q3" s="4"/>
    </row>
    <row r="4" spans="2:17" x14ac:dyDescent="0.45">
      <c r="B4" s="17" t="s">
        <v>0</v>
      </c>
      <c r="C4" s="19">
        <v>1</v>
      </c>
      <c r="D4" s="19">
        <v>5</v>
      </c>
      <c r="E4" s="19">
        <v>5</v>
      </c>
      <c r="F4" s="19">
        <f>1/5</f>
        <v>0.2</v>
      </c>
      <c r="M4" s="14"/>
      <c r="N4" s="1"/>
      <c r="O4" s="1"/>
      <c r="P4" s="1"/>
      <c r="Q4" s="1"/>
    </row>
    <row r="5" spans="2:17" x14ac:dyDescent="0.45">
      <c r="B5" s="17" t="s">
        <v>1</v>
      </c>
      <c r="C5" s="20">
        <f>1/5</f>
        <v>0.2</v>
      </c>
      <c r="D5" s="20">
        <v>1</v>
      </c>
      <c r="E5" s="20">
        <f>1/2</f>
        <v>0.5</v>
      </c>
      <c r="F5" s="20">
        <f>1/9</f>
        <v>0.1111111111111111</v>
      </c>
      <c r="M5" s="4"/>
    </row>
    <row r="6" spans="2:17" x14ac:dyDescent="0.45">
      <c r="B6" s="17" t="s">
        <v>2</v>
      </c>
      <c r="C6" s="19">
        <f>1/5</f>
        <v>0.2</v>
      </c>
      <c r="D6" s="19">
        <v>2</v>
      </c>
      <c r="E6" s="19">
        <v>1</v>
      </c>
      <c r="F6" s="19">
        <f>1/9</f>
        <v>0.1111111111111111</v>
      </c>
      <c r="M6" s="4"/>
    </row>
    <row r="7" spans="2:17" x14ac:dyDescent="0.45">
      <c r="B7" s="17" t="s">
        <v>24</v>
      </c>
      <c r="C7" s="20">
        <v>5</v>
      </c>
      <c r="D7" s="20">
        <v>9</v>
      </c>
      <c r="E7" s="20">
        <v>9</v>
      </c>
      <c r="F7" s="20">
        <v>1</v>
      </c>
      <c r="M7" s="4"/>
    </row>
    <row r="8" spans="2:17" x14ac:dyDescent="0.45">
      <c r="G8" s="23" t="s">
        <v>28</v>
      </c>
      <c r="M8" s="4"/>
    </row>
    <row r="9" spans="2:17" x14ac:dyDescent="0.45">
      <c r="C9" s="21" cm="1">
        <f t="array" ref="C9:F12">MMULT(C4:F7,C4:F7)</f>
        <v>4</v>
      </c>
      <c r="D9" s="21">
        <v>21.8</v>
      </c>
      <c r="E9" s="21">
        <v>14.3</v>
      </c>
      <c r="F9" s="21">
        <v>1.5111111111111111</v>
      </c>
      <c r="G9" s="24">
        <f>SUM(C9:F9)</f>
        <v>41.611111111111114</v>
      </c>
      <c r="H9" s="15">
        <f>G9/G$13</f>
        <v>0.22142468604403662</v>
      </c>
    </row>
    <row r="10" spans="2:17" x14ac:dyDescent="0.45">
      <c r="C10" s="21">
        <v>1.0555555555555556</v>
      </c>
      <c r="D10" s="21">
        <v>4</v>
      </c>
      <c r="E10" s="21">
        <v>3</v>
      </c>
      <c r="F10" s="21">
        <v>0.31777777777777777</v>
      </c>
      <c r="G10" s="24">
        <f t="shared" ref="G10:G12" si="0">SUM(C10:F10)</f>
        <v>8.3733333333333331</v>
      </c>
      <c r="H10" s="15">
        <f t="shared" ref="H10:H12" si="1">G10/G$13</f>
        <v>4.4556914126244587E-2</v>
      </c>
    </row>
    <row r="11" spans="2:17" x14ac:dyDescent="0.45">
      <c r="C11" s="21">
        <v>1.3555555555555556</v>
      </c>
      <c r="D11" s="21">
        <v>6</v>
      </c>
      <c r="E11" s="21">
        <v>4</v>
      </c>
      <c r="F11" s="21">
        <v>0.48444444444444446</v>
      </c>
      <c r="G11" s="24">
        <f t="shared" si="0"/>
        <v>11.84</v>
      </c>
      <c r="H11" s="15">
        <f t="shared" si="1"/>
        <v>6.3004044178511451E-2</v>
      </c>
    </row>
    <row r="12" spans="2:17" x14ac:dyDescent="0.45">
      <c r="C12" s="21">
        <v>13.6</v>
      </c>
      <c r="D12" s="21">
        <v>61</v>
      </c>
      <c r="E12" s="21">
        <v>47.5</v>
      </c>
      <c r="F12" s="21">
        <v>4</v>
      </c>
      <c r="G12" s="24">
        <f t="shared" si="0"/>
        <v>126.1</v>
      </c>
      <c r="H12" s="15">
        <f t="shared" si="1"/>
        <v>0.67101435565120726</v>
      </c>
    </row>
    <row r="13" spans="2:17" x14ac:dyDescent="0.45">
      <c r="G13" s="22">
        <f>SUM(G9:G12)</f>
        <v>187.92444444444445</v>
      </c>
      <c r="H13" s="15">
        <f>SUM(H9:H12)</f>
        <v>1</v>
      </c>
      <c r="O13" s="12"/>
    </row>
    <row r="14" spans="2:17" x14ac:dyDescent="0.45">
      <c r="O14" s="12"/>
    </row>
    <row r="15" spans="2:17" x14ac:dyDescent="0.45">
      <c r="C15" s="21" cm="1">
        <f t="array" ref="C15:F18">MMULT(C9:F12,C9:F12)</f>
        <v>78.946666666666673</v>
      </c>
      <c r="D15" s="21">
        <v>352.37777777777785</v>
      </c>
      <c r="E15" s="21">
        <v>251.57777777777778</v>
      </c>
      <c r="F15" s="21">
        <v>25.943999999999999</v>
      </c>
      <c r="G15" s="24">
        <f>SUM(C15:F15)</f>
        <v>708.8462222222222</v>
      </c>
      <c r="H15" s="15">
        <f>G15/G$19</f>
        <v>0.22010896379205047</v>
      </c>
    </row>
    <row r="16" spans="2:17" x14ac:dyDescent="0.45">
      <c r="C16" s="21">
        <v>16.832888888888888</v>
      </c>
      <c r="D16" s="21">
        <v>76.395555555555561</v>
      </c>
      <c r="E16" s="21">
        <v>54.18888888888889</v>
      </c>
      <c r="F16" s="21">
        <v>5.5906172839506167</v>
      </c>
      <c r="G16" s="24">
        <f t="shared" ref="G16:G18" si="2">SUM(C16:F16)</f>
        <v>153.00795061728397</v>
      </c>
      <c r="H16" s="15">
        <f t="shared" ref="H16:H18" si="3">G16/G$19</f>
        <v>4.7511604642166624E-2</v>
      </c>
    </row>
    <row r="17" spans="3:8" x14ac:dyDescent="0.45">
      <c r="C17" s="21">
        <v>23.766222222222222</v>
      </c>
      <c r="D17" s="21">
        <v>107.10222222222222</v>
      </c>
      <c r="E17" s="21">
        <v>76.395555555555561</v>
      </c>
      <c r="F17" s="21">
        <v>7.830617283950617</v>
      </c>
      <c r="G17" s="24">
        <f t="shared" si="2"/>
        <v>215.09461728395064</v>
      </c>
      <c r="H17" s="15">
        <f t="shared" si="3"/>
        <v>6.679058425280808E-2</v>
      </c>
    </row>
    <row r="18" spans="3:8" x14ac:dyDescent="0.45">
      <c r="C18" s="21">
        <v>237.57777777777778</v>
      </c>
      <c r="D18" s="21">
        <v>1069.48</v>
      </c>
      <c r="E18" s="21">
        <v>757.48</v>
      </c>
      <c r="F18" s="21">
        <v>78.946666666666658</v>
      </c>
      <c r="G18" s="24">
        <f t="shared" si="2"/>
        <v>2143.4844444444443</v>
      </c>
      <c r="H18" s="15">
        <f t="shared" si="3"/>
        <v>0.66558884731297474</v>
      </c>
    </row>
    <row r="19" spans="3:8" x14ac:dyDescent="0.45">
      <c r="G19" s="22">
        <f>SUM(G15:G18)</f>
        <v>3220.4332345679013</v>
      </c>
      <c r="H19" s="15">
        <f>SUM(H15:H18)</f>
        <v>1</v>
      </c>
    </row>
    <row r="21" spans="3:8" x14ac:dyDescent="0.45">
      <c r="C21" s="21" cm="1">
        <f t="array" ref="C21:F24">MMULT(C15:F18,C15:F18)</f>
        <v>24306.883397530866</v>
      </c>
      <c r="D21" s="21">
        <v>109430.27524345681</v>
      </c>
      <c r="E21" s="21">
        <v>77827.672428641992</v>
      </c>
      <c r="F21" s="21">
        <v>8036.4032298491093</v>
      </c>
      <c r="G21" s="24">
        <f>SUM(C21:F21)</f>
        <v>219601.23429947879</v>
      </c>
      <c r="H21" s="15">
        <f>G21/G$25</f>
        <v>0.22014974304030377</v>
      </c>
    </row>
    <row r="22" spans="3:8" x14ac:dyDescent="0.45">
      <c r="C22" s="21">
        <v>5230.9299724554185</v>
      </c>
      <c r="D22" s="21">
        <v>23550.620681481483</v>
      </c>
      <c r="E22" s="21">
        <v>16749.142103703703</v>
      </c>
      <c r="F22" s="21">
        <v>1729.5038317475992</v>
      </c>
      <c r="G22" s="24">
        <f t="shared" ref="G22:G24" si="4">SUM(C22:F22)</f>
        <v>47260.196589388201</v>
      </c>
      <c r="H22" s="15">
        <f t="shared" ref="H22:H24" si="5">G22/G$25</f>
        <v>4.7378240693307191E-2</v>
      </c>
    </row>
    <row r="23" spans="3:8" x14ac:dyDescent="0.45">
      <c r="C23" s="21">
        <v>7355.1182331961591</v>
      </c>
      <c r="D23" s="21">
        <v>33113.644681481484</v>
      </c>
      <c r="E23" s="21">
        <v>23550.620681481483</v>
      </c>
      <c r="F23" s="21">
        <v>2431.7838942990397</v>
      </c>
      <c r="G23" s="24">
        <f t="shared" si="4"/>
        <v>66451.16749045816</v>
      </c>
      <c r="H23" s="15">
        <f t="shared" si="5"/>
        <v>6.6617145820784082E-2</v>
      </c>
    </row>
    <row r="24" spans="3:8" x14ac:dyDescent="0.45">
      <c r="C24" s="21">
        <v>73516.823277037038</v>
      </c>
      <c r="D24" s="21">
        <v>330980.32049382722</v>
      </c>
      <c r="E24" s="21">
        <v>235391.84876049383</v>
      </c>
      <c r="F24" s="21">
        <v>24306.883397530863</v>
      </c>
      <c r="G24" s="24">
        <f t="shared" si="4"/>
        <v>664195.87592888891</v>
      </c>
      <c r="H24" s="15">
        <f t="shared" si="5"/>
        <v>0.66585487044560487</v>
      </c>
    </row>
    <row r="25" spans="3:8" x14ac:dyDescent="0.45">
      <c r="G25" s="22">
        <f>SUM(G21:G24)</f>
        <v>997508.47430821415</v>
      </c>
      <c r="H25" s="15">
        <f>SUM(H21:H24)</f>
        <v>1</v>
      </c>
    </row>
    <row r="27" spans="3:8" x14ac:dyDescent="0.45">
      <c r="C27" s="21" cm="1">
        <f t="array" ref="C27:F30">MMULT(C21:F24,C21:F24)</f>
        <v>2326489255.7251554</v>
      </c>
      <c r="D27" s="21">
        <v>10474109051.653049</v>
      </c>
      <c r="E27" s="21">
        <v>7449205194.8728237</v>
      </c>
      <c r="F27" s="21">
        <v>769199993.17247152</v>
      </c>
      <c r="G27" s="24">
        <f>SUM(C27:F27)</f>
        <v>21019003495.4235</v>
      </c>
      <c r="H27" s="8">
        <f>G27/G$31</f>
        <v>0.22014976210808854</v>
      </c>
    </row>
    <row r="28" spans="3:8" x14ac:dyDescent="0.45">
      <c r="C28" s="21">
        <v>500678800.52670437</v>
      </c>
      <c r="D28" s="21">
        <v>2254110714.0168762</v>
      </c>
      <c r="E28" s="21">
        <v>1603127593.6359644</v>
      </c>
      <c r="F28" s="21">
        <v>165537893.21939605</v>
      </c>
      <c r="G28" s="24">
        <f t="shared" ref="G28:G30" si="6">SUM(C28:F28)</f>
        <v>4523455001.3989401</v>
      </c>
      <c r="H28" s="8">
        <f t="shared" ref="H28:H30" si="7">G28/G$31</f>
        <v>4.7377961694589625E-2</v>
      </c>
    </row>
    <row r="29" spans="3:8" x14ac:dyDescent="0.45">
      <c r="C29" s="21">
        <v>703989784.11353111</v>
      </c>
      <c r="D29" s="21">
        <v>3169438995.963501</v>
      </c>
      <c r="E29" s="21">
        <v>2254110714.0168762</v>
      </c>
      <c r="F29" s="21">
        <v>232757978.92562324</v>
      </c>
      <c r="G29" s="24">
        <f t="shared" si="6"/>
        <v>6360297473.0195313</v>
      </c>
      <c r="H29" s="8">
        <f t="shared" si="7"/>
        <v>6.6616763060475162E-2</v>
      </c>
    </row>
    <row r="30" spans="3:8" x14ac:dyDescent="0.45">
      <c r="C30" s="21">
        <v>7036599459.8317661</v>
      </c>
      <c r="D30" s="21">
        <v>31679540285.108906</v>
      </c>
      <c r="E30" s="21">
        <v>22530546023.701698</v>
      </c>
      <c r="F30" s="21">
        <v>2326489255.7251549</v>
      </c>
      <c r="G30" s="24">
        <f t="shared" si="6"/>
        <v>63573175024.367523</v>
      </c>
      <c r="H30" s="8">
        <f t="shared" si="7"/>
        <v>0.66585551313684654</v>
      </c>
    </row>
    <row r="31" spans="3:8" x14ac:dyDescent="0.45">
      <c r="G31" s="22">
        <f>SUM(G27:G30)</f>
        <v>95475930994.209503</v>
      </c>
      <c r="H31" s="15">
        <f>SUM(H27:H30)</f>
        <v>0.99999999999999978</v>
      </c>
    </row>
    <row r="33" spans="3:8" x14ac:dyDescent="0.45">
      <c r="C33" s="21" cm="1">
        <f t="array" ref="C33:F36">MMULT(C27:F30,_xlfn.ANCHORARRAY(C27))</f>
        <v>2.1313433226988061E+19</v>
      </c>
      <c r="D33" s="21">
        <v>9.5955407209653322E+19</v>
      </c>
      <c r="E33" s="21">
        <v>6.8243658177297269E+19</v>
      </c>
      <c r="F33" s="21">
        <v>7.0467949307609395E+18</v>
      </c>
      <c r="G33" s="24">
        <f>SUM(C33:F33)</f>
        <v>1.9255929354469959E+20</v>
      </c>
      <c r="H33" s="8">
        <f>G33/G$37</f>
        <v>0.22014976210757112</v>
      </c>
    </row>
    <row r="34" spans="3:8" x14ac:dyDescent="0.45">
      <c r="C34" s="21">
        <v>4.5868185971026166E+18</v>
      </c>
      <c r="D34" s="21">
        <v>2.0650358935344083E+19</v>
      </c>
      <c r="E34" s="21">
        <v>1.4686572413194281E+19</v>
      </c>
      <c r="F34" s="21">
        <v>1.5165257372732723E+18</v>
      </c>
      <c r="G34" s="24">
        <f t="shared" ref="G34:G36" si="8">SUM(C34:F34)</f>
        <v>4.1440275682914247E+19</v>
      </c>
      <c r="H34" s="8">
        <f t="shared" ref="H34:H36" si="9">G34/G$37</f>
        <v>4.737796169338334E-2</v>
      </c>
    </row>
    <row r="35" spans="3:8" x14ac:dyDescent="0.45">
      <c r="C35" s="21">
        <v>6.4493911674302822E+18</v>
      </c>
      <c r="D35" s="21">
        <v>2.9035864336558064E+19</v>
      </c>
      <c r="E35" s="21">
        <v>2.0650358935344083E+19</v>
      </c>
      <c r="F35" s="21">
        <v>2.1323423824367398E+18</v>
      </c>
      <c r="G35" s="24">
        <f t="shared" si="8"/>
        <v>5.8267956821769167E+19</v>
      </c>
      <c r="H35" s="8">
        <f t="shared" si="9"/>
        <v>6.6616763058641809E-2</v>
      </c>
    </row>
    <row r="36" spans="3:8" x14ac:dyDescent="0.45">
      <c r="C36" s="21">
        <v>6.4463694542651548E+19</v>
      </c>
      <c r="D36" s="21">
        <v>2.9022260253436271E+20</v>
      </c>
      <c r="E36" s="21">
        <v>2.0640683686961775E+20</v>
      </c>
      <c r="F36" s="21">
        <v>2.1313433226988052E+19</v>
      </c>
      <c r="G36" s="24">
        <f t="shared" si="8"/>
        <v>5.8240656717362004E+20</v>
      </c>
      <c r="H36" s="8">
        <f t="shared" si="9"/>
        <v>0.66585551314040381</v>
      </c>
    </row>
    <row r="37" spans="3:8" x14ac:dyDescent="0.45">
      <c r="G37" s="22">
        <f>SUM(G33:G36)</f>
        <v>8.7467409322300303E+20</v>
      </c>
      <c r="H37" s="15">
        <f>SUM(H33:H36)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D4CED-7E09-4850-ACF4-8813BB5E3082}">
  <dimension ref="B3:Q37"/>
  <sheetViews>
    <sheetView workbookViewId="0">
      <selection activeCell="K18" sqref="K18"/>
    </sheetView>
  </sheetViews>
  <sheetFormatPr defaultRowHeight="14.25" x14ac:dyDescent="0.45"/>
  <cols>
    <col min="2" max="2" width="11.19921875" customWidth="1"/>
    <col min="3" max="3" width="10.3984375" customWidth="1"/>
    <col min="4" max="4" width="10.73046875" customWidth="1"/>
    <col min="5" max="5" width="11.265625" customWidth="1"/>
    <col min="6" max="6" width="10.6640625" customWidth="1"/>
    <col min="7" max="7" width="11.73046875" bestFit="1" customWidth="1"/>
    <col min="13" max="13" width="23" customWidth="1"/>
  </cols>
  <sheetData>
    <row r="3" spans="2:17" x14ac:dyDescent="0.45">
      <c r="C3" s="17" t="s">
        <v>0</v>
      </c>
      <c r="D3" s="17" t="s">
        <v>1</v>
      </c>
      <c r="E3" s="17" t="s">
        <v>2</v>
      </c>
      <c r="F3" s="17" t="s">
        <v>24</v>
      </c>
      <c r="N3" s="4"/>
      <c r="O3" s="4"/>
      <c r="P3" s="4"/>
      <c r="Q3" s="4"/>
    </row>
    <row r="4" spans="2:17" x14ac:dyDescent="0.45">
      <c r="B4" s="17" t="s">
        <v>0</v>
      </c>
      <c r="C4" s="19">
        <v>1</v>
      </c>
      <c r="D4" s="19">
        <f>1/5</f>
        <v>0.2</v>
      </c>
      <c r="E4" s="19">
        <f>1/7</f>
        <v>0.14285714285714285</v>
      </c>
      <c r="F4" s="19">
        <f>1/3</f>
        <v>0.33333333333333331</v>
      </c>
      <c r="M4" s="4"/>
      <c r="N4" s="1"/>
      <c r="O4" s="1"/>
      <c r="P4" s="1"/>
      <c r="Q4" s="1"/>
    </row>
    <row r="5" spans="2:17" x14ac:dyDescent="0.45">
      <c r="B5" s="17" t="s">
        <v>1</v>
      </c>
      <c r="C5" s="21">
        <v>5</v>
      </c>
      <c r="D5" s="21">
        <v>1</v>
      </c>
      <c r="E5" s="21">
        <f>1/3</f>
        <v>0.33333333333333331</v>
      </c>
      <c r="F5" s="21">
        <v>3</v>
      </c>
      <c r="M5" s="4"/>
    </row>
    <row r="6" spans="2:17" x14ac:dyDescent="0.45">
      <c r="B6" s="17" t="s">
        <v>2</v>
      </c>
      <c r="C6" s="19">
        <v>7</v>
      </c>
      <c r="D6" s="19">
        <v>3</v>
      </c>
      <c r="E6" s="19">
        <v>1</v>
      </c>
      <c r="F6" s="19">
        <v>5</v>
      </c>
      <c r="M6" s="4"/>
    </row>
    <row r="7" spans="2:17" x14ac:dyDescent="0.45">
      <c r="B7" s="17" t="s">
        <v>24</v>
      </c>
      <c r="C7" s="21">
        <v>3</v>
      </c>
      <c r="D7" s="21">
        <f>1/3</f>
        <v>0.33333333333333331</v>
      </c>
      <c r="E7" s="21">
        <f>1/5</f>
        <v>0.2</v>
      </c>
      <c r="F7" s="21">
        <v>1</v>
      </c>
      <c r="M7" s="4"/>
    </row>
    <row r="8" spans="2:17" x14ac:dyDescent="0.45">
      <c r="M8" s="4"/>
    </row>
    <row r="9" spans="2:17" x14ac:dyDescent="0.45">
      <c r="C9" s="21" cm="1">
        <f t="array" ref="C9:F12">MMULT(C4:F7,C4:F7)</f>
        <v>4</v>
      </c>
      <c r="D9" s="21">
        <v>0.93968253968253967</v>
      </c>
      <c r="E9" s="21">
        <v>0.419047619047619</v>
      </c>
      <c r="F9" s="21">
        <v>1.9809523809523808</v>
      </c>
      <c r="G9" s="24">
        <f>SUM(C9:F9)</f>
        <v>7.3396825396825403</v>
      </c>
      <c r="H9" s="15">
        <f>G9/G$13</f>
        <v>5.3085966201322561E-2</v>
      </c>
    </row>
    <row r="10" spans="2:17" x14ac:dyDescent="0.45">
      <c r="C10" s="21">
        <v>21.333333333333332</v>
      </c>
      <c r="D10" s="21">
        <v>4</v>
      </c>
      <c r="E10" s="21">
        <v>1.9809523809523808</v>
      </c>
      <c r="F10" s="21">
        <v>9.3333333333333321</v>
      </c>
      <c r="G10" s="24">
        <f t="shared" ref="G10:G12" si="0">SUM(C10:F10)</f>
        <v>36.647619047619045</v>
      </c>
      <c r="H10" s="15">
        <f t="shared" ref="H10:H12" si="1">G10/G$13</f>
        <v>0.26506245407788392</v>
      </c>
    </row>
    <row r="11" spans="2:17" x14ac:dyDescent="0.45">
      <c r="C11" s="21">
        <v>44</v>
      </c>
      <c r="D11" s="21">
        <v>9.0666666666666664</v>
      </c>
      <c r="E11" s="21">
        <v>4</v>
      </c>
      <c r="F11" s="21">
        <v>21.333333333333332</v>
      </c>
      <c r="G11" s="24">
        <f t="shared" si="0"/>
        <v>78.399999999999991</v>
      </c>
      <c r="H11" s="15">
        <f t="shared" si="1"/>
        <v>0.56704628949301983</v>
      </c>
    </row>
    <row r="12" spans="2:17" x14ac:dyDescent="0.45">
      <c r="C12" s="21">
        <v>9.0666666666666664</v>
      </c>
      <c r="D12" s="21">
        <v>1.8666666666666667</v>
      </c>
      <c r="E12" s="21">
        <v>0.93968253968253967</v>
      </c>
      <c r="F12" s="21">
        <v>4</v>
      </c>
      <c r="G12" s="24">
        <f t="shared" si="0"/>
        <v>15.873015873015873</v>
      </c>
      <c r="H12" s="15">
        <f t="shared" si="1"/>
        <v>0.11480529022777371</v>
      </c>
    </row>
    <row r="13" spans="2:17" x14ac:dyDescent="0.45">
      <c r="G13" s="22">
        <f>SUM(G9:G12)</f>
        <v>138.26031746031745</v>
      </c>
      <c r="H13" s="15">
        <v>1</v>
      </c>
    </row>
    <row r="15" spans="2:17" x14ac:dyDescent="0.45">
      <c r="C15" s="21" cm="1">
        <f t="array" ref="C15:F18">MMULT(C9:F12,C9:F12)</f>
        <v>72.445291005290997</v>
      </c>
      <c r="D15" s="21">
        <v>15.014603174603174</v>
      </c>
      <c r="E15" s="21">
        <v>7.075313681027966</v>
      </c>
      <c r="F15" s="21">
        <v>33.557671957671957</v>
      </c>
      <c r="G15" s="24">
        <f>SUM(C15:F15)</f>
        <v>128.0928798185941</v>
      </c>
      <c r="H15" s="15">
        <f>G15/G$19</f>
        <v>5.5348942987194109E-2</v>
      </c>
    </row>
    <row r="16" spans="2:17" x14ac:dyDescent="0.45">
      <c r="C16" s="21">
        <v>342.45079365079363</v>
      </c>
      <c r="D16" s="21">
        <v>71.429417989417985</v>
      </c>
      <c r="E16" s="21">
        <v>33.557671957671957</v>
      </c>
      <c r="F16" s="21">
        <v>159.18730158730156</v>
      </c>
      <c r="G16" s="24">
        <f t="shared" ref="G16:G18" si="2">SUM(C16:F16)</f>
        <v>606.62518518518516</v>
      </c>
      <c r="H16" s="15">
        <f t="shared" ref="H16:H18" si="3">G16/G$19</f>
        <v>0.26212278806567157</v>
      </c>
    </row>
    <row r="17" spans="3:8" x14ac:dyDescent="0.45">
      <c r="C17" s="21">
        <v>738.84444444444443</v>
      </c>
      <c r="D17" s="21">
        <v>153.70158730158732</v>
      </c>
      <c r="E17" s="21">
        <v>72.445291005291011</v>
      </c>
      <c r="F17" s="21">
        <v>342.45079365079357</v>
      </c>
      <c r="G17" s="24">
        <f t="shared" si="2"/>
        <v>1307.4421164021164</v>
      </c>
      <c r="H17" s="15">
        <f t="shared" si="3"/>
        <v>0.56494583666384623</v>
      </c>
    </row>
    <row r="18" spans="3:8" x14ac:dyDescent="0.45">
      <c r="C18" s="21">
        <v>153.70158730158732</v>
      </c>
      <c r="D18" s="21">
        <v>31.972910052910052</v>
      </c>
      <c r="E18" s="21">
        <v>15.014603174603174</v>
      </c>
      <c r="F18" s="21">
        <v>71.429417989417985</v>
      </c>
      <c r="G18" s="24">
        <f t="shared" si="2"/>
        <v>272.1185185185185</v>
      </c>
      <c r="H18" s="15">
        <f t="shared" si="3"/>
        <v>0.11758243228328813</v>
      </c>
    </row>
    <row r="19" spans="3:8" x14ac:dyDescent="0.45">
      <c r="G19" s="22">
        <f>SUM(G15:G18)</f>
        <v>2314.278699924414</v>
      </c>
      <c r="H19" s="15">
        <v>1</v>
      </c>
    </row>
    <row r="21" spans="3:8" x14ac:dyDescent="0.45">
      <c r="C21" s="21" cm="1">
        <f t="array" ref="C21:F24">MMULT(C15:F18,C15:F18)</f>
        <v>20775.506614305312</v>
      </c>
      <c r="D21" s="21">
        <v>4320.6450329354075</v>
      </c>
      <c r="E21" s="21">
        <v>2032.856572967482</v>
      </c>
      <c r="F21" s="21">
        <v>9641.1812366155136</v>
      </c>
      <c r="G21" s="24">
        <f>SUM(C21:F21)</f>
        <v>36770.189456823719</v>
      </c>
      <c r="H21" s="15">
        <f>G21/G$25</f>
        <v>5.5285541469609109E-2</v>
      </c>
    </row>
    <row r="22" spans="3:8" x14ac:dyDescent="0.45">
      <c r="C22" s="21">
        <v>98531.248708154861</v>
      </c>
      <c r="D22" s="21">
        <v>20491.473249057977</v>
      </c>
      <c r="E22" s="21">
        <v>9641.1812366155154</v>
      </c>
      <c r="F22" s="21">
        <v>45725.015397329291</v>
      </c>
      <c r="G22" s="24">
        <f t="shared" ref="G22:G24" si="4">SUM(C22:F22)</f>
        <v>174388.91859115765</v>
      </c>
      <c r="H22" s="15">
        <f t="shared" ref="H22:H24" si="5">G22/G$25</f>
        <v>0.26220114535805161</v>
      </c>
    </row>
    <row r="23" spans="3:8" x14ac:dyDescent="0.45">
      <c r="C23" s="21">
        <v>212322.06268447131</v>
      </c>
      <c r="D23" s="21">
        <v>44156.375709078689</v>
      </c>
      <c r="E23" s="21">
        <v>20775.506614305312</v>
      </c>
      <c r="F23" s="21">
        <v>98531.248708154861</v>
      </c>
      <c r="G23" s="24">
        <f t="shared" si="4"/>
        <v>375785.1937160102</v>
      </c>
      <c r="H23" s="15">
        <f t="shared" si="5"/>
        <v>0.56500899826057638</v>
      </c>
    </row>
    <row r="24" spans="3:8" x14ac:dyDescent="0.45">
      <c r="C24" s="21">
        <v>44156.375709078689</v>
      </c>
      <c r="D24" s="21">
        <v>9183.1493942946727</v>
      </c>
      <c r="E24" s="21">
        <v>4320.6450329354075</v>
      </c>
      <c r="F24" s="21">
        <v>20491.473249057977</v>
      </c>
      <c r="G24" s="24">
        <f t="shared" si="4"/>
        <v>78151.64338536674</v>
      </c>
      <c r="H24" s="15">
        <f t="shared" si="5"/>
        <v>0.11750431491176283</v>
      </c>
    </row>
    <row r="25" spans="3:8" x14ac:dyDescent="0.45">
      <c r="G25" s="22">
        <f>SUM(G21:G24)</f>
        <v>665095.94514935836</v>
      </c>
      <c r="H25" s="15">
        <f>SUM(H21:H24)</f>
        <v>0.99999999999999989</v>
      </c>
    </row>
    <row r="27" spans="3:8" x14ac:dyDescent="0.45">
      <c r="C27" s="21" cm="1">
        <f t="array" ref="C27:F30">MMULT(C21:F24,C21:F24)</f>
        <v>1714680147.0783122</v>
      </c>
      <c r="D27" s="21">
        <v>356599957.80281925</v>
      </c>
      <c r="E27" s="21">
        <v>167779493.99846566</v>
      </c>
      <c r="F27" s="21">
        <v>795723889.18688059</v>
      </c>
      <c r="G27" s="24">
        <f>SUM(C27:F27)</f>
        <v>3034783488.0664778</v>
      </c>
      <c r="H27" s="13">
        <f>G27/G$31</f>
        <v>5.5285490598713599E-2</v>
      </c>
    </row>
    <row r="28" spans="3:8" x14ac:dyDescent="0.45">
      <c r="C28" s="21">
        <v>8132173502.4123745</v>
      </c>
      <c r="D28" s="21">
        <v>1691238294.6500847</v>
      </c>
      <c r="E28" s="21">
        <v>795723889.18688059</v>
      </c>
      <c r="F28" s="21">
        <v>3773861112.1849928</v>
      </c>
      <c r="G28" s="24">
        <f t="shared" ref="G28:G30" si="6">SUM(C28:F28)</f>
        <v>14392996798.434334</v>
      </c>
      <c r="H28" s="13">
        <f t="shared" ref="H28:H30" si="7">G28/G$31</f>
        <v>0.26220120556083826</v>
      </c>
    </row>
    <row r="29" spans="3:8" x14ac:dyDescent="0.45">
      <c r="C29" s="21">
        <v>17523762509.412285</v>
      </c>
      <c r="D29" s="21">
        <v>3644395709.6393056</v>
      </c>
      <c r="E29" s="21">
        <v>1714680147.0783122</v>
      </c>
      <c r="F29" s="21">
        <v>8132173502.4123745</v>
      </c>
      <c r="G29" s="24">
        <f t="shared" si="6"/>
        <v>31015011868.542274</v>
      </c>
      <c r="H29" s="13">
        <f t="shared" si="7"/>
        <v>0.56500905379900501</v>
      </c>
    </row>
    <row r="30" spans="3:8" x14ac:dyDescent="0.45">
      <c r="C30" s="21">
        <v>3644395709.6393056</v>
      </c>
      <c r="D30" s="21">
        <v>757920571.07030559</v>
      </c>
      <c r="E30" s="21">
        <v>356599957.80281925</v>
      </c>
      <c r="F30" s="21">
        <v>1691238294.6500847</v>
      </c>
      <c r="G30" s="24">
        <f t="shared" si="6"/>
        <v>6450154533.1625147</v>
      </c>
      <c r="H30" s="13">
        <f t="shared" si="7"/>
        <v>0.11750425004144305</v>
      </c>
    </row>
    <row r="31" spans="3:8" x14ac:dyDescent="0.45">
      <c r="G31" s="22">
        <f>SUM(G27:G30)</f>
        <v>54892946688.205605</v>
      </c>
      <c r="H31" s="15">
        <f>SUM(H27:H30)</f>
        <v>0.99999999999999989</v>
      </c>
    </row>
    <row r="33" spans="3:8" x14ac:dyDescent="0.45">
      <c r="C33" s="21" cm="1">
        <f t="array" ref="C33:F36">MMULT(C27:F30,C27:F30)</f>
        <v>1.1680121469178606E+19</v>
      </c>
      <c r="D33" s="21">
        <v>2.4291007452004572E+18</v>
      </c>
      <c r="E33" s="21">
        <v>1.1428865455055014E+18</v>
      </c>
      <c r="F33" s="21">
        <v>5.4203413374067866E+18</v>
      </c>
      <c r="G33" s="24">
        <f>SUM(C33:F33)</f>
        <v>2.067245009729135E+19</v>
      </c>
      <c r="H33" s="13">
        <f>G33/G$37</f>
        <v>5.528549059868091E-2</v>
      </c>
    </row>
    <row r="34" spans="3:8" x14ac:dyDescent="0.45">
      <c r="C34" s="21">
        <v>5.5395039406399717E+19</v>
      </c>
      <c r="D34" s="21">
        <v>1.1520439394193822E+19</v>
      </c>
      <c r="E34" s="21">
        <v>5.4203413374067876E+18</v>
      </c>
      <c r="F34" s="21">
        <v>2.570692631700018E+19</v>
      </c>
      <c r="G34" s="24">
        <f t="shared" ref="G34:G36" si="8">SUM(C34:F34)</f>
        <v>9.8042746455000498E+19</v>
      </c>
      <c r="H34" s="13">
        <f t="shared" ref="H34:H36" si="9">G34/G$37</f>
        <v>0.2622012055608734</v>
      </c>
    </row>
    <row r="35" spans="3:8" x14ac:dyDescent="0.45">
      <c r="C35" s="21">
        <v>1.1936901179847714E+20</v>
      </c>
      <c r="D35" s="21">
        <v>2.4825029112810598E+19</v>
      </c>
      <c r="E35" s="21">
        <v>1.1680121469178606E+19</v>
      </c>
      <c r="F35" s="21">
        <v>5.5395039406399717E+19</v>
      </c>
      <c r="G35" s="24">
        <f t="shared" si="8"/>
        <v>2.1126920178686607E+20</v>
      </c>
      <c r="H35" s="13">
        <f t="shared" si="9"/>
        <v>0.56500905379904709</v>
      </c>
    </row>
    <row r="36" spans="3:8" x14ac:dyDescent="0.45">
      <c r="C36" s="21">
        <v>2.4825029112810598E+19</v>
      </c>
      <c r="D36" s="21">
        <v>5.1628313007426273E+18</v>
      </c>
      <c r="E36" s="21">
        <v>2.4291007452004572E+18</v>
      </c>
      <c r="F36" s="21">
        <v>1.1520439394193822E+19</v>
      </c>
      <c r="G36" s="24">
        <f t="shared" si="8"/>
        <v>4.3937400552947499E+19</v>
      </c>
      <c r="H36" s="13">
        <f t="shared" si="9"/>
        <v>0.11750425004139854</v>
      </c>
    </row>
    <row r="37" spans="3:8" x14ac:dyDescent="0.45">
      <c r="G37" s="22">
        <f>SUM(G33:G36)</f>
        <v>3.7392179889210543E+20</v>
      </c>
      <c r="H37" s="15">
        <f>SUM(H33:H36)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169F-787C-4027-941B-C262E597F2E4}">
  <dimension ref="B3:P31"/>
  <sheetViews>
    <sheetView workbookViewId="0">
      <selection activeCell="H28" sqref="H28"/>
    </sheetView>
  </sheetViews>
  <sheetFormatPr defaultRowHeight="14.25" x14ac:dyDescent="0.45"/>
  <cols>
    <col min="2" max="2" width="11.6640625" customWidth="1"/>
    <col min="3" max="3" width="10" customWidth="1"/>
    <col min="4" max="4" width="9.73046875" customWidth="1"/>
    <col min="5" max="5" width="10.59765625" customWidth="1"/>
    <col min="6" max="6" width="9.73046875" bestFit="1" customWidth="1"/>
    <col min="7" max="7" width="11.73046875" bestFit="1" customWidth="1"/>
    <col min="12" max="12" width="22.796875" customWidth="1"/>
    <col min="13" max="13" width="9.86328125" customWidth="1"/>
    <col min="14" max="14" width="13.46484375" customWidth="1"/>
    <col min="16" max="16" width="12.46484375" customWidth="1"/>
  </cols>
  <sheetData>
    <row r="3" spans="2:16" x14ac:dyDescent="0.45">
      <c r="C3" s="17" t="s">
        <v>0</v>
      </c>
      <c r="D3" s="17" t="s">
        <v>1</v>
      </c>
      <c r="E3" s="17" t="s">
        <v>2</v>
      </c>
      <c r="F3" s="17" t="s">
        <v>24</v>
      </c>
      <c r="M3" s="4"/>
      <c r="N3" s="4"/>
      <c r="O3" s="4"/>
      <c r="P3" s="4"/>
    </row>
    <row r="4" spans="2:16" x14ac:dyDescent="0.45">
      <c r="B4" s="17" t="s">
        <v>0</v>
      </c>
      <c r="C4" s="19">
        <v>1</v>
      </c>
      <c r="D4" s="19">
        <f>1/7</f>
        <v>0.14285714285714285</v>
      </c>
      <c r="E4" s="19">
        <f>1/5</f>
        <v>0.2</v>
      </c>
      <c r="F4" s="19">
        <f>1/5</f>
        <v>0.2</v>
      </c>
      <c r="L4" s="4"/>
      <c r="M4" s="1"/>
      <c r="N4" s="1"/>
      <c r="O4" s="1"/>
      <c r="P4" s="1"/>
    </row>
    <row r="5" spans="2:16" x14ac:dyDescent="0.45">
      <c r="B5" s="17" t="s">
        <v>1</v>
      </c>
      <c r="C5" s="21">
        <v>7</v>
      </c>
      <c r="D5" s="21">
        <v>1</v>
      </c>
      <c r="E5" s="21">
        <v>3</v>
      </c>
      <c r="F5" s="21">
        <v>3</v>
      </c>
      <c r="L5" s="4"/>
    </row>
    <row r="6" spans="2:16" x14ac:dyDescent="0.45">
      <c r="B6" s="17" t="s">
        <v>2</v>
      </c>
      <c r="C6" s="19">
        <v>5</v>
      </c>
      <c r="D6" s="19">
        <f>1/3</f>
        <v>0.33333333333333331</v>
      </c>
      <c r="E6" s="19">
        <v>1</v>
      </c>
      <c r="F6" s="19">
        <v>1</v>
      </c>
      <c r="L6" s="4"/>
    </row>
    <row r="7" spans="2:16" x14ac:dyDescent="0.45">
      <c r="B7" s="17" t="s">
        <v>24</v>
      </c>
      <c r="C7" s="21">
        <v>5</v>
      </c>
      <c r="D7" s="21">
        <f>1/3</f>
        <v>0.33333333333333331</v>
      </c>
      <c r="E7" s="21">
        <v>1</v>
      </c>
      <c r="F7" s="21">
        <v>1</v>
      </c>
      <c r="L7" s="4"/>
    </row>
    <row r="8" spans="2:16" x14ac:dyDescent="0.45">
      <c r="L8" s="4"/>
    </row>
    <row r="9" spans="2:16" x14ac:dyDescent="0.45">
      <c r="C9" s="21" cm="1">
        <f t="array" ref="C9:F12">MMULT(C4:F7,C4:F7)</f>
        <v>4</v>
      </c>
      <c r="D9" s="21">
        <v>0.419047619047619</v>
      </c>
      <c r="E9" s="21">
        <v>1.0285714285714285</v>
      </c>
      <c r="F9" s="21">
        <v>1.0285714285714285</v>
      </c>
      <c r="G9" s="24">
        <f>SUM(C9:F9)</f>
        <v>6.4761904761904763</v>
      </c>
      <c r="H9" s="15">
        <f>G9/G$13</f>
        <v>5.0058892815076562E-2</v>
      </c>
    </row>
    <row r="10" spans="2:16" x14ac:dyDescent="0.45">
      <c r="C10" s="21">
        <v>44</v>
      </c>
      <c r="D10" s="21">
        <v>4</v>
      </c>
      <c r="E10" s="21">
        <v>10.4</v>
      </c>
      <c r="F10" s="21">
        <v>10.4</v>
      </c>
      <c r="G10" s="24">
        <f t="shared" ref="G10:G12" si="0">SUM(C10:F10)</f>
        <v>68.8</v>
      </c>
      <c r="H10" s="15">
        <f t="shared" ref="H10:H12" si="1">G10/G$13</f>
        <v>0.53180212014134276</v>
      </c>
    </row>
    <row r="11" spans="2:16" x14ac:dyDescent="0.45">
      <c r="C11" s="21">
        <v>17.333333333333332</v>
      </c>
      <c r="D11" s="21">
        <v>1.714285714285714</v>
      </c>
      <c r="E11" s="21">
        <v>4</v>
      </c>
      <c r="F11" s="21">
        <v>4</v>
      </c>
      <c r="G11" s="24">
        <f t="shared" si="0"/>
        <v>27.047619047619047</v>
      </c>
      <c r="H11" s="15">
        <f t="shared" si="1"/>
        <v>0.20906949352179036</v>
      </c>
    </row>
    <row r="12" spans="2:16" x14ac:dyDescent="0.45">
      <c r="C12" s="21">
        <v>17.333333333333332</v>
      </c>
      <c r="D12" s="21">
        <v>1.714285714285714</v>
      </c>
      <c r="E12" s="21">
        <v>4</v>
      </c>
      <c r="F12" s="21">
        <v>4</v>
      </c>
      <c r="G12" s="24">
        <f t="shared" si="0"/>
        <v>27.047619047619047</v>
      </c>
      <c r="H12" s="15">
        <f t="shared" si="1"/>
        <v>0.20906949352179036</v>
      </c>
    </row>
    <row r="13" spans="2:16" x14ac:dyDescent="0.45">
      <c r="G13" s="22">
        <f>SUM(G9:G12)</f>
        <v>129.37142857142857</v>
      </c>
      <c r="H13" s="15">
        <v>1</v>
      </c>
    </row>
    <row r="15" spans="2:16" x14ac:dyDescent="0.45">
      <c r="C15" s="21" cm="1">
        <f t="array" ref="C15:F18">MMULT(C9:F12,C9:F12)</f>
        <v>70.095238095238088</v>
      </c>
      <c r="D15" s="21">
        <v>6.8789115646258496</v>
      </c>
      <c r="E15" s="21">
        <v>16.70095238095238</v>
      </c>
      <c r="F15" s="21">
        <v>16.70095238095238</v>
      </c>
      <c r="G15" s="24">
        <f>SUM(C15:F15)</f>
        <v>110.37605442176869</v>
      </c>
      <c r="H15" s="15">
        <f>G15/G$19</f>
        <v>5.191053936289873E-2</v>
      </c>
    </row>
    <row r="16" spans="2:16" x14ac:dyDescent="0.45">
      <c r="C16" s="21">
        <v>712.5333333333333</v>
      </c>
      <c r="D16" s="21">
        <v>70.095238095238088</v>
      </c>
      <c r="E16" s="21">
        <v>170.05714285714285</v>
      </c>
      <c r="F16" s="21">
        <v>170.05714285714285</v>
      </c>
      <c r="G16" s="24">
        <f t="shared" ref="G16:G18" si="2">SUM(C16:F16)</f>
        <v>1122.742857142857</v>
      </c>
      <c r="H16" s="15">
        <f t="shared" ref="H16:H18" si="3">G16/G$19</f>
        <v>0.52803289250963725</v>
      </c>
    </row>
    <row r="17" spans="3:8" x14ac:dyDescent="0.45">
      <c r="C17" s="21">
        <v>283.42857142857139</v>
      </c>
      <c r="D17" s="21">
        <v>27.834920634920628</v>
      </c>
      <c r="E17" s="21">
        <v>67.657142857142844</v>
      </c>
      <c r="F17" s="21">
        <v>67.657142857142844</v>
      </c>
      <c r="G17" s="24">
        <f t="shared" si="2"/>
        <v>446.57777777777773</v>
      </c>
      <c r="H17" s="15">
        <f t="shared" si="3"/>
        <v>0.21002828406373195</v>
      </c>
    </row>
    <row r="18" spans="3:8" x14ac:dyDescent="0.45">
      <c r="C18" s="21">
        <v>283.42857142857139</v>
      </c>
      <c r="D18" s="21">
        <v>27.834920634920628</v>
      </c>
      <c r="E18" s="21">
        <v>67.657142857142844</v>
      </c>
      <c r="F18" s="21">
        <v>67.657142857142844</v>
      </c>
      <c r="G18" s="24">
        <f t="shared" si="2"/>
        <v>446.57777777777773</v>
      </c>
      <c r="H18" s="15">
        <f t="shared" si="3"/>
        <v>0.21002828406373195</v>
      </c>
    </row>
    <row r="19" spans="3:8" x14ac:dyDescent="0.45">
      <c r="G19" s="22">
        <f>SUM(G15:G18)</f>
        <v>2126.2744671201813</v>
      </c>
      <c r="H19" s="15">
        <v>1</v>
      </c>
    </row>
    <row r="21" spans="3:8" x14ac:dyDescent="0.45">
      <c r="C21" s="21" cm="1">
        <f t="array" ref="C21:F24">MMULT(C15:F18,C15:F18)</f>
        <v>19281.85034013605</v>
      </c>
      <c r="D21" s="21">
        <v>1894.0972560198679</v>
      </c>
      <c r="E21" s="21">
        <v>4600.3427223841909</v>
      </c>
      <c r="F21" s="21">
        <v>4600.3427223841909</v>
      </c>
      <c r="G21" s="24">
        <f>SUM(C21:F21)</f>
        <v>30376.633040924298</v>
      </c>
      <c r="H21" s="13">
        <f>G21/G$25</f>
        <v>5.1878270058818149E-2</v>
      </c>
    </row>
    <row r="22" spans="3:8" x14ac:dyDescent="0.45">
      <c r="C22" s="21">
        <v>196288.49342403625</v>
      </c>
      <c r="D22" s="21">
        <v>19281.85034013605</v>
      </c>
      <c r="E22" s="21">
        <v>46831.342004535138</v>
      </c>
      <c r="F22" s="21">
        <v>46831.342004535138</v>
      </c>
      <c r="G22" s="24">
        <f t="shared" ref="G22:G24" si="4">SUM(C22:F22)</f>
        <v>309233.02777324256</v>
      </c>
      <c r="H22" s="13">
        <f t="shared" ref="H22:H24" si="5">G22/G$25</f>
        <v>0.52811891641556841</v>
      </c>
    </row>
    <row r="23" spans="3:8" x14ac:dyDescent="0.45">
      <c r="C23" s="21">
        <v>78052.23667422522</v>
      </c>
      <c r="D23" s="21">
        <v>7667.2378706403169</v>
      </c>
      <c r="E23" s="21">
        <v>18622.03210884353</v>
      </c>
      <c r="F23" s="21">
        <v>18622.03210884353</v>
      </c>
      <c r="G23" s="24">
        <f t="shared" si="4"/>
        <v>122963.53876255259</v>
      </c>
      <c r="H23" s="13">
        <f t="shared" si="5"/>
        <v>0.21000140676280671</v>
      </c>
    </row>
    <row r="24" spans="3:8" x14ac:dyDescent="0.45">
      <c r="C24" s="21">
        <v>78052.23667422522</v>
      </c>
      <c r="D24" s="21">
        <v>7667.2378706403169</v>
      </c>
      <c r="E24" s="21">
        <v>18622.03210884353</v>
      </c>
      <c r="F24" s="21">
        <v>18622.03210884353</v>
      </c>
      <c r="G24" s="24">
        <f t="shared" si="4"/>
        <v>122963.53876255259</v>
      </c>
      <c r="H24" s="13">
        <f t="shared" si="5"/>
        <v>0.21000140676280671</v>
      </c>
    </row>
    <row r="25" spans="3:8" x14ac:dyDescent="0.45">
      <c r="G25" s="22">
        <f>SUM(G21:G24)</f>
        <v>585536.73833927209</v>
      </c>
      <c r="H25" s="15">
        <f>SUM(H21:H24)</f>
        <v>1</v>
      </c>
    </row>
    <row r="27" spans="3:8" x14ac:dyDescent="0.45">
      <c r="C27" s="21" cm="1">
        <f t="array" ref="C27:F30">MMULT(C21:F24,C21:F24)</f>
        <v>1461713327.2223065</v>
      </c>
      <c r="D27" s="21">
        <v>143587243.51845217</v>
      </c>
      <c r="E27" s="21">
        <v>348741696.04871011</v>
      </c>
      <c r="F27" s="21">
        <v>348741696.04871011</v>
      </c>
      <c r="G27" s="24">
        <f>SUM(C27:F27)</f>
        <v>2302783962.8381786</v>
      </c>
      <c r="H27" s="13">
        <f>G27/G$31</f>
        <v>5.1878260673186169E-2</v>
      </c>
    </row>
    <row r="28" spans="3:8" x14ac:dyDescent="0.45">
      <c r="C28" s="21">
        <v>14880192687.205215</v>
      </c>
      <c r="D28" s="21">
        <v>1461713327.2223065</v>
      </c>
      <c r="E28" s="21">
        <v>3550178778.9875679</v>
      </c>
      <c r="F28" s="21">
        <v>3550178778.9875679</v>
      </c>
      <c r="G28" s="24">
        <f t="shared" ref="G28:G30" si="6">SUM(C28:F28)</f>
        <v>23442263572.40266</v>
      </c>
      <c r="H28" s="13">
        <f t="shared" ref="H28:H30" si="7">G28/G$31</f>
        <v>0.528118955144948</v>
      </c>
    </row>
    <row r="29" spans="3:8" x14ac:dyDescent="0.45">
      <c r="C29" s="21">
        <v>5916964631.6459465</v>
      </c>
      <c r="D29" s="21">
        <v>581236160.08118355</v>
      </c>
      <c r="E29" s="21">
        <v>1411694237.6257596</v>
      </c>
      <c r="F29" s="21">
        <v>1411694237.6257596</v>
      </c>
      <c r="G29" s="24">
        <f t="shared" si="6"/>
        <v>9321589266.9786491</v>
      </c>
      <c r="H29" s="13">
        <f t="shared" si="7"/>
        <v>0.21000139209093296</v>
      </c>
    </row>
    <row r="30" spans="3:8" x14ac:dyDescent="0.45">
      <c r="C30" s="21">
        <v>5916964631.6459465</v>
      </c>
      <c r="D30" s="21">
        <v>581236160.08118355</v>
      </c>
      <c r="E30" s="21">
        <v>1411694237.6257596</v>
      </c>
      <c r="F30" s="21">
        <v>1411694237.6257596</v>
      </c>
      <c r="G30" s="24">
        <f t="shared" si="6"/>
        <v>9321589266.9786491</v>
      </c>
      <c r="H30" s="13">
        <f t="shared" si="7"/>
        <v>0.21000139209093296</v>
      </c>
    </row>
    <row r="31" spans="3:8" x14ac:dyDescent="0.45">
      <c r="G31" s="22">
        <f>SUM(G27:G30)</f>
        <v>44388226069.198135</v>
      </c>
      <c r="H31" s="15">
        <f>SUM(H27:H30)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24E6-FC59-49B4-9DB9-D8D83BA300FD}">
  <dimension ref="C2:Q7"/>
  <sheetViews>
    <sheetView workbookViewId="0">
      <selection activeCell="E3" sqref="E3"/>
    </sheetView>
  </sheetViews>
  <sheetFormatPr defaultRowHeight="14.25" x14ac:dyDescent="0.45"/>
  <cols>
    <col min="3" max="3" width="12.46484375" customWidth="1"/>
    <col min="5" max="5" width="15.3984375" customWidth="1"/>
    <col min="13" max="13" width="14.19921875" customWidth="1"/>
  </cols>
  <sheetData>
    <row r="2" spans="3:17" x14ac:dyDescent="0.45">
      <c r="D2" s="17" t="s">
        <v>38</v>
      </c>
      <c r="E2" s="17" t="s">
        <v>39</v>
      </c>
      <c r="N2" s="4"/>
      <c r="O2" s="4"/>
      <c r="P2" s="4"/>
      <c r="Q2" s="4"/>
    </row>
    <row r="3" spans="3:17" x14ac:dyDescent="0.45">
      <c r="C3" s="17" t="s">
        <v>0</v>
      </c>
      <c r="D3" s="21">
        <v>3</v>
      </c>
      <c r="E3" s="13">
        <f>D3/D$7</f>
        <v>0.27272727272727271</v>
      </c>
      <c r="M3" s="4"/>
      <c r="N3" s="1"/>
      <c r="O3" s="1"/>
      <c r="P3" s="1"/>
      <c r="Q3" s="1"/>
    </row>
    <row r="4" spans="3:17" x14ac:dyDescent="0.45">
      <c r="C4" s="17" t="s">
        <v>1</v>
      </c>
      <c r="D4" s="21">
        <v>4</v>
      </c>
      <c r="E4" s="13">
        <f t="shared" ref="E4:E6" si="0">D4/D$7</f>
        <v>0.36363636363636365</v>
      </c>
      <c r="M4" s="4"/>
    </row>
    <row r="5" spans="3:17" x14ac:dyDescent="0.45">
      <c r="C5" s="17" t="s">
        <v>2</v>
      </c>
      <c r="D5" s="21">
        <v>3</v>
      </c>
      <c r="E5" s="13">
        <f t="shared" si="0"/>
        <v>0.27272727272727271</v>
      </c>
      <c r="M5" s="4"/>
    </row>
    <row r="6" spans="3:17" x14ac:dyDescent="0.45">
      <c r="C6" s="17" t="s">
        <v>24</v>
      </c>
      <c r="D6" s="21">
        <v>1</v>
      </c>
      <c r="E6" s="13">
        <f t="shared" si="0"/>
        <v>9.0909090909090912E-2</v>
      </c>
      <c r="M6" s="4"/>
    </row>
    <row r="7" spans="3:17" x14ac:dyDescent="0.45">
      <c r="C7" s="17" t="s">
        <v>40</v>
      </c>
      <c r="D7" s="19">
        <f>SUM(D3:D6)</f>
        <v>11</v>
      </c>
      <c r="M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2B3D4-CDC7-40EA-B4EF-CD3F4E99C44F}">
  <dimension ref="C2:Q8"/>
  <sheetViews>
    <sheetView workbookViewId="0">
      <selection activeCell="M26" sqref="M26"/>
    </sheetView>
  </sheetViews>
  <sheetFormatPr defaultRowHeight="14.25" x14ac:dyDescent="0.45"/>
  <cols>
    <col min="3" max="3" width="14.33203125" customWidth="1"/>
    <col min="5" max="5" width="14.59765625" customWidth="1"/>
    <col min="6" max="6" width="15.59765625" customWidth="1"/>
    <col min="13" max="13" width="23.33203125" customWidth="1"/>
  </cols>
  <sheetData>
    <row r="2" spans="3:17" x14ac:dyDescent="0.45">
      <c r="D2" s="17" t="s">
        <v>41</v>
      </c>
      <c r="E2" s="17" t="s">
        <v>42</v>
      </c>
      <c r="F2" s="17" t="s">
        <v>39</v>
      </c>
    </row>
    <row r="3" spans="3:17" x14ac:dyDescent="0.45">
      <c r="C3" s="17" t="s">
        <v>0</v>
      </c>
      <c r="D3" s="30">
        <v>900000</v>
      </c>
      <c r="E3" s="21">
        <f>1/D3</f>
        <v>1.111111111111111E-6</v>
      </c>
      <c r="F3" s="13">
        <f>E3/E$7</f>
        <v>9.9999999999999992E-2</v>
      </c>
      <c r="N3" s="4"/>
      <c r="O3" s="4"/>
      <c r="P3" s="4"/>
      <c r="Q3" s="4"/>
    </row>
    <row r="4" spans="3:17" x14ac:dyDescent="0.45">
      <c r="C4" s="17" t="s">
        <v>1</v>
      </c>
      <c r="D4" s="30">
        <v>600000</v>
      </c>
      <c r="E4" s="21">
        <f t="shared" ref="E4:E6" si="0">1/D4</f>
        <v>1.6666666666666667E-6</v>
      </c>
      <c r="F4" s="13">
        <f t="shared" ref="F4:F6" si="1">E4/E$7</f>
        <v>0.15</v>
      </c>
      <c r="M4" s="4"/>
      <c r="N4" s="1"/>
      <c r="O4" s="1"/>
      <c r="P4" s="1"/>
      <c r="Q4" s="1"/>
    </row>
    <row r="5" spans="3:17" x14ac:dyDescent="0.45">
      <c r="C5" s="17" t="s">
        <v>2</v>
      </c>
      <c r="D5" s="30">
        <v>300000</v>
      </c>
      <c r="E5" s="21">
        <f t="shared" si="0"/>
        <v>3.3333333333333333E-6</v>
      </c>
      <c r="F5" s="13">
        <f t="shared" si="1"/>
        <v>0.3</v>
      </c>
      <c r="M5" s="4"/>
    </row>
    <row r="6" spans="3:17" x14ac:dyDescent="0.45">
      <c r="C6" s="17" t="s">
        <v>24</v>
      </c>
      <c r="D6" s="30">
        <v>200000</v>
      </c>
      <c r="E6" s="21">
        <f t="shared" si="0"/>
        <v>5.0000000000000004E-6</v>
      </c>
      <c r="F6" s="13">
        <f t="shared" si="1"/>
        <v>0.45</v>
      </c>
      <c r="M6" s="4"/>
    </row>
    <row r="7" spans="3:17" x14ac:dyDescent="0.45">
      <c r="C7" s="17" t="s">
        <v>40</v>
      </c>
      <c r="D7" s="30"/>
      <c r="E7" s="19">
        <f>SUM(E3:E6)</f>
        <v>1.1111111111111112E-5</v>
      </c>
      <c r="M7" s="4"/>
    </row>
    <row r="8" spans="3:17" x14ac:dyDescent="0.45">
      <c r="M8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FCC79-E1F4-45E9-979A-7EEB27CF202C}">
  <dimension ref="B2:K13"/>
  <sheetViews>
    <sheetView workbookViewId="0">
      <selection activeCell="M20" sqref="M20"/>
    </sheetView>
  </sheetViews>
  <sheetFormatPr defaultRowHeight="14.25" x14ac:dyDescent="0.45"/>
  <cols>
    <col min="2" max="2" width="9.73046875" customWidth="1"/>
    <col min="3" max="3" width="12.796875" customWidth="1"/>
    <col min="4" max="4" width="23.3984375" customWidth="1"/>
    <col min="5" max="5" width="10" customWidth="1"/>
    <col min="6" max="6" width="18.796875" customWidth="1"/>
    <col min="7" max="7" width="10.59765625" customWidth="1"/>
    <col min="10" max="10" width="22.3984375" customWidth="1"/>
  </cols>
  <sheetData>
    <row r="2" spans="2:11" x14ac:dyDescent="0.45"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K2" s="29" t="s">
        <v>29</v>
      </c>
    </row>
    <row r="3" spans="2:11" x14ac:dyDescent="0.45">
      <c r="C3" s="17" t="s">
        <v>0</v>
      </c>
      <c r="D3" s="19">
        <f>'AHP_Public Transport Links'!H33</f>
        <v>0.22014976210757112</v>
      </c>
      <c r="E3" s="19">
        <f>AHP_Parking!H33</f>
        <v>5.528549059868091E-2</v>
      </c>
      <c r="F3" s="19">
        <f>'AHP_Warehouse Space'!H27</f>
        <v>5.1878260673186169E-2</v>
      </c>
      <c r="G3" s="19">
        <f>AHP_Security!E3</f>
        <v>0.27272727272727271</v>
      </c>
      <c r="H3" s="19">
        <f>AHP_Cost!F3</f>
        <v>9.9999999999999992E-2</v>
      </c>
      <c r="J3" s="17" t="s">
        <v>3</v>
      </c>
      <c r="K3" s="19">
        <f>AHP_Weights!I37</f>
        <v>6.3376527674386021E-2</v>
      </c>
    </row>
    <row r="4" spans="2:11" x14ac:dyDescent="0.45">
      <c r="B4" s="4"/>
      <c r="C4" s="17" t="s">
        <v>1</v>
      </c>
      <c r="D4" s="20">
        <f>'AHP_Public Transport Links'!H34</f>
        <v>4.737796169338334E-2</v>
      </c>
      <c r="E4" s="20">
        <f>AHP_Parking!H34</f>
        <v>0.2622012055608734</v>
      </c>
      <c r="F4" s="20">
        <f>'AHP_Warehouse Space'!H28</f>
        <v>0.528118955144948</v>
      </c>
      <c r="G4" s="20">
        <f>AHP_Security!E4</f>
        <v>0.36363636363636365</v>
      </c>
      <c r="H4" s="20">
        <f>AHP_Cost!F4</f>
        <v>0.15</v>
      </c>
      <c r="J4" s="31" t="s">
        <v>4</v>
      </c>
      <c r="K4" s="20">
        <f>AHP_Weights!I38</f>
        <v>3.3335180702159788E-2</v>
      </c>
    </row>
    <row r="5" spans="2:11" x14ac:dyDescent="0.45">
      <c r="B5" s="4"/>
      <c r="C5" s="17" t="s">
        <v>2</v>
      </c>
      <c r="D5" s="19">
        <f>'AHP_Public Transport Links'!H35</f>
        <v>6.6616763058641809E-2</v>
      </c>
      <c r="E5" s="19">
        <f>AHP_Parking!H35</f>
        <v>0.56500905379904709</v>
      </c>
      <c r="F5" s="19">
        <f>'AHP_Warehouse Space'!H29</f>
        <v>0.21000139209093296</v>
      </c>
      <c r="G5" s="19">
        <f>AHP_Security!E5</f>
        <v>0.27272727272727271</v>
      </c>
      <c r="H5" s="19">
        <f>AHP_Cost!F5</f>
        <v>0.3</v>
      </c>
      <c r="J5" s="17" t="s">
        <v>5</v>
      </c>
      <c r="K5" s="19">
        <f>AHP_Weights!I39</f>
        <v>0.51281281278140889</v>
      </c>
    </row>
    <row r="6" spans="2:11" x14ac:dyDescent="0.45">
      <c r="B6" s="4"/>
      <c r="C6" s="17" t="s">
        <v>24</v>
      </c>
      <c r="D6" s="20">
        <f>'AHP_Public Transport Links'!H36</f>
        <v>0.66585551314040381</v>
      </c>
      <c r="E6" s="20">
        <f>AHP_Parking!H36</f>
        <v>0.11750425004139854</v>
      </c>
      <c r="F6" s="20">
        <f>'AHP_Warehouse Space'!H30</f>
        <v>0.21000139209093296</v>
      </c>
      <c r="G6" s="20">
        <f>AHP_Security!E6</f>
        <v>9.0909090909090912E-2</v>
      </c>
      <c r="H6" s="20">
        <f>AHP_Cost!F6</f>
        <v>0.45</v>
      </c>
      <c r="J6" s="31" t="s">
        <v>6</v>
      </c>
      <c r="K6" s="20">
        <f>AHP_Weights!I40</f>
        <v>0.12897642312026944</v>
      </c>
    </row>
    <row r="7" spans="2:11" x14ac:dyDescent="0.45">
      <c r="B7" s="4"/>
      <c r="J7" s="17" t="s">
        <v>7</v>
      </c>
      <c r="K7" s="19">
        <f>AHP_Weights!I41</f>
        <v>0.26149905572177595</v>
      </c>
    </row>
    <row r="8" spans="2:11" x14ac:dyDescent="0.45">
      <c r="B8" s="4"/>
    </row>
    <row r="9" spans="2:11" x14ac:dyDescent="0.45">
      <c r="C9" s="17" t="s">
        <v>31</v>
      </c>
      <c r="D9" s="17" t="s">
        <v>30</v>
      </c>
      <c r="E9" s="17" t="s">
        <v>43</v>
      </c>
    </row>
    <row r="10" spans="2:11" x14ac:dyDescent="0.45">
      <c r="C10" s="32" t="s">
        <v>0</v>
      </c>
      <c r="D10" s="34">
        <f>(D3*$K$3)+(E3*$K$4)+(F3*$K$5)+(G3*$K$6)+(H3*$K$7)</f>
        <v>0.10372440978394575</v>
      </c>
      <c r="E10" s="37">
        <v>4</v>
      </c>
      <c r="F10" s="39" t="s">
        <v>45</v>
      </c>
    </row>
    <row r="11" spans="2:11" x14ac:dyDescent="0.45">
      <c r="C11" s="33" t="s">
        <v>1</v>
      </c>
      <c r="D11" s="36">
        <f t="shared" ref="D11:D13" si="0">(D4*$K$3)+(E4*$K$4)+(F4*$K$5)+(G4*$K$6)+(H4*$K$7)</f>
        <v>0.36869471799571824</v>
      </c>
      <c r="E11" s="38">
        <v>1</v>
      </c>
      <c r="F11" s="39" t="s">
        <v>44</v>
      </c>
    </row>
    <row r="12" spans="2:11" x14ac:dyDescent="0.45">
      <c r="C12" s="32" t="s">
        <v>2</v>
      </c>
      <c r="D12" s="35">
        <f t="shared" si="0"/>
        <v>0.24437312744071707</v>
      </c>
      <c r="E12" s="37">
        <v>3</v>
      </c>
    </row>
    <row r="13" spans="2:11" x14ac:dyDescent="0.45">
      <c r="C13" s="33" t="s">
        <v>24</v>
      </c>
      <c r="D13" s="24">
        <f t="shared" si="0"/>
        <v>0.28320774477961908</v>
      </c>
      <c r="E13" s="20">
        <v>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92DCD-9547-4669-93F2-AAB42220B60F}">
  <dimension ref="C1:M37"/>
  <sheetViews>
    <sheetView workbookViewId="0">
      <selection activeCell="N46" sqref="N46"/>
    </sheetView>
  </sheetViews>
  <sheetFormatPr defaultRowHeight="14.25" x14ac:dyDescent="0.45"/>
  <cols>
    <col min="3" max="3" width="15.9296875" customWidth="1"/>
    <col min="4" max="4" width="13.86328125" customWidth="1"/>
    <col min="5" max="5" width="10.53125" customWidth="1"/>
    <col min="6" max="6" width="18.1328125" customWidth="1"/>
    <col min="7" max="7" width="10.3984375" customWidth="1"/>
    <col min="9" max="9" width="11.3984375" customWidth="1"/>
  </cols>
  <sheetData>
    <row r="1" spans="3:13" x14ac:dyDescent="0.45">
      <c r="L1" s="5"/>
    </row>
    <row r="2" spans="3:13" x14ac:dyDescent="0.45"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L2" s="4"/>
      <c r="M2" s="4"/>
    </row>
    <row r="3" spans="3:13" x14ac:dyDescent="0.45">
      <c r="C3" s="17" t="s">
        <v>29</v>
      </c>
      <c r="D3" s="19">
        <v>0.15</v>
      </c>
      <c r="E3" s="19">
        <v>0.1</v>
      </c>
      <c r="F3" s="19">
        <v>0.3</v>
      </c>
      <c r="G3" s="19">
        <v>0.2</v>
      </c>
      <c r="H3" s="19">
        <v>0.25</v>
      </c>
    </row>
    <row r="4" spans="3:13" x14ac:dyDescent="0.45">
      <c r="C4" s="17" t="s">
        <v>0</v>
      </c>
      <c r="D4" s="41">
        <v>10</v>
      </c>
      <c r="E4" s="20">
        <v>1</v>
      </c>
      <c r="F4" s="20">
        <v>1</v>
      </c>
      <c r="G4" s="20">
        <v>3</v>
      </c>
      <c r="H4" s="42">
        <v>900000</v>
      </c>
    </row>
    <row r="5" spans="3:13" x14ac:dyDescent="0.45">
      <c r="C5" s="17" t="s">
        <v>1</v>
      </c>
      <c r="D5" s="25">
        <v>5</v>
      </c>
      <c r="E5" s="19">
        <v>5</v>
      </c>
      <c r="F5" s="19">
        <v>7</v>
      </c>
      <c r="G5" s="19">
        <v>4</v>
      </c>
      <c r="H5" s="40">
        <v>600000</v>
      </c>
    </row>
    <row r="6" spans="3:13" x14ac:dyDescent="0.45">
      <c r="C6" s="17" t="s">
        <v>2</v>
      </c>
      <c r="D6" s="41">
        <v>6</v>
      </c>
      <c r="E6" s="20">
        <v>7</v>
      </c>
      <c r="F6" s="20">
        <v>5</v>
      </c>
      <c r="G6" s="20">
        <v>3</v>
      </c>
      <c r="H6" s="42">
        <v>300000</v>
      </c>
    </row>
    <row r="7" spans="3:13" x14ac:dyDescent="0.45">
      <c r="C7" s="17" t="s">
        <v>24</v>
      </c>
      <c r="D7" s="25">
        <v>14</v>
      </c>
      <c r="E7" s="19">
        <v>3</v>
      </c>
      <c r="F7" s="19">
        <v>5</v>
      </c>
      <c r="G7" s="19">
        <v>1</v>
      </c>
      <c r="H7" s="40">
        <v>200000</v>
      </c>
    </row>
    <row r="8" spans="3:13" x14ac:dyDescent="0.45">
      <c r="C8" s="17" t="s">
        <v>32</v>
      </c>
      <c r="D8" s="43">
        <f>SUMSQ(D4:D7)</f>
        <v>357</v>
      </c>
      <c r="E8" s="43">
        <f t="shared" ref="E8:H8" si="0">SUMSQ(E4:E7)</f>
        <v>84</v>
      </c>
      <c r="F8" s="43">
        <f t="shared" si="0"/>
        <v>100</v>
      </c>
      <c r="G8" s="43">
        <f t="shared" si="0"/>
        <v>35</v>
      </c>
      <c r="H8" s="43">
        <f t="shared" si="0"/>
        <v>1300000000000</v>
      </c>
    </row>
    <row r="9" spans="3:13" x14ac:dyDescent="0.45">
      <c r="C9" s="17" t="s">
        <v>33</v>
      </c>
      <c r="D9" s="44">
        <f>SQRT(D8)</f>
        <v>18.894443627691185</v>
      </c>
      <c r="E9" s="44">
        <f t="shared" ref="E9:H9" si="1">SQRT(E8)</f>
        <v>9.1651513899116797</v>
      </c>
      <c r="F9" s="44">
        <f t="shared" si="1"/>
        <v>10</v>
      </c>
      <c r="G9" s="44">
        <f t="shared" si="1"/>
        <v>5.9160797830996161</v>
      </c>
      <c r="H9" s="44">
        <f t="shared" si="1"/>
        <v>1140175.4250991379</v>
      </c>
    </row>
    <row r="11" spans="3:13" x14ac:dyDescent="0.45">
      <c r="D11" s="17" t="s">
        <v>3</v>
      </c>
      <c r="E11" s="17" t="s">
        <v>4</v>
      </c>
      <c r="F11" s="17" t="s">
        <v>5</v>
      </c>
      <c r="G11" s="17" t="s">
        <v>6</v>
      </c>
      <c r="H11" s="17" t="s">
        <v>7</v>
      </c>
    </row>
    <row r="12" spans="3:13" x14ac:dyDescent="0.45">
      <c r="C12" s="17" t="s">
        <v>0</v>
      </c>
      <c r="D12" s="19">
        <f>D4/D$9</f>
        <v>0.52925612402496314</v>
      </c>
      <c r="E12" s="19">
        <f>E4/E$9</f>
        <v>0.10910894511799619</v>
      </c>
      <c r="F12" s="19">
        <f t="shared" ref="F12:H12" si="2">F4/F$9</f>
        <v>0.1</v>
      </c>
      <c r="G12" s="19">
        <f t="shared" si="2"/>
        <v>0.50709255283710997</v>
      </c>
      <c r="H12" s="19">
        <f t="shared" si="2"/>
        <v>0.78935221737632633</v>
      </c>
    </row>
    <row r="13" spans="3:13" x14ac:dyDescent="0.45">
      <c r="C13" s="17" t="s">
        <v>1</v>
      </c>
      <c r="D13" s="20">
        <f t="shared" ref="D13:H15" si="3">D5/D$9</f>
        <v>0.26462806201248157</v>
      </c>
      <c r="E13" s="20">
        <f t="shared" si="3"/>
        <v>0.54554472558998102</v>
      </c>
      <c r="F13" s="20">
        <f t="shared" si="3"/>
        <v>0.7</v>
      </c>
      <c r="G13" s="20">
        <f t="shared" si="3"/>
        <v>0.67612340378281321</v>
      </c>
      <c r="H13" s="20">
        <f t="shared" si="3"/>
        <v>0.52623481158421759</v>
      </c>
    </row>
    <row r="14" spans="3:13" x14ac:dyDescent="0.45">
      <c r="C14" s="17" t="s">
        <v>2</v>
      </c>
      <c r="D14" s="19">
        <f t="shared" si="3"/>
        <v>0.31755367441497789</v>
      </c>
      <c r="E14" s="19">
        <f t="shared" si="3"/>
        <v>0.76376261582597338</v>
      </c>
      <c r="F14" s="19">
        <f t="shared" si="3"/>
        <v>0.5</v>
      </c>
      <c r="G14" s="19">
        <f t="shared" si="3"/>
        <v>0.50709255283710997</v>
      </c>
      <c r="H14" s="19">
        <f t="shared" si="3"/>
        <v>0.26311740579210879</v>
      </c>
    </row>
    <row r="15" spans="3:13" x14ac:dyDescent="0.45">
      <c r="C15" s="17" t="s">
        <v>24</v>
      </c>
      <c r="D15" s="20">
        <f t="shared" si="3"/>
        <v>0.74095857363494833</v>
      </c>
      <c r="E15" s="20">
        <f t="shared" si="3"/>
        <v>0.3273268353539886</v>
      </c>
      <c r="F15" s="20">
        <f t="shared" si="3"/>
        <v>0.5</v>
      </c>
      <c r="G15" s="20">
        <f t="shared" si="3"/>
        <v>0.1690308509457033</v>
      </c>
      <c r="H15" s="20">
        <f t="shared" si="3"/>
        <v>0.17541160386140586</v>
      </c>
    </row>
    <row r="17" spans="3:10" x14ac:dyDescent="0.45">
      <c r="D17" s="17" t="s">
        <v>3</v>
      </c>
      <c r="E17" s="17" t="s">
        <v>4</v>
      </c>
      <c r="F17" s="17" t="s">
        <v>5</v>
      </c>
      <c r="G17" s="17" t="s">
        <v>6</v>
      </c>
      <c r="H17" s="17" t="s">
        <v>7</v>
      </c>
    </row>
    <row r="18" spans="3:10" x14ac:dyDescent="0.45">
      <c r="C18" s="17" t="s">
        <v>0</v>
      </c>
      <c r="D18" s="20">
        <f>D12*D$3</f>
        <v>7.9388418603744473E-2</v>
      </c>
      <c r="E18" s="7">
        <f t="shared" ref="E18:H18" si="4">E12*E$3</f>
        <v>1.0910894511799621E-2</v>
      </c>
      <c r="F18" s="7">
        <f t="shared" si="4"/>
        <v>0.03</v>
      </c>
      <c r="G18" s="20">
        <f t="shared" si="4"/>
        <v>0.101418510567422</v>
      </c>
      <c r="H18" s="7">
        <f t="shared" si="4"/>
        <v>0.19733805434408158</v>
      </c>
    </row>
    <row r="19" spans="3:10" x14ac:dyDescent="0.45">
      <c r="C19" s="17" t="s">
        <v>1</v>
      </c>
      <c r="D19" s="7">
        <f t="shared" ref="D19:H21" si="5">D13*D$3</f>
        <v>3.9694209301872237E-2</v>
      </c>
      <c r="E19" s="20">
        <f t="shared" si="5"/>
        <v>5.4554472558998104E-2</v>
      </c>
      <c r="F19" s="8">
        <f t="shared" si="5"/>
        <v>0.21</v>
      </c>
      <c r="G19" s="8">
        <f t="shared" si="5"/>
        <v>0.13522468075656266</v>
      </c>
      <c r="H19" s="20">
        <f t="shared" si="5"/>
        <v>0.1315587028960544</v>
      </c>
    </row>
    <row r="20" spans="3:10" x14ac:dyDescent="0.45">
      <c r="C20" s="17" t="s">
        <v>2</v>
      </c>
      <c r="D20" s="20">
        <f t="shared" si="5"/>
        <v>4.7633051162246684E-2</v>
      </c>
      <c r="E20" s="8">
        <f t="shared" si="5"/>
        <v>7.6376261582597346E-2</v>
      </c>
      <c r="F20" s="20">
        <f t="shared" si="5"/>
        <v>0.15</v>
      </c>
      <c r="G20" s="20">
        <f t="shared" si="5"/>
        <v>0.101418510567422</v>
      </c>
      <c r="H20" s="20">
        <f t="shared" si="5"/>
        <v>6.5779351448027198E-2</v>
      </c>
    </row>
    <row r="21" spans="3:10" x14ac:dyDescent="0.45">
      <c r="C21" s="17" t="s">
        <v>24</v>
      </c>
      <c r="D21" s="9">
        <f t="shared" si="5"/>
        <v>0.11114378604524225</v>
      </c>
      <c r="E21" s="45">
        <f t="shared" si="5"/>
        <v>3.2732683535398863E-2</v>
      </c>
      <c r="F21" s="45">
        <f t="shared" si="5"/>
        <v>0.15</v>
      </c>
      <c r="G21" s="10">
        <f t="shared" si="5"/>
        <v>3.3806170189140665E-2</v>
      </c>
      <c r="H21" s="9">
        <f t="shared" si="5"/>
        <v>4.3852900965351466E-2</v>
      </c>
    </row>
    <row r="22" spans="3:10" x14ac:dyDescent="0.45">
      <c r="D22" s="11"/>
      <c r="E22" s="11"/>
      <c r="F22" s="11"/>
      <c r="G22" s="11"/>
      <c r="H22" s="11"/>
      <c r="J22" s="51" t="s">
        <v>34</v>
      </c>
    </row>
    <row r="23" spans="3:10" x14ac:dyDescent="0.45">
      <c r="C23" s="48" t="s">
        <v>35</v>
      </c>
      <c r="D23" s="8">
        <f>(D18-MAX(D$18:D$21))^2</f>
        <v>1.0084033613445369E-3</v>
      </c>
      <c r="E23" s="8">
        <f>(E18-MAX(E$18:E$21))^2</f>
        <v>4.2857142857142868E-3</v>
      </c>
      <c r="F23" s="8">
        <f t="shared" ref="F23:G23" si="6">(F18-MAX(F$18:F$21))^2</f>
        <v>3.2399999999999998E-2</v>
      </c>
      <c r="G23" s="8">
        <f t="shared" si="6"/>
        <v>1.1428571428571425E-3</v>
      </c>
      <c r="H23" s="8">
        <f>(H18-MIN(H$18:H$21))^2</f>
        <v>2.3557692307692307E-2</v>
      </c>
      <c r="I23" s="17" t="s">
        <v>0</v>
      </c>
      <c r="J23" s="13">
        <f>SQRT(SUM(D23:H23))</f>
        <v>0.24978924536018013</v>
      </c>
    </row>
    <row r="24" spans="3:10" x14ac:dyDescent="0.45">
      <c r="C24" s="47"/>
      <c r="D24" s="8">
        <f t="shared" ref="D24:G26" si="7">(D19-MAX(D$18:D$21))^2</f>
        <v>5.1050420168067216E-3</v>
      </c>
      <c r="E24" s="8">
        <f t="shared" si="7"/>
        <v>4.7619047619047635E-4</v>
      </c>
      <c r="F24" s="50">
        <f t="shared" si="7"/>
        <v>0</v>
      </c>
      <c r="G24" s="50">
        <f t="shared" si="7"/>
        <v>0</v>
      </c>
      <c r="H24" s="8">
        <f t="shared" ref="H24:H26" si="8">(H19-MIN(H$18:H$21))^2</f>
        <v>7.6923076923076936E-3</v>
      </c>
      <c r="I24" s="17" t="s">
        <v>1</v>
      </c>
      <c r="J24" s="13">
        <f t="shared" ref="J24:J26" si="9">SQRT(SUM(D24:H24))</f>
        <v>0.11521085098767776</v>
      </c>
    </row>
    <row r="25" spans="3:10" x14ac:dyDescent="0.45">
      <c r="C25" s="46"/>
      <c r="D25" s="8">
        <f t="shared" si="7"/>
        <v>4.0336134453781494E-3</v>
      </c>
      <c r="E25" s="50">
        <f t="shared" si="7"/>
        <v>0</v>
      </c>
      <c r="F25" s="8">
        <f t="shared" si="7"/>
        <v>3.5999999999999999E-3</v>
      </c>
      <c r="G25" s="8">
        <f t="shared" si="7"/>
        <v>1.1428571428571425E-3</v>
      </c>
      <c r="H25" s="8">
        <f t="shared" si="8"/>
        <v>4.8076923076923085E-4</v>
      </c>
      <c r="I25" s="17" t="s">
        <v>2</v>
      </c>
      <c r="J25" s="13">
        <f t="shared" si="9"/>
        <v>9.6214550973356017E-2</v>
      </c>
    </row>
    <row r="26" spans="3:10" x14ac:dyDescent="0.45">
      <c r="C26" s="46"/>
      <c r="D26" s="50">
        <f t="shared" si="7"/>
        <v>0</v>
      </c>
      <c r="E26" s="8">
        <f t="shared" si="7"/>
        <v>1.9047619047619054E-3</v>
      </c>
      <c r="F26" s="8">
        <f t="shared" si="7"/>
        <v>3.5999999999999999E-3</v>
      </c>
      <c r="G26" s="8">
        <f t="shared" si="7"/>
        <v>1.0285714285714285E-2</v>
      </c>
      <c r="H26" s="50">
        <f t="shared" si="8"/>
        <v>0</v>
      </c>
      <c r="I26" s="17" t="s">
        <v>24</v>
      </c>
      <c r="J26" s="13">
        <f t="shared" si="9"/>
        <v>0.12566016150903273</v>
      </c>
    </row>
    <row r="27" spans="3:10" x14ac:dyDescent="0.45">
      <c r="J27" s="49" t="s">
        <v>36</v>
      </c>
    </row>
    <row r="28" spans="3:10" x14ac:dyDescent="0.45">
      <c r="C28" s="49" t="s">
        <v>37</v>
      </c>
      <c r="D28" s="52">
        <f>(D18-MIN(D$18:D$21))^2</f>
        <v>1.5756302521008404E-3</v>
      </c>
      <c r="E28" s="53">
        <f t="shared" ref="E28:G31" si="10">(E18-MIN(E$18:E$21))^2</f>
        <v>0</v>
      </c>
      <c r="F28" s="53">
        <f t="shared" si="10"/>
        <v>0</v>
      </c>
      <c r="G28" s="52">
        <f t="shared" si="10"/>
        <v>4.5714285714285735E-3</v>
      </c>
      <c r="H28" s="53">
        <f>(H18-MAX(H$18:H$21))^2</f>
        <v>0</v>
      </c>
      <c r="I28" s="17" t="s">
        <v>0</v>
      </c>
      <c r="J28" s="52">
        <f>SQRT(SUM(D28:H28))</f>
        <v>7.8403181207967659E-2</v>
      </c>
    </row>
    <row r="29" spans="3:10" x14ac:dyDescent="0.45">
      <c r="C29" s="47"/>
      <c r="D29" s="53">
        <f t="shared" ref="D29:E31" si="11">(D19-MIN(D$18:D$21))^2</f>
        <v>0</v>
      </c>
      <c r="E29" s="52">
        <f t="shared" si="11"/>
        <v>1.9047619047619054E-3</v>
      </c>
      <c r="F29" s="52">
        <f t="shared" si="10"/>
        <v>3.2399999999999998E-2</v>
      </c>
      <c r="G29" s="52">
        <f t="shared" si="10"/>
        <v>1.0285714285714285E-2</v>
      </c>
      <c r="H29" s="52">
        <f t="shared" ref="H29:H31" si="12">(H19-MAX(H$18:H$21))^2</f>
        <v>4.3269230769230763E-3</v>
      </c>
      <c r="I29" s="17" t="s">
        <v>1</v>
      </c>
      <c r="J29" s="52">
        <f t="shared" ref="J29:J31" si="13">SQRT(SUM(D29:H29))</f>
        <v>0.22117278147954658</v>
      </c>
    </row>
    <row r="30" spans="3:10" x14ac:dyDescent="0.45">
      <c r="C30" s="46"/>
      <c r="D30" s="52">
        <f t="shared" si="11"/>
        <v>6.3025210084033612E-5</v>
      </c>
      <c r="E30" s="52">
        <f t="shared" si="11"/>
        <v>4.2857142857142868E-3</v>
      </c>
      <c r="F30" s="52">
        <f t="shared" si="10"/>
        <v>1.44E-2</v>
      </c>
      <c r="G30" s="52">
        <f t="shared" si="10"/>
        <v>4.5714285714285735E-3</v>
      </c>
      <c r="H30" s="52">
        <f t="shared" si="12"/>
        <v>1.7307692307692305E-2</v>
      </c>
      <c r="I30" s="17" t="s">
        <v>2</v>
      </c>
      <c r="J30" s="52">
        <f t="shared" si="13"/>
        <v>0.2015635392994457</v>
      </c>
    </row>
    <row r="31" spans="3:10" x14ac:dyDescent="0.45">
      <c r="C31" s="46"/>
      <c r="D31" s="52">
        <f t="shared" si="11"/>
        <v>5.1050420168067216E-3</v>
      </c>
      <c r="E31" s="52">
        <f t="shared" si="11"/>
        <v>4.7619047619047635E-4</v>
      </c>
      <c r="F31" s="52">
        <f t="shared" si="10"/>
        <v>1.44E-2</v>
      </c>
      <c r="G31" s="53">
        <f t="shared" si="10"/>
        <v>0</v>
      </c>
      <c r="H31" s="52">
        <f t="shared" si="12"/>
        <v>2.3557692307692307E-2</v>
      </c>
      <c r="I31" s="17" t="s">
        <v>24</v>
      </c>
      <c r="J31" s="52">
        <f t="shared" si="13"/>
        <v>0.20865983034760072</v>
      </c>
    </row>
    <row r="33" spans="3:6" x14ac:dyDescent="0.45">
      <c r="C33" s="17" t="s">
        <v>31</v>
      </c>
      <c r="D33" s="17" t="s">
        <v>38</v>
      </c>
      <c r="E33" s="17" t="s">
        <v>43</v>
      </c>
    </row>
    <row r="34" spans="3:6" x14ac:dyDescent="0.45">
      <c r="C34" s="32" t="s">
        <v>0</v>
      </c>
      <c r="D34" s="34">
        <f>J28/(J28+J23)</f>
        <v>0.23889393801013736</v>
      </c>
      <c r="E34" s="37">
        <v>4</v>
      </c>
      <c r="F34" s="39" t="s">
        <v>45</v>
      </c>
    </row>
    <row r="35" spans="3:6" x14ac:dyDescent="0.45">
      <c r="C35" s="33" t="s">
        <v>1</v>
      </c>
      <c r="D35" s="24">
        <f t="shared" ref="D35:D37" si="14">J29/(J29+J24)</f>
        <v>0.65750161462180123</v>
      </c>
      <c r="E35" s="55">
        <v>2</v>
      </c>
      <c r="F35" s="39"/>
    </row>
    <row r="36" spans="3:6" x14ac:dyDescent="0.45">
      <c r="C36" s="32" t="s">
        <v>2</v>
      </c>
      <c r="D36" s="36">
        <f t="shared" si="14"/>
        <v>0.67689177237582676</v>
      </c>
      <c r="E36" s="54">
        <v>1</v>
      </c>
      <c r="F36" s="39" t="s">
        <v>44</v>
      </c>
    </row>
    <row r="37" spans="3:6" x14ac:dyDescent="0.45">
      <c r="C37" s="33" t="s">
        <v>24</v>
      </c>
      <c r="D37" s="35">
        <f t="shared" si="14"/>
        <v>0.6241320753473828</v>
      </c>
      <c r="E37" s="20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 &amp; Scaling</vt:lpstr>
      <vt:lpstr>AHP_Weights</vt:lpstr>
      <vt:lpstr>AHP_Public Transport Links</vt:lpstr>
      <vt:lpstr>AHP_Parking</vt:lpstr>
      <vt:lpstr>AHP_Warehouse Space</vt:lpstr>
      <vt:lpstr>AHP_Security</vt:lpstr>
      <vt:lpstr>AHP_Cost</vt:lpstr>
      <vt:lpstr>AHP_Results</vt:lpstr>
      <vt:lpstr>TOPSIS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Sankeeth Kanna Rajendran</dc:creator>
  <cp:lastModifiedBy>Sankeeth Kanna Rajendran</cp:lastModifiedBy>
  <dcterms:created xsi:type="dcterms:W3CDTF">2022-12-12T20:53:56Z</dcterms:created>
  <dcterms:modified xsi:type="dcterms:W3CDTF">2023-01-09T05:51:33Z</dcterms:modified>
</cp:coreProperties>
</file>