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C" sheetId="1" r:id="rId4"/>
    <sheet state="visible" name="Report" sheetId="2" r:id="rId5"/>
    <sheet state="visible" name="P&amp;L" sheetId="3" r:id="rId6"/>
    <sheet state="visible" name="Cash flow" sheetId="4" r:id="rId7"/>
    <sheet state="visible" name="Balance sheet" sheetId="5" r:id="rId8"/>
  </sheets>
  <definedNames/>
  <calcPr/>
</workbook>
</file>

<file path=xl/sharedStrings.xml><?xml version="1.0" encoding="utf-8"?>
<sst xmlns="http://schemas.openxmlformats.org/spreadsheetml/2006/main" count="114" uniqueCount="104">
  <si>
    <t>Debt and equity</t>
  </si>
  <si>
    <t>Total Equity</t>
  </si>
  <si>
    <t>Total debt</t>
  </si>
  <si>
    <t>Debt + Equity</t>
  </si>
  <si>
    <t>Cost of capital assumptions</t>
  </si>
  <si>
    <t>Cost of debt</t>
  </si>
  <si>
    <t>Tax rate</t>
  </si>
  <si>
    <t>Effective cost of debt</t>
  </si>
  <si>
    <t>Risk free rate</t>
  </si>
  <si>
    <t>Beta</t>
  </si>
  <si>
    <t xml:space="preserve">Market Risk Premium </t>
  </si>
  <si>
    <t>Cost of equity</t>
  </si>
  <si>
    <t>Capital weights</t>
  </si>
  <si>
    <t>WACC will be our discounting rate to calculate present values of predicted cash flows.</t>
  </si>
  <si>
    <t>Debt %</t>
  </si>
  <si>
    <t>Equity %</t>
  </si>
  <si>
    <t>Weighted avg cost of capital</t>
  </si>
  <si>
    <t>HDFC Life Insurance Company UFCF</t>
  </si>
  <si>
    <t>Available Data</t>
  </si>
  <si>
    <t>Predictions</t>
  </si>
  <si>
    <t>Period(t)</t>
  </si>
  <si>
    <t>EBITDA</t>
  </si>
  <si>
    <t>D&amp;A</t>
  </si>
  <si>
    <t>EBIT</t>
  </si>
  <si>
    <t>EBIT(1-t)</t>
  </si>
  <si>
    <t>Changes in NWC</t>
  </si>
  <si>
    <t xml:space="preserve">Unlevered Free Cash Flows </t>
  </si>
  <si>
    <t xml:space="preserve">Discount rate(r) </t>
  </si>
  <si>
    <t>Present Value</t>
  </si>
  <si>
    <t>Stage 1: sum of PV's</t>
  </si>
  <si>
    <t xml:space="preserve">Terminal value : growth in perpetuity approach </t>
  </si>
  <si>
    <t>Shares outstanding</t>
  </si>
  <si>
    <t>Long term growth rate</t>
  </si>
  <si>
    <t xml:space="preserve">Dilutive shares outstanding </t>
  </si>
  <si>
    <t>2023 FCF *(1+g)</t>
  </si>
  <si>
    <t>Terminal value in 2023</t>
  </si>
  <si>
    <t>Stage 2: PV of TV</t>
  </si>
  <si>
    <t>Equity value</t>
  </si>
  <si>
    <t>Enterprise value(stage 1+2)</t>
  </si>
  <si>
    <t>Predicted</t>
  </si>
  <si>
    <t>Net Debt</t>
  </si>
  <si>
    <t>Data as of</t>
  </si>
  <si>
    <t>Short term debt</t>
  </si>
  <si>
    <t>Long term debt</t>
  </si>
  <si>
    <t>Gross debt</t>
  </si>
  <si>
    <t>Cash and Bank Balances</t>
  </si>
  <si>
    <t>Short term loans and advances</t>
  </si>
  <si>
    <t xml:space="preserve">Total current assets </t>
  </si>
  <si>
    <t>Income statement(P&amp;L)</t>
  </si>
  <si>
    <t>HDFC Life Insurance</t>
  </si>
  <si>
    <t>FY2020</t>
  </si>
  <si>
    <t xml:space="preserve">Particulars </t>
  </si>
  <si>
    <t>Revenues:</t>
  </si>
  <si>
    <t>Revenue from operations</t>
  </si>
  <si>
    <t>Other income</t>
  </si>
  <si>
    <t>Total revenue</t>
  </si>
  <si>
    <t>Expenses:</t>
  </si>
  <si>
    <t>Employee benefit expenses</t>
  </si>
  <si>
    <t>Finance costs</t>
  </si>
  <si>
    <t xml:space="preserve">Other expenses </t>
  </si>
  <si>
    <t>Total expenses</t>
  </si>
  <si>
    <t>Interest paid</t>
  </si>
  <si>
    <t>Profit Before Tax(PBT)</t>
  </si>
  <si>
    <t xml:space="preserve">Tax rate </t>
  </si>
  <si>
    <t>Profit After Tax(PAT)</t>
  </si>
  <si>
    <t>Overall profits</t>
  </si>
  <si>
    <t>Cash Flow statement</t>
  </si>
  <si>
    <t>Net Cash Flow from operations</t>
  </si>
  <si>
    <t xml:space="preserve">Net Cash flow from financing </t>
  </si>
  <si>
    <t>Net Cash Flow from investing</t>
  </si>
  <si>
    <t xml:space="preserve">Opening Cash and equivalents </t>
  </si>
  <si>
    <t xml:space="preserve">Closing Cash and equivalents </t>
  </si>
  <si>
    <t>Balance sheet</t>
  </si>
  <si>
    <t>HDFC Life insurance</t>
  </si>
  <si>
    <t>Date: 31-March-2020</t>
  </si>
  <si>
    <t>Particulars</t>
  </si>
  <si>
    <t>Equity and Liabilities:</t>
  </si>
  <si>
    <t>Equity share capital</t>
  </si>
  <si>
    <t>Reserves and surplus</t>
  </si>
  <si>
    <t>Total Shareholder's fund</t>
  </si>
  <si>
    <t>Long term borrowings</t>
  </si>
  <si>
    <t xml:space="preserve">Long term liabilities </t>
  </si>
  <si>
    <t>Long term provisions</t>
  </si>
  <si>
    <t xml:space="preserve">Total Non-current liabilities </t>
  </si>
  <si>
    <t xml:space="preserve">Current liabilities </t>
  </si>
  <si>
    <t>short term provisions</t>
  </si>
  <si>
    <t xml:space="preserve">Total current liabilities </t>
  </si>
  <si>
    <t>Total liabilities</t>
  </si>
  <si>
    <t>Total capital</t>
  </si>
  <si>
    <t xml:space="preserve">Total capital + Liabilities </t>
  </si>
  <si>
    <t>Assets :</t>
  </si>
  <si>
    <t>Tangible assets</t>
  </si>
  <si>
    <t>Capital Work-in-progress</t>
  </si>
  <si>
    <t xml:space="preserve">Fixed assets </t>
  </si>
  <si>
    <t xml:space="preserve">Long term Investments </t>
  </si>
  <si>
    <t>Long term loans and advances</t>
  </si>
  <si>
    <t>Other non-current assets</t>
  </si>
  <si>
    <t xml:space="preserve">Non-current assets </t>
  </si>
  <si>
    <t xml:space="preserve">Current investments </t>
  </si>
  <si>
    <t>Cash and bank balances</t>
  </si>
  <si>
    <t>short term loans and advances</t>
  </si>
  <si>
    <t>Other current assets</t>
  </si>
  <si>
    <t>Current assets</t>
  </si>
  <si>
    <t xml:space="preserve">Total assets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</si>
</sst>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d-MMM-yyyy"/>
  </numFmts>
  <fonts count="7">
    <font>
      <sz val="10.0"/>
      <color rgb="FF000000"/>
      <name val="Arial"/>
    </font>
    <font>
      <color theme="1"/>
      <name val="Calibri"/>
    </font>
    <font>
      <b/>
      <color theme="1"/>
      <name val="Calibri"/>
    </font>
    <font/>
    <font>
      <color rgb="FF0000FF"/>
      <name val="Calibri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64" xfId="0" applyAlignment="1" applyBorder="1" applyFill="1" applyFont="1" applyNumberFormat="1">
      <alignment horizontal="center" readingOrder="0"/>
    </xf>
    <xf borderId="2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4" xfId="0" applyAlignment="1" applyBorder="1" applyFont="1" applyNumberForma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0" fontId="2" numFmtId="164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  <xf borderId="4" fillId="0" fontId="1" numFmtId="164" xfId="0" applyBorder="1" applyFont="1" applyNumberFormat="1"/>
    <xf borderId="3" fillId="0" fontId="1" numFmtId="164" xfId="0" applyBorder="1" applyFont="1" applyNumberForma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4" fillId="0" fontId="2" numFmtId="164" xfId="0" applyBorder="1" applyFont="1" applyNumberFormat="1"/>
    <xf borderId="5" fillId="3" fontId="1" numFmtId="0" xfId="0" applyAlignment="1" applyBorder="1" applyFill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3" fillId="0" fontId="5" numFmtId="0" xfId="0" applyBorder="1" applyFont="1"/>
    <xf borderId="4" fillId="0" fontId="5" numFmtId="0" xfId="0" applyBorder="1" applyFont="1"/>
    <xf borderId="1" fillId="2" fontId="6" numFmtId="0" xfId="0" applyAlignment="1" applyBorder="1" applyFont="1">
      <alignment readingOrder="0"/>
    </xf>
    <xf borderId="2" fillId="2" fontId="6" numFmtId="164" xfId="0" applyAlignment="1" applyBorder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" fillId="2" fontId="2" numFmtId="0" xfId="0" applyAlignment="1" applyBorder="1" applyFont="1">
      <alignment horizontal="left" readingOrder="0" shrinkToFit="0" vertical="center" wrapText="1"/>
    </xf>
    <xf borderId="1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center" shrinkToFit="0" vertical="center" wrapText="1"/>
    </xf>
    <xf borderId="11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readingOrder="0"/>
    </xf>
    <xf borderId="3" fillId="0" fontId="1" numFmtId="10" xfId="0" applyAlignment="1" applyBorder="1" applyFont="1" applyNumberFormat="1">
      <alignment horizontal="center" readingOrder="0"/>
    </xf>
    <xf borderId="0" fillId="0" fontId="1" numFmtId="10" xfId="0" applyAlignment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1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4" fillId="0" fontId="1" numFmtId="10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9" fillId="0" fontId="1" numFmtId="164" xfId="0" applyAlignment="1" applyBorder="1" applyFont="1" applyNumberFormat="1">
      <alignment horizontal="left" shrinkToFit="0" vertical="center" wrapText="1"/>
    </xf>
    <xf borderId="10" fillId="0" fontId="1" numFmtId="164" xfId="0" applyAlignment="1" applyBorder="1" applyFont="1" applyNumberFormat="1">
      <alignment horizontal="left" shrinkToFit="0" vertical="center" wrapText="1"/>
    </xf>
    <xf borderId="9" fillId="0" fontId="1" numFmtId="164" xfId="0" applyAlignment="1" applyBorder="1" applyFont="1" applyNumberFormat="1">
      <alignment horizontal="center" shrinkToFit="0" vertical="center" wrapText="1"/>
    </xf>
    <xf borderId="10" fillId="0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left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2" fillId="0" fontId="1" numFmtId="164" xfId="0" applyAlignment="1" applyBorder="1" applyFont="1" applyNumberFormat="1">
      <alignment horizontal="left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4" numFmtId="10" xfId="0" applyAlignment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left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5" fillId="0" fontId="2" numFmtId="164" xfId="0" applyAlignment="1" applyBorder="1" applyFont="1" applyNumberFormat="1">
      <alignment horizontal="center" shrinkToFit="0" vertical="center" wrapText="1"/>
    </xf>
    <xf borderId="14" fillId="0" fontId="3" numFmtId="0" xfId="0" applyBorder="1" applyFont="1"/>
    <xf borderId="0" fillId="0" fontId="1" numFmtId="165" xfId="0" applyAlignment="1" applyFont="1" applyNumberFormat="1">
      <alignment horizontal="left" readingOrder="0"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4" numFmtId="164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right" readingOrder="0"/>
    </xf>
    <xf borderId="1" fillId="2" fontId="2" numFmtId="0" xfId="0" applyAlignment="1" applyBorder="1" applyFont="1">
      <alignment readingOrder="0"/>
    </xf>
    <xf borderId="11" fillId="2" fontId="2" numFmtId="0" xfId="0" applyBorder="1" applyFont="1"/>
    <xf borderId="1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5" fillId="2" fontId="1" numFmtId="0" xfId="0" applyAlignment="1" applyBorder="1" applyFont="1">
      <alignment readingOrder="0"/>
    </xf>
    <xf borderId="6" fillId="2" fontId="1" numFmtId="0" xfId="0" applyBorder="1" applyFont="1"/>
    <xf borderId="6" fillId="2" fontId="1" numFmtId="164" xfId="0" applyAlignment="1" applyBorder="1" applyFont="1" applyNumberFormat="1">
      <alignment horizontal="center"/>
    </xf>
    <xf borderId="7" fillId="2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4" fillId="0" fontId="4" numFmtId="10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11" fillId="2" fontId="2" numFmtId="164" xfId="0" applyAlignment="1" applyBorder="1" applyFont="1" applyNumberFormat="1">
      <alignment horizontal="center"/>
    </xf>
    <xf borderId="2" fillId="2" fontId="2" numFmtId="164" xfId="0" applyAlignment="1" applyBorder="1" applyFont="1" applyNumberFormat="1">
      <alignment horizontal="center"/>
    </xf>
    <xf borderId="6" fillId="2" fontId="2" numFmtId="0" xfId="0" applyBorder="1" applyFont="1"/>
    <xf borderId="7" fillId="2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1" fillId="2" fontId="1" numFmtId="0" xfId="0" applyAlignment="1" applyBorder="1" applyFont="1">
      <alignment readingOrder="0"/>
    </xf>
    <xf borderId="11" fillId="2" fontId="1" numFmtId="0" xfId="0" applyBorder="1" applyFont="1"/>
    <xf borderId="11" fillId="2" fontId="1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6" fillId="2" fontId="4" numFmtId="164" xfId="0" applyAlignment="1" applyBorder="1" applyFont="1" applyNumberFormat="1">
      <alignment horizontal="center" readingOrder="0"/>
    </xf>
    <xf borderId="6" fillId="2" fontId="1" numFmtId="164" xfId="0" applyAlignment="1" applyBorder="1" applyFont="1" applyNumberFormat="1">
      <alignment horizontal="center" readingOrder="0"/>
    </xf>
    <xf borderId="3" fillId="2" fontId="1" numFmtId="0" xfId="0" applyAlignment="1" applyBorder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readingOrder="0"/>
    </xf>
    <xf borderId="6" fillId="0" fontId="4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right" readingOrder="0"/>
    </xf>
    <xf borderId="0" fillId="0" fontId="6" numFmtId="0" xfId="0" applyAlignment="1" applyFont="1">
      <alignment readingOrder="0"/>
    </xf>
    <xf borderId="8" fillId="2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/>
    </xf>
    <xf borderId="9" fillId="2" fontId="2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6" fillId="2" fontId="2" numFmtId="164" xfId="0" applyAlignment="1" applyBorder="1" applyFont="1" applyNumberFormat="1">
      <alignment horizontal="center"/>
    </xf>
    <xf borderId="7" fillId="2" fontId="2" numFmtId="164" xfId="0" applyAlignment="1" applyBorder="1" applyFont="1" applyNumberFormat="1">
      <alignment horizontal="center"/>
    </xf>
    <xf borderId="1" fillId="4" fontId="2" numFmtId="0" xfId="0" applyAlignment="1" applyBorder="1" applyFill="1" applyFont="1">
      <alignment readingOrder="0"/>
    </xf>
    <xf borderId="11" fillId="4" fontId="2" numFmtId="0" xfId="0" applyBorder="1" applyFont="1"/>
    <xf borderId="11" fillId="4" fontId="2" numFmtId="164" xfId="0" applyAlignment="1" applyBorder="1" applyFont="1" applyNumberFormat="1">
      <alignment horizontal="center"/>
    </xf>
    <xf borderId="2" fillId="4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5</xdr:row>
      <xdr:rowOff>0</xdr:rowOff>
    </xdr:from>
    <xdr:ext cx="4067175" cy="26193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28.86"/>
    <col customWidth="1" min="7" max="7" width="1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B3" s="2" t="s">
        <v>0</v>
      </c>
      <c r="C3" s="3"/>
      <c r="D3" s="4"/>
      <c r="E3" s="5"/>
      <c r="F3" s="5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B4" s="6"/>
      <c r="C4" s="7"/>
      <c r="D4" s="4"/>
      <c r="E4" s="5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>
      <c r="B5" s="8" t="s">
        <v>1</v>
      </c>
      <c r="C5" s="9">
        <f>6801.03</f>
        <v>6801.03</v>
      </c>
      <c r="D5" s="1"/>
      <c r="E5" s="5"/>
      <c r="F5" s="5"/>
      <c r="G5" s="5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B6" s="8" t="s">
        <v>2</v>
      </c>
      <c r="C6" s="10">
        <f>2990512000/10000000</f>
        <v>299.0512</v>
      </c>
      <c r="D6" s="1"/>
      <c r="E6" s="11"/>
      <c r="F6" s="12"/>
      <c r="G6" s="12"/>
      <c r="H6" s="1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B7" s="14" t="s">
        <v>3</v>
      </c>
      <c r="C7" s="15">
        <f>C5+C6</f>
        <v>7100.0812</v>
      </c>
      <c r="D7" s="1"/>
      <c r="E7" s="16"/>
      <c r="F7" s="1"/>
      <c r="G7" s="1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B8" s="8"/>
      <c r="C8" s="18"/>
      <c r="D8" s="1"/>
      <c r="E8" s="16"/>
      <c r="F8" s="1"/>
      <c r="G8" s="1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B9" s="2" t="s">
        <v>4</v>
      </c>
      <c r="C9" s="3"/>
      <c r="D9" s="1"/>
      <c r="E9" s="16"/>
      <c r="F9" s="1"/>
      <c r="G9" s="1"/>
      <c r="H9" s="1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B10" s="8"/>
      <c r="C10" s="18"/>
      <c r="D10" s="1"/>
      <c r="E10" s="16"/>
      <c r="F10" s="1"/>
      <c r="G10" s="1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B11" s="8" t="s">
        <v>5</v>
      </c>
      <c r="C11" s="9">
        <v>0.07</v>
      </c>
      <c r="D11" s="1"/>
      <c r="E11" s="16"/>
      <c r="F11" s="1"/>
      <c r="G11" s="1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B12" s="8" t="s">
        <v>6</v>
      </c>
      <c r="C12" s="9">
        <v>15.0</v>
      </c>
      <c r="D12" s="1"/>
      <c r="E12" s="16"/>
      <c r="F12" s="1"/>
      <c r="G12" s="1"/>
      <c r="H12" s="1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B13" s="8" t="s">
        <v>7</v>
      </c>
      <c r="C13" s="18">
        <f>C11*(1-C12/100)</f>
        <v>0.0595</v>
      </c>
      <c r="D13" s="1"/>
      <c r="E13" s="16"/>
      <c r="F13" s="1"/>
      <c r="G13" s="1"/>
      <c r="H13" s="1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B14" s="19"/>
      <c r="C14" s="18"/>
      <c r="D14" s="1"/>
      <c r="E14" s="16"/>
      <c r="F14" s="1"/>
      <c r="G14" s="1"/>
      <c r="H14" s="1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B15" s="8" t="s">
        <v>8</v>
      </c>
      <c r="C15" s="9">
        <v>0.06</v>
      </c>
      <c r="D15" s="1"/>
      <c r="E15" s="16"/>
      <c r="F15" s="1"/>
      <c r="G15" s="1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B16" s="8" t="s">
        <v>9</v>
      </c>
      <c r="C16" s="9">
        <v>0.65</v>
      </c>
      <c r="D16" s="1"/>
      <c r="E16" s="16"/>
      <c r="F16" s="1"/>
      <c r="G16" s="1"/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B17" s="8" t="s">
        <v>10</v>
      </c>
      <c r="C17" s="9">
        <v>0.075</v>
      </c>
      <c r="D17" s="1"/>
      <c r="E17" s="16"/>
      <c r="F17" s="1"/>
      <c r="G17" s="1"/>
      <c r="H17" s="1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B18" s="8" t="s">
        <v>11</v>
      </c>
      <c r="C18" s="18">
        <f>C15+C16*C17</f>
        <v>0.10875</v>
      </c>
      <c r="D18" s="1"/>
      <c r="E18" s="20"/>
      <c r="F18" s="21"/>
      <c r="G18" s="21"/>
      <c r="H18" s="2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B19" s="19"/>
      <c r="C19" s="1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B20" s="2" t="s">
        <v>12</v>
      </c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>
      <c r="B21" s="19"/>
      <c r="C21" s="23"/>
      <c r="D21" s="1"/>
      <c r="E21" s="24" t="s">
        <v>13</v>
      </c>
      <c r="F21" s="25"/>
      <c r="G21" s="25"/>
      <c r="H21" s="2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>
      <c r="B22" s="8" t="s">
        <v>14</v>
      </c>
      <c r="C22" s="18">
        <f>C6/C7</f>
        <v>0.04211940562</v>
      </c>
      <c r="D22" s="1"/>
      <c r="E22" s="27"/>
      <c r="F22" s="28"/>
      <c r="G22" s="28"/>
      <c r="H22" s="2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>
      <c r="B23" s="8" t="s">
        <v>15</v>
      </c>
      <c r="C23" s="18">
        <f>C5/C7</f>
        <v>0.9578805944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>
      <c r="B24" s="30"/>
      <c r="C24" s="3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>
      <c r="B25" s="32" t="s">
        <v>16</v>
      </c>
      <c r="C25" s="33">
        <f>C13*C22+C18*C23</f>
        <v>0.1066756193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>
      <c r="A26" s="34"/>
      <c r="B26" s="3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>
      <c r="A27" s="34"/>
      <c r="B27" s="3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>
      <c r="A28" s="34"/>
      <c r="B28" s="3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>
      <c r="A29" s="34"/>
      <c r="B29" s="3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>
      <c r="A30" s="34"/>
      <c r="B30" s="3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>
      <c r="A31" s="34"/>
      <c r="B31" s="3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>
      <c r="A32" s="34"/>
      <c r="B32" s="3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>
      <c r="A33" s="34"/>
      <c r="B33" s="3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>
      <c r="A34" s="34"/>
      <c r="B34" s="3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>
      <c r="A35" s="34"/>
      <c r="B35" s="3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>
      <c r="A36" s="34"/>
      <c r="B36" s="3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>
      <c r="A37" s="34"/>
      <c r="B37" s="3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>
      <c r="A38" s="34"/>
      <c r="B38" s="3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>
      <c r="A39" s="34"/>
      <c r="B39" s="3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>
      <c r="A40" s="34"/>
      <c r="B40" s="3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>
      <c r="A41" s="34"/>
      <c r="B41" s="3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>
      <c r="A42" s="34"/>
      <c r="B42" s="3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>
      <c r="A43" s="34"/>
      <c r="B43" s="3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</sheetData>
  <mergeCells count="4">
    <mergeCell ref="B3:C3"/>
    <mergeCell ref="B9:C9"/>
    <mergeCell ref="B20:C20"/>
    <mergeCell ref="E21:H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>
      <c r="A2" s="35"/>
      <c r="B2" s="36" t="s">
        <v>17</v>
      </c>
      <c r="C2" s="3"/>
      <c r="D2" s="36" t="s">
        <v>18</v>
      </c>
      <c r="E2" s="37"/>
      <c r="F2" s="37"/>
      <c r="G2" s="37"/>
      <c r="H2" s="3"/>
      <c r="I2" s="36" t="s">
        <v>19</v>
      </c>
      <c r="J2" s="37"/>
      <c r="K2" s="3"/>
      <c r="L2" s="35"/>
      <c r="M2" s="35"/>
      <c r="N2" s="35"/>
      <c r="O2" s="35"/>
      <c r="P2" s="35"/>
    </row>
    <row r="3">
      <c r="A3" s="35"/>
      <c r="B3" s="38" t="s">
        <v>20</v>
      </c>
      <c r="C3" s="39"/>
      <c r="D3" s="40">
        <v>2016.0</v>
      </c>
      <c r="E3" s="41">
        <f>D3+1</f>
        <v>2017</v>
      </c>
      <c r="F3" s="42">
        <f>D3+2</f>
        <v>2018</v>
      </c>
      <c r="G3" s="42">
        <f>D3+3</f>
        <v>2019</v>
      </c>
      <c r="H3" s="43">
        <f>D3+4</f>
        <v>2020</v>
      </c>
      <c r="I3" s="42">
        <f t="shared" ref="I3:J3" si="1">H3+1</f>
        <v>2021</v>
      </c>
      <c r="J3" s="42">
        <f t="shared" si="1"/>
        <v>2022</v>
      </c>
      <c r="K3" s="43">
        <v>2023.0</v>
      </c>
      <c r="L3" s="35"/>
      <c r="M3" s="35"/>
      <c r="N3" s="35"/>
      <c r="O3" s="35"/>
      <c r="P3" s="35"/>
    </row>
    <row r="4">
      <c r="A4" s="35"/>
      <c r="B4" s="44"/>
      <c r="C4" s="35"/>
      <c r="D4" s="44"/>
      <c r="E4" s="35"/>
      <c r="F4" s="35"/>
      <c r="G4" s="35"/>
      <c r="H4" s="45"/>
      <c r="I4" s="46"/>
      <c r="J4" s="46"/>
      <c r="K4" s="47"/>
      <c r="L4" s="35"/>
      <c r="M4" s="35"/>
      <c r="N4" s="35"/>
      <c r="O4" s="35"/>
      <c r="P4" s="35"/>
    </row>
    <row r="5">
      <c r="A5" s="35"/>
      <c r="B5" s="48" t="s">
        <v>21</v>
      </c>
      <c r="C5" s="35"/>
      <c r="D5" s="49">
        <f> 'P&amp;L'!D21</f>
        <v>838.26</v>
      </c>
      <c r="E5" s="50">
        <f> 'P&amp;L'!E21</f>
        <v>909.79</v>
      </c>
      <c r="F5" s="50">
        <f> 'P&amp;L'!F21</f>
        <v>1126.29</v>
      </c>
      <c r="G5" s="50">
        <f> 'P&amp;L'!G21</f>
        <v>1299.61</v>
      </c>
      <c r="H5" s="51">
        <f> 'P&amp;L'!H21</f>
        <v>1509.59</v>
      </c>
      <c r="I5" s="46">
        <f t="shared" ref="I5:K5" si="2">0.3*H5+0.25*G5+0.2*F5+0.15*E5+0.1*D5</f>
        <v>1223.332</v>
      </c>
      <c r="J5" s="46">
        <f t="shared" si="2"/>
        <v>1264.2416</v>
      </c>
      <c r="K5" s="47">
        <f t="shared" si="2"/>
        <v>1294.59398</v>
      </c>
      <c r="L5" s="35"/>
      <c r="M5" s="35"/>
      <c r="N5" s="35"/>
      <c r="O5" s="35"/>
      <c r="P5" s="35"/>
    </row>
    <row r="6">
      <c r="A6" s="35"/>
      <c r="B6" s="52" t="s">
        <v>22</v>
      </c>
      <c r="C6" s="35"/>
      <c r="D6" s="49">
        <v>0.0</v>
      </c>
      <c r="E6" s="50">
        <v>0.0</v>
      </c>
      <c r="F6" s="50">
        <v>0.0</v>
      </c>
      <c r="G6" s="50">
        <v>0.0</v>
      </c>
      <c r="H6" s="51">
        <v>0.0</v>
      </c>
      <c r="I6" s="46">
        <f t="shared" ref="I6:K6" si="3">1.1*H6</f>
        <v>0</v>
      </c>
      <c r="J6" s="50">
        <f t="shared" si="3"/>
        <v>0</v>
      </c>
      <c r="K6" s="47">
        <f t="shared" si="3"/>
        <v>0</v>
      </c>
      <c r="L6" s="35"/>
      <c r="M6" s="35"/>
      <c r="N6" s="35"/>
      <c r="O6" s="35"/>
      <c r="P6" s="35"/>
    </row>
    <row r="7">
      <c r="A7" s="35"/>
      <c r="B7" s="52" t="s">
        <v>23</v>
      </c>
      <c r="C7" s="35"/>
      <c r="D7" s="53">
        <f t="shared" ref="D7:K7" si="4">D5-D6</f>
        <v>838.26</v>
      </c>
      <c r="E7" s="46">
        <f t="shared" si="4"/>
        <v>909.79</v>
      </c>
      <c r="F7" s="46">
        <f t="shared" si="4"/>
        <v>1126.29</v>
      </c>
      <c r="G7" s="46">
        <f t="shared" si="4"/>
        <v>1299.61</v>
      </c>
      <c r="H7" s="47">
        <f t="shared" si="4"/>
        <v>1509.59</v>
      </c>
      <c r="I7" s="46">
        <f t="shared" si="4"/>
        <v>1223.332</v>
      </c>
      <c r="J7" s="46">
        <f t="shared" si="4"/>
        <v>1264.2416</v>
      </c>
      <c r="K7" s="47">
        <f t="shared" si="4"/>
        <v>1294.59398</v>
      </c>
      <c r="L7" s="35"/>
      <c r="M7" s="35"/>
      <c r="N7" s="35"/>
      <c r="O7" s="35"/>
      <c r="P7" s="35"/>
    </row>
    <row r="8">
      <c r="A8" s="35"/>
      <c r="B8" s="52"/>
      <c r="C8" s="35"/>
      <c r="D8" s="53"/>
      <c r="E8" s="46"/>
      <c r="F8" s="46"/>
      <c r="G8" s="46"/>
      <c r="H8" s="47"/>
      <c r="I8" s="46"/>
      <c r="J8" s="46"/>
      <c r="K8" s="47"/>
      <c r="L8" s="35"/>
      <c r="M8" s="35"/>
      <c r="N8" s="35"/>
      <c r="O8" s="35"/>
      <c r="P8" s="35"/>
    </row>
    <row r="9">
      <c r="A9" s="35"/>
      <c r="B9" s="54" t="s">
        <v>6</v>
      </c>
      <c r="C9" s="1"/>
      <c r="D9" s="55">
        <f> 'P&amp;L'!D25</f>
        <v>0.1659</v>
      </c>
      <c r="E9" s="56">
        <f>'P&amp;L'!E25</f>
        <v>0.2201</v>
      </c>
      <c r="F9" s="56">
        <f> 'P&amp;L'!F25</f>
        <v>0.1774</v>
      </c>
      <c r="G9" s="56">
        <f>'P&amp;L'!G25</f>
        <v>0.1309</v>
      </c>
      <c r="H9" s="57">
        <f>'P&amp;L'!H25</f>
        <v>0.1648</v>
      </c>
      <c r="I9" s="58">
        <f t="shared" ref="I9:K9" si="5">0.4*H9+0.3*G9+0.2*F9+0.1*E9</f>
        <v>0.16268</v>
      </c>
      <c r="J9" s="58">
        <f t="shared" si="5"/>
        <v>0.158432</v>
      </c>
      <c r="K9" s="47">
        <f t="shared" si="5"/>
        <v>0.1582268</v>
      </c>
      <c r="L9" s="35"/>
      <c r="M9" s="35"/>
      <c r="N9" s="35"/>
      <c r="O9" s="35"/>
      <c r="P9" s="35"/>
    </row>
    <row r="10">
      <c r="A10" s="35"/>
      <c r="B10" s="52" t="s">
        <v>24</v>
      </c>
      <c r="C10" s="35"/>
      <c r="D10" s="53">
        <f>D7*(1- D9/100)</f>
        <v>836.8693267</v>
      </c>
      <c r="E10" s="46">
        <f t="shared" ref="E10:K10" si="6">E7*(1-E9/100)</f>
        <v>907.7875522</v>
      </c>
      <c r="F10" s="46">
        <f t="shared" si="6"/>
        <v>1124.291962</v>
      </c>
      <c r="G10" s="46">
        <f t="shared" si="6"/>
        <v>1297.908811</v>
      </c>
      <c r="H10" s="47">
        <f t="shared" si="6"/>
        <v>1507.102196</v>
      </c>
      <c r="I10" s="46">
        <f t="shared" si="6"/>
        <v>1221.341884</v>
      </c>
      <c r="J10" s="46">
        <f t="shared" si="6"/>
        <v>1262.238637</v>
      </c>
      <c r="K10" s="47">
        <f t="shared" si="6"/>
        <v>1292.545585</v>
      </c>
      <c r="L10" s="35"/>
      <c r="M10" s="35"/>
      <c r="N10" s="35"/>
      <c r="O10" s="35"/>
      <c r="P10" s="35"/>
    </row>
    <row r="11">
      <c r="A11" s="35"/>
      <c r="B11" s="44"/>
      <c r="C11" s="35"/>
      <c r="D11" s="53"/>
      <c r="E11" s="46"/>
      <c r="F11" s="46"/>
      <c r="G11" s="46"/>
      <c r="H11" s="47"/>
      <c r="I11" s="46"/>
      <c r="J11" s="46"/>
      <c r="K11" s="47"/>
      <c r="L11" s="35"/>
      <c r="M11" s="35"/>
      <c r="N11" s="35"/>
      <c r="O11" s="35"/>
      <c r="P11" s="35"/>
    </row>
    <row r="12">
      <c r="A12" s="35"/>
      <c r="B12" s="52" t="s">
        <v>25</v>
      </c>
      <c r="C12" s="35"/>
      <c r="D12" s="49">
        <f>'Cash flow'!D11</f>
        <v>1432.56</v>
      </c>
      <c r="E12" s="50">
        <f>'Cash flow'!E11</f>
        <v>897.04</v>
      </c>
      <c r="F12" s="50">
        <f>'Cash flow'!F11</f>
        <v>2121.59</v>
      </c>
      <c r="G12" s="50">
        <f>'Cash flow'!G11</f>
        <v>-652.1</v>
      </c>
      <c r="H12" s="51">
        <f>'Cash flow'!H11</f>
        <v>-373.74</v>
      </c>
      <c r="I12" s="46">
        <f t="shared" ref="I12:K12" si="7">0.3*H12+0.25*G12+0.2*F12+0.15*E12+0.1*D12</f>
        <v>426.983</v>
      </c>
      <c r="J12" s="46">
        <f t="shared" si="7"/>
        <v>312.1824</v>
      </c>
      <c r="K12" s="47">
        <f t="shared" si="7"/>
        <v>239.99647</v>
      </c>
      <c r="L12" s="35"/>
      <c r="M12" s="35"/>
      <c r="N12" s="35"/>
      <c r="O12" s="35"/>
      <c r="P12" s="35"/>
    </row>
    <row r="13">
      <c r="A13" s="35"/>
      <c r="B13" s="44"/>
      <c r="C13" s="35"/>
      <c r="D13" s="53"/>
      <c r="E13" s="46"/>
      <c r="F13" s="46"/>
      <c r="G13" s="46"/>
      <c r="H13" s="47"/>
      <c r="I13" s="46"/>
      <c r="J13" s="46"/>
      <c r="K13" s="47"/>
      <c r="L13" s="35"/>
      <c r="M13" s="35"/>
      <c r="N13" s="35"/>
      <c r="O13" s="35"/>
      <c r="P13" s="35"/>
    </row>
    <row r="14">
      <c r="A14" s="35"/>
      <c r="B14" s="59" t="s">
        <v>26</v>
      </c>
      <c r="C14" s="60"/>
      <c r="D14" s="61">
        <f>SUM(D10,  D12)</f>
        <v>2269.429327</v>
      </c>
      <c r="E14" s="62">
        <f t="shared" ref="E14:G14" si="8">SUM(E12,  E10)</f>
        <v>1804.827552</v>
      </c>
      <c r="F14" s="62">
        <f t="shared" si="8"/>
        <v>3245.881962</v>
      </c>
      <c r="G14" s="62">
        <f t="shared" si="8"/>
        <v>645.8088105</v>
      </c>
      <c r="H14" s="63">
        <f>SUM(H10,  H12)</f>
        <v>1133.362196</v>
      </c>
      <c r="I14" s="62">
        <f t="shared" ref="I14:K14" si="9">SUM( I12, I10)</f>
        <v>1648.324884</v>
      </c>
      <c r="J14" s="62">
        <f t="shared" si="9"/>
        <v>1574.421037</v>
      </c>
      <c r="K14" s="63">
        <f t="shared" si="9"/>
        <v>1532.542055</v>
      </c>
      <c r="L14" s="35"/>
      <c r="M14" s="35"/>
      <c r="N14" s="35"/>
      <c r="O14" s="35"/>
      <c r="P14" s="35"/>
    </row>
    <row r="15">
      <c r="A15" s="35"/>
      <c r="B15" s="44"/>
      <c r="C15" s="35"/>
      <c r="D15" s="46"/>
      <c r="E15" s="46"/>
      <c r="F15" s="46"/>
      <c r="G15" s="46"/>
      <c r="H15" s="47"/>
      <c r="I15" s="46"/>
      <c r="J15" s="46"/>
      <c r="K15" s="47"/>
      <c r="L15" s="35"/>
      <c r="M15" s="35"/>
      <c r="N15" s="35"/>
      <c r="O15" s="35"/>
      <c r="P15" s="35"/>
    </row>
    <row r="16">
      <c r="A16" s="35"/>
      <c r="B16" s="52" t="s">
        <v>27</v>
      </c>
      <c r="C16" s="35"/>
      <c r="D16" s="46"/>
      <c r="E16" s="46"/>
      <c r="F16" s="46"/>
      <c r="G16" s="46"/>
      <c r="H16" s="47"/>
      <c r="I16" s="64">
        <f>WACC!C25</f>
        <v>0.1066756193</v>
      </c>
      <c r="J16" s="64">
        <f>WACC!C25</f>
        <v>0.1066756193</v>
      </c>
      <c r="K16" s="65">
        <f>WACC!C25</f>
        <v>0.1066756193</v>
      </c>
      <c r="L16" s="35"/>
      <c r="M16" s="35"/>
      <c r="N16" s="35"/>
      <c r="O16" s="35"/>
      <c r="P16" s="35"/>
    </row>
    <row r="17">
      <c r="A17" s="35"/>
      <c r="B17" s="66" t="s">
        <v>28</v>
      </c>
      <c r="C17" s="67"/>
      <c r="D17" s="68"/>
      <c r="E17" s="68"/>
      <c r="F17" s="68"/>
      <c r="G17" s="68"/>
      <c r="H17" s="69"/>
      <c r="I17" s="70">
        <f>I14/(1+I16/100)^(I3-H3)</f>
        <v>1646.568396</v>
      </c>
      <c r="J17" s="70">
        <f>J14/(1+J16/100)^(J3-H3)</f>
        <v>1571.067357</v>
      </c>
      <c r="K17" s="71">
        <f>K14/(1+K16/100)^(K3-H3)</f>
        <v>1527.647955</v>
      </c>
      <c r="L17" s="35"/>
      <c r="M17" s="35"/>
      <c r="N17" s="35"/>
      <c r="O17" s="35"/>
      <c r="P17" s="35"/>
    </row>
    <row r="18">
      <c r="A18" s="35"/>
      <c r="B18" s="35"/>
      <c r="C18" s="35"/>
      <c r="D18" s="35"/>
      <c r="E18" s="35"/>
      <c r="F18" s="35"/>
      <c r="G18" s="35"/>
      <c r="H18" s="35"/>
      <c r="I18" s="72"/>
      <c r="J18" s="72"/>
      <c r="K18" s="72"/>
      <c r="L18" s="35"/>
      <c r="M18" s="35"/>
      <c r="N18" s="35"/>
      <c r="O18" s="35"/>
      <c r="P18" s="35"/>
    </row>
    <row r="19" ht="18.0" customHeight="1">
      <c r="A19" s="35"/>
      <c r="B19" s="73" t="s">
        <v>29</v>
      </c>
      <c r="C19" s="74">
        <f>J17+I17+K17</f>
        <v>4745.283708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>
      <c r="A21" s="35"/>
      <c r="B21" s="42" t="s">
        <v>30</v>
      </c>
      <c r="C21" s="37"/>
      <c r="D21" s="37"/>
      <c r="E21" s="75"/>
      <c r="F21" s="42" t="s">
        <v>31</v>
      </c>
      <c r="G21" s="37"/>
      <c r="H21" s="37"/>
      <c r="I21" s="75"/>
      <c r="J21" s="35"/>
      <c r="K21" s="35"/>
      <c r="L21" s="35"/>
      <c r="M21" s="35"/>
      <c r="N21" s="35"/>
      <c r="O21" s="35"/>
      <c r="P21" s="35"/>
    </row>
    <row r="22">
      <c r="A22" s="35"/>
      <c r="B22" s="72"/>
      <c r="C22" s="72"/>
      <c r="D22" s="72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>
      <c r="A23" s="35"/>
      <c r="B23" s="76" t="s">
        <v>32</v>
      </c>
      <c r="C23" s="72"/>
      <c r="D23" s="77">
        <v>0.04</v>
      </c>
      <c r="E23" s="35"/>
      <c r="F23" s="78" t="s">
        <v>33</v>
      </c>
      <c r="G23" s="28"/>
      <c r="H23" s="78">
        <v>2.018798399E9</v>
      </c>
      <c r="I23" s="35"/>
      <c r="J23" s="35"/>
      <c r="K23" s="35"/>
      <c r="L23" s="35"/>
      <c r="M23" s="35"/>
      <c r="N23" s="35"/>
      <c r="O23" s="35"/>
      <c r="P23" s="35"/>
    </row>
    <row r="24">
      <c r="A24" s="35"/>
      <c r="B24" s="76" t="s">
        <v>34</v>
      </c>
      <c r="C24" s="72"/>
      <c r="D24" s="72">
        <f>K14*(1+D23)</f>
        <v>1593.843738</v>
      </c>
      <c r="E24" s="35"/>
      <c r="F24" s="79"/>
      <c r="G24" s="79"/>
      <c r="H24" s="35"/>
      <c r="I24" s="35"/>
      <c r="J24" s="35"/>
      <c r="K24" s="35"/>
      <c r="L24" s="35"/>
      <c r="M24" s="35"/>
      <c r="N24" s="35"/>
      <c r="O24" s="35"/>
      <c r="P24" s="35"/>
    </row>
    <row r="25">
      <c r="A25" s="35"/>
      <c r="B25" s="76" t="s">
        <v>35</v>
      </c>
      <c r="C25" s="72"/>
      <c r="D25" s="72">
        <f>D24/(K16-D23)</f>
        <v>23904.44596</v>
      </c>
      <c r="E25" s="35"/>
      <c r="F25" s="79"/>
      <c r="G25" s="79"/>
      <c r="H25" s="35"/>
      <c r="I25" s="35"/>
      <c r="J25" s="35"/>
      <c r="K25" s="35"/>
      <c r="L25" s="35"/>
      <c r="M25" s="35"/>
      <c r="N25" s="35"/>
      <c r="O25" s="35"/>
      <c r="P25" s="35"/>
    </row>
    <row r="26">
      <c r="A26" s="35"/>
      <c r="B26" s="80" t="s">
        <v>36</v>
      </c>
      <c r="C26" s="72"/>
      <c r="D26" s="72">
        <f>D25/(1+K16)^(K3-H3)</f>
        <v>17636.71331</v>
      </c>
      <c r="E26" s="35"/>
      <c r="F26" s="42" t="s">
        <v>37</v>
      </c>
      <c r="G26" s="37"/>
      <c r="H26" s="37"/>
      <c r="I26" s="35"/>
      <c r="J26" s="35"/>
      <c r="K26" s="35"/>
      <c r="L26" s="35"/>
      <c r="M26" s="35"/>
      <c r="N26" s="35"/>
      <c r="O26" s="35"/>
      <c r="P26" s="35"/>
    </row>
    <row r="27">
      <c r="A27" s="35"/>
      <c r="B27" s="72"/>
      <c r="C27" s="72"/>
      <c r="D27" s="72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>
      <c r="A28" s="35"/>
      <c r="B28" s="81" t="s">
        <v>38</v>
      </c>
      <c r="C28" s="35"/>
      <c r="D28" s="82">
        <f>D26+C19</f>
        <v>22381.99702</v>
      </c>
      <c r="E28" s="35"/>
      <c r="F28" s="73"/>
      <c r="G28" s="36" t="s">
        <v>39</v>
      </c>
      <c r="H28" s="3"/>
      <c r="I28" s="35"/>
      <c r="J28" s="35"/>
      <c r="K28" s="35"/>
      <c r="L28" s="35"/>
      <c r="M28" s="35"/>
      <c r="N28" s="35"/>
      <c r="O28" s="35"/>
      <c r="P28" s="35"/>
    </row>
    <row r="29">
      <c r="A29" s="35"/>
      <c r="B29" s="35"/>
      <c r="C29" s="35"/>
      <c r="D29" s="35"/>
      <c r="E29" s="35"/>
      <c r="F29" s="83" t="s">
        <v>37</v>
      </c>
      <c r="G29" s="84">
        <f>(D28-D42)*10000000/H23</f>
        <v>130.721254</v>
      </c>
      <c r="H29" s="26"/>
      <c r="I29" s="35"/>
      <c r="J29" s="35"/>
      <c r="K29" s="35"/>
      <c r="L29" s="35"/>
      <c r="M29" s="35"/>
      <c r="N29" s="35"/>
      <c r="O29" s="35"/>
      <c r="P29" s="35"/>
    </row>
    <row r="30">
      <c r="A30" s="35"/>
      <c r="B30" s="42" t="s">
        <v>40</v>
      </c>
      <c r="C30" s="37"/>
      <c r="D30" s="37"/>
      <c r="E30" s="35"/>
      <c r="F30" s="85"/>
      <c r="G30" s="27"/>
      <c r="H30" s="29"/>
      <c r="I30" s="35"/>
      <c r="J30" s="35"/>
      <c r="K30" s="35"/>
      <c r="L30" s="35"/>
      <c r="M30" s="35"/>
      <c r="N30" s="35"/>
      <c r="O30" s="35"/>
      <c r="P30" s="35"/>
    </row>
    <row r="31">
      <c r="A31" s="35"/>
      <c r="B31" s="35"/>
      <c r="C31" s="35"/>
      <c r="D31" s="35"/>
      <c r="E31" s="35"/>
      <c r="F31" s="1"/>
      <c r="G31" s="1"/>
      <c r="H31" s="1"/>
      <c r="I31" s="35"/>
      <c r="J31" s="35"/>
      <c r="K31" s="35"/>
      <c r="L31" s="35"/>
      <c r="M31" s="35"/>
      <c r="N31" s="35"/>
      <c r="O31" s="35"/>
      <c r="P31" s="35"/>
    </row>
    <row r="32">
      <c r="A32" s="35"/>
      <c r="B32" s="79" t="s">
        <v>41</v>
      </c>
      <c r="C32" s="35"/>
      <c r="D32" s="86">
        <v>43921.0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>
      <c r="A34" s="35"/>
      <c r="B34" s="79" t="s">
        <v>42</v>
      </c>
      <c r="C34" s="35"/>
      <c r="D34" s="87">
        <f>1162414000/10000000</f>
        <v>116.2414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>
      <c r="A35" s="35"/>
      <c r="B35" s="88" t="s">
        <v>43</v>
      </c>
      <c r="C35" s="67"/>
      <c r="D35" s="89">
        <f>1828098000/10000000</f>
        <v>182.8098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>
      <c r="A36" s="35"/>
      <c r="B36" s="79" t="s">
        <v>44</v>
      </c>
      <c r="C36" s="35"/>
      <c r="D36" s="72">
        <f>D34+D35</f>
        <v>299.0512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>
      <c r="A37" s="35"/>
      <c r="B37" s="35"/>
      <c r="C37" s="35"/>
      <c r="D37" s="72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>
      <c r="A38" s="35"/>
      <c r="B38" s="79" t="s">
        <v>45</v>
      </c>
      <c r="C38" s="35"/>
      <c r="D38" s="72">
        <f>'Balance sheet'!H39</f>
        <v>679.87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>
      <c r="A39" s="35"/>
      <c r="B39" s="88" t="s">
        <v>46</v>
      </c>
      <c r="C39" s="67"/>
      <c r="D39" s="68">
        <f>'Balance sheet'!H40</f>
        <v>3627.17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>
      <c r="A40" s="35"/>
      <c r="B40" s="79" t="s">
        <v>47</v>
      </c>
      <c r="C40" s="35"/>
      <c r="D40" s="72">
        <f>D38+D39</f>
        <v>4307.04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>
      <c r="A41" s="35"/>
      <c r="B41" s="35"/>
      <c r="C41" s="35"/>
      <c r="D41" s="72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>
      <c r="A42" s="35"/>
      <c r="B42" s="78" t="s">
        <v>40</v>
      </c>
      <c r="C42" s="67"/>
      <c r="D42" s="68">
        <f>D36-D40</f>
        <v>-4007.9888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</sheetData>
  <mergeCells count="11">
    <mergeCell ref="G28:H28"/>
    <mergeCell ref="F29:F30"/>
    <mergeCell ref="G29:H30"/>
    <mergeCell ref="B30:D30"/>
    <mergeCell ref="B2:C2"/>
    <mergeCell ref="D2:H2"/>
    <mergeCell ref="I2:K2"/>
    <mergeCell ref="B21:D21"/>
    <mergeCell ref="F21:H21"/>
    <mergeCell ref="F23:G23"/>
    <mergeCell ref="F26:H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</cols>
  <sheetData>
    <row r="4">
      <c r="B4" s="90" t="s">
        <v>48</v>
      </c>
      <c r="C4" s="26"/>
      <c r="D4" s="91" t="s">
        <v>49</v>
      </c>
      <c r="E4" s="25"/>
      <c r="F4" s="25"/>
      <c r="G4" s="92" t="s">
        <v>50</v>
      </c>
      <c r="H4" s="26"/>
    </row>
    <row r="5">
      <c r="B5" s="93" t="s">
        <v>51</v>
      </c>
      <c r="C5" s="94"/>
      <c r="D5" s="95">
        <v>2016.0</v>
      </c>
      <c r="E5" s="95">
        <v>2017.0</v>
      </c>
      <c r="F5" s="95">
        <v>2018.0</v>
      </c>
      <c r="G5" s="95">
        <v>2019.0</v>
      </c>
      <c r="H5" s="96">
        <v>2020.0</v>
      </c>
    </row>
    <row r="6">
      <c r="B6" s="16"/>
      <c r="C6" s="1"/>
      <c r="D6" s="97"/>
      <c r="E6" s="97"/>
      <c r="F6" s="97"/>
      <c r="G6" s="97"/>
      <c r="H6" s="98"/>
    </row>
    <row r="7">
      <c r="B7" s="54" t="s">
        <v>52</v>
      </c>
      <c r="C7" s="1"/>
      <c r="D7" s="97"/>
      <c r="E7" s="97"/>
      <c r="F7" s="97"/>
      <c r="G7" s="97"/>
      <c r="H7" s="98"/>
    </row>
    <row r="8">
      <c r="B8" s="16"/>
      <c r="C8" s="1"/>
      <c r="D8" s="58"/>
      <c r="E8" s="58"/>
      <c r="F8" s="58"/>
      <c r="G8" s="58"/>
      <c r="H8" s="99"/>
    </row>
    <row r="9">
      <c r="B9" s="54" t="s">
        <v>53</v>
      </c>
      <c r="C9" s="1"/>
      <c r="D9" s="100">
        <v>887.08</v>
      </c>
      <c r="E9" s="100">
        <v>1013.2</v>
      </c>
      <c r="F9" s="100">
        <v>1282.46</v>
      </c>
      <c r="G9" s="100">
        <v>1615.29</v>
      </c>
      <c r="H9" s="101">
        <v>1629.2</v>
      </c>
    </row>
    <row r="10">
      <c r="B10" s="54" t="s">
        <v>54</v>
      </c>
      <c r="C10" s="1"/>
      <c r="D10" s="100">
        <v>10.55</v>
      </c>
      <c r="E10" s="100">
        <v>0.0</v>
      </c>
      <c r="F10" s="100">
        <v>13.02</v>
      </c>
      <c r="G10" s="100">
        <v>21.08</v>
      </c>
      <c r="H10" s="101">
        <v>18.56</v>
      </c>
    </row>
    <row r="11">
      <c r="B11" s="102" t="s">
        <v>55</v>
      </c>
      <c r="C11" s="103"/>
      <c r="D11" s="104">
        <f t="shared" ref="D11:H11" si="1">D9+D10</f>
        <v>897.63</v>
      </c>
      <c r="E11" s="104">
        <f t="shared" si="1"/>
        <v>1013.2</v>
      </c>
      <c r="F11" s="104">
        <f t="shared" si="1"/>
        <v>1295.48</v>
      </c>
      <c r="G11" s="104">
        <f t="shared" si="1"/>
        <v>1636.37</v>
      </c>
      <c r="H11" s="105">
        <f t="shared" si="1"/>
        <v>1647.76</v>
      </c>
    </row>
    <row r="12">
      <c r="B12" s="16"/>
      <c r="C12" s="1"/>
      <c r="D12" s="58"/>
      <c r="E12" s="58"/>
      <c r="F12" s="58"/>
      <c r="G12" s="58"/>
      <c r="H12" s="99"/>
    </row>
    <row r="13">
      <c r="B13" s="54" t="s">
        <v>56</v>
      </c>
      <c r="C13" s="1"/>
      <c r="D13" s="58"/>
      <c r="E13" s="58"/>
      <c r="F13" s="58"/>
      <c r="G13" s="58"/>
      <c r="H13" s="99"/>
    </row>
    <row r="14">
      <c r="B14" s="16"/>
      <c r="C14" s="1"/>
      <c r="D14" s="58"/>
      <c r="E14" s="58"/>
      <c r="F14" s="58"/>
      <c r="G14" s="58"/>
      <c r="H14" s="99"/>
    </row>
    <row r="15">
      <c r="B15" s="54" t="s">
        <v>57</v>
      </c>
      <c r="C15" s="1"/>
      <c r="D15" s="100">
        <v>0.0</v>
      </c>
      <c r="E15" s="100">
        <v>0.0</v>
      </c>
      <c r="F15" s="100">
        <v>10.31</v>
      </c>
      <c r="G15" s="100">
        <v>4.82</v>
      </c>
      <c r="H15" s="101">
        <v>8.01</v>
      </c>
    </row>
    <row r="16">
      <c r="B16" s="54" t="s">
        <v>58</v>
      </c>
      <c r="C16" s="1"/>
      <c r="D16" s="100">
        <v>0.0</v>
      </c>
      <c r="E16" s="100">
        <v>0.0</v>
      </c>
      <c r="F16" s="100">
        <v>0.0</v>
      </c>
      <c r="G16" s="100">
        <v>0.0</v>
      </c>
      <c r="H16" s="101">
        <v>0.0</v>
      </c>
    </row>
    <row r="17">
      <c r="B17" s="54" t="s">
        <v>22</v>
      </c>
      <c r="C17" s="1"/>
      <c r="D17" s="100">
        <v>0.0</v>
      </c>
      <c r="E17" s="100">
        <v>0.0</v>
      </c>
      <c r="F17" s="100">
        <v>0.0</v>
      </c>
      <c r="G17" s="100">
        <v>0.0</v>
      </c>
      <c r="H17" s="101">
        <v>0.0</v>
      </c>
    </row>
    <row r="18">
      <c r="B18" s="54" t="s">
        <v>59</v>
      </c>
      <c r="C18" s="1"/>
      <c r="D18" s="100">
        <v>59.37</v>
      </c>
      <c r="E18" s="100">
        <v>103.41</v>
      </c>
      <c r="F18" s="100">
        <v>158.88</v>
      </c>
      <c r="G18" s="100">
        <v>331.94</v>
      </c>
      <c r="H18" s="101">
        <v>130.16</v>
      </c>
    </row>
    <row r="19">
      <c r="B19" s="102" t="s">
        <v>60</v>
      </c>
      <c r="C19" s="103"/>
      <c r="D19" s="104">
        <f>D15+D16+D17+D18</f>
        <v>59.37</v>
      </c>
      <c r="E19" s="104">
        <f>E15+E17+E16+E18</f>
        <v>103.41</v>
      </c>
      <c r="F19" s="104">
        <f>F15+F16+F17+F18</f>
        <v>169.19</v>
      </c>
      <c r="G19" s="104">
        <f>G16+G15+G17+G18</f>
        <v>336.76</v>
      </c>
      <c r="H19" s="105">
        <f>H15+H16+H17+H18</f>
        <v>138.17</v>
      </c>
    </row>
    <row r="20">
      <c r="B20" s="16"/>
      <c r="C20" s="1"/>
      <c r="D20" s="58"/>
      <c r="E20" s="58"/>
      <c r="F20" s="58"/>
      <c r="G20" s="58"/>
      <c r="H20" s="99"/>
    </row>
    <row r="21">
      <c r="B21" s="54" t="s">
        <v>21</v>
      </c>
      <c r="C21" s="1"/>
      <c r="D21" s="58">
        <f t="shared" ref="D21:H21" si="2">D11-D19</f>
        <v>838.26</v>
      </c>
      <c r="E21" s="58">
        <f t="shared" si="2"/>
        <v>909.79</v>
      </c>
      <c r="F21" s="58">
        <f t="shared" si="2"/>
        <v>1126.29</v>
      </c>
      <c r="G21" s="58">
        <f t="shared" si="2"/>
        <v>1299.61</v>
      </c>
      <c r="H21" s="99">
        <f t="shared" si="2"/>
        <v>1509.59</v>
      </c>
    </row>
    <row r="22">
      <c r="B22" s="54" t="s">
        <v>23</v>
      </c>
      <c r="C22" s="1"/>
      <c r="D22" s="58">
        <f t="shared" ref="D22:H22" si="3">D21-D17</f>
        <v>838.26</v>
      </c>
      <c r="E22" s="58">
        <f t="shared" si="3"/>
        <v>909.79</v>
      </c>
      <c r="F22" s="58">
        <f t="shared" si="3"/>
        <v>1126.29</v>
      </c>
      <c r="G22" s="58">
        <f t="shared" si="3"/>
        <v>1299.61</v>
      </c>
      <c r="H22" s="99">
        <f t="shared" si="3"/>
        <v>1509.59</v>
      </c>
    </row>
    <row r="23" hidden="1">
      <c r="B23" s="54" t="s">
        <v>61</v>
      </c>
      <c r="C23" s="1"/>
      <c r="D23" s="106">
        <v>0.0</v>
      </c>
      <c r="E23" s="106">
        <v>0.0</v>
      </c>
      <c r="F23" s="106">
        <v>0.0</v>
      </c>
      <c r="G23" s="106">
        <v>0.0</v>
      </c>
      <c r="H23" s="107">
        <v>0.0</v>
      </c>
    </row>
    <row r="24" hidden="1">
      <c r="B24" s="54" t="s">
        <v>62</v>
      </c>
      <c r="C24" s="1"/>
      <c r="D24" s="58">
        <f t="shared" ref="D24:H24" si="4">D22-D23</f>
        <v>838.26</v>
      </c>
      <c r="E24" s="58">
        <f t="shared" si="4"/>
        <v>909.79</v>
      </c>
      <c r="F24" s="58">
        <f t="shared" si="4"/>
        <v>1126.29</v>
      </c>
      <c r="G24" s="58">
        <f t="shared" si="4"/>
        <v>1299.61</v>
      </c>
      <c r="H24" s="99">
        <f t="shared" si="4"/>
        <v>1509.59</v>
      </c>
    </row>
    <row r="25">
      <c r="B25" s="54" t="s">
        <v>63</v>
      </c>
      <c r="C25" s="1"/>
      <c r="D25" s="108">
        <v>0.1659</v>
      </c>
      <c r="E25" s="108">
        <v>0.2201</v>
      </c>
      <c r="F25" s="108">
        <v>0.1774</v>
      </c>
      <c r="G25" s="108">
        <v>0.1309</v>
      </c>
      <c r="H25" s="109">
        <v>0.1648</v>
      </c>
    </row>
    <row r="26">
      <c r="B26" s="54" t="s">
        <v>64</v>
      </c>
      <c r="C26" s="1"/>
      <c r="D26" s="58">
        <f t="shared" ref="D26:H26" si="5">D24*(1-D25)</f>
        <v>699.192666</v>
      </c>
      <c r="E26" s="58">
        <f t="shared" si="5"/>
        <v>709.545221</v>
      </c>
      <c r="F26" s="58">
        <f t="shared" si="5"/>
        <v>926.486154</v>
      </c>
      <c r="G26" s="58">
        <f t="shared" si="5"/>
        <v>1129.491051</v>
      </c>
      <c r="H26" s="99">
        <f t="shared" si="5"/>
        <v>1260.809568</v>
      </c>
    </row>
    <row r="27">
      <c r="B27" s="16"/>
      <c r="C27" s="1"/>
      <c r="D27" s="58"/>
      <c r="E27" s="58"/>
      <c r="F27" s="58"/>
      <c r="G27" s="58"/>
      <c r="H27" s="99"/>
    </row>
    <row r="28">
      <c r="B28" s="110" t="s">
        <v>65</v>
      </c>
      <c r="C28" s="111"/>
      <c r="D28" s="112">
        <f t="shared" ref="D28:H28" si="6">D26</f>
        <v>699.192666</v>
      </c>
      <c r="E28" s="112">
        <f t="shared" si="6"/>
        <v>709.545221</v>
      </c>
      <c r="F28" s="112">
        <f t="shared" si="6"/>
        <v>926.486154</v>
      </c>
      <c r="G28" s="112">
        <f t="shared" si="6"/>
        <v>1129.491051</v>
      </c>
      <c r="H28" s="113">
        <f t="shared" si="6"/>
        <v>1260.809568</v>
      </c>
    </row>
  </sheetData>
  <mergeCells count="3">
    <mergeCell ref="B4:C4"/>
    <mergeCell ref="D4:F4"/>
    <mergeCell ref="G4: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43"/>
  </cols>
  <sheetData>
    <row r="4">
      <c r="B4" s="90" t="s">
        <v>66</v>
      </c>
      <c r="C4" s="26"/>
      <c r="D4" s="91" t="s">
        <v>49</v>
      </c>
      <c r="E4" s="25"/>
      <c r="F4" s="25"/>
      <c r="G4" s="92" t="s">
        <v>50</v>
      </c>
      <c r="H4" s="26"/>
    </row>
    <row r="5">
      <c r="B5" s="90" t="s">
        <v>51</v>
      </c>
      <c r="C5" s="114"/>
      <c r="D5" s="91">
        <v>2016.0</v>
      </c>
      <c r="E5" s="91">
        <v>2017.0</v>
      </c>
      <c r="F5" s="91">
        <v>2018.0</v>
      </c>
      <c r="G5" s="91">
        <v>2019.0</v>
      </c>
      <c r="H5" s="115">
        <v>2020.0</v>
      </c>
    </row>
    <row r="6">
      <c r="B6" s="11"/>
      <c r="C6" s="12"/>
      <c r="D6" s="116"/>
      <c r="E6" s="116"/>
      <c r="F6" s="116"/>
      <c r="G6" s="116"/>
      <c r="H6" s="117"/>
    </row>
    <row r="7">
      <c r="B7" s="54" t="s">
        <v>67</v>
      </c>
      <c r="C7" s="1"/>
      <c r="D7" s="100">
        <v>5690.32</v>
      </c>
      <c r="E7" s="100">
        <v>6238.89</v>
      </c>
      <c r="F7" s="100">
        <v>6740.63</v>
      </c>
      <c r="G7" s="100">
        <v>9870.66</v>
      </c>
      <c r="H7" s="101">
        <v>7360.98</v>
      </c>
    </row>
    <row r="8">
      <c r="B8" s="54" t="s">
        <v>68</v>
      </c>
      <c r="C8" s="1"/>
      <c r="D8" s="100">
        <v>-212.43</v>
      </c>
      <c r="E8" s="100">
        <v>-235.59</v>
      </c>
      <c r="F8" s="100">
        <v>-196.35</v>
      </c>
      <c r="G8" s="100">
        <v>-337.17</v>
      </c>
      <c r="H8" s="101">
        <v>37.97</v>
      </c>
    </row>
    <row r="9">
      <c r="B9" s="54" t="s">
        <v>69</v>
      </c>
      <c r="C9" s="1"/>
      <c r="D9" s="100">
        <v>-4045.33</v>
      </c>
      <c r="E9" s="100">
        <v>-5106.26</v>
      </c>
      <c r="F9" s="100">
        <v>-4422.69</v>
      </c>
      <c r="G9" s="100">
        <v>-10185.59</v>
      </c>
      <c r="H9" s="101">
        <v>-7772.69</v>
      </c>
    </row>
    <row r="10">
      <c r="B10" s="54"/>
      <c r="C10" s="1"/>
      <c r="D10" s="100"/>
      <c r="E10" s="100"/>
      <c r="F10" s="100"/>
      <c r="G10" s="100"/>
      <c r="H10" s="101"/>
    </row>
    <row r="11">
      <c r="B11" s="118" t="s">
        <v>25</v>
      </c>
      <c r="C11" s="119"/>
      <c r="D11" s="120">
        <f t="shared" ref="D11:E11" si="1">D7+D8+D9</f>
        <v>1432.56</v>
      </c>
      <c r="E11" s="120">
        <f t="shared" si="1"/>
        <v>897.04</v>
      </c>
      <c r="F11" s="120">
        <f>F7+F9+F8</f>
        <v>2121.59</v>
      </c>
      <c r="G11" s="120">
        <f t="shared" ref="G11:H11" si="2">G7+G8+G9</f>
        <v>-652.1</v>
      </c>
      <c r="H11" s="121">
        <f t="shared" si="2"/>
        <v>-373.74</v>
      </c>
    </row>
    <row r="12">
      <c r="B12" s="16"/>
      <c r="C12" s="1"/>
      <c r="D12" s="58"/>
      <c r="E12" s="58"/>
      <c r="F12" s="58"/>
      <c r="G12" s="58"/>
      <c r="H12" s="99"/>
    </row>
    <row r="13">
      <c r="B13" s="102" t="s">
        <v>70</v>
      </c>
      <c r="C13" s="103"/>
      <c r="D13" s="122">
        <v>2349.63</v>
      </c>
      <c r="E13" s="123">
        <f t="shared" ref="E13:H13" si="3">D14</f>
        <v>3782.19</v>
      </c>
      <c r="F13" s="123">
        <f t="shared" si="3"/>
        <v>4679.23</v>
      </c>
      <c r="G13" s="104">
        <f t="shared" si="3"/>
        <v>6800.82</v>
      </c>
      <c r="H13" s="105">
        <f t="shared" si="3"/>
        <v>6148.72</v>
      </c>
    </row>
    <row r="14">
      <c r="B14" s="124" t="s">
        <v>71</v>
      </c>
      <c r="C14" s="125"/>
      <c r="D14" s="126">
        <f>D13+D11</f>
        <v>3782.19</v>
      </c>
      <c r="E14" s="126">
        <f t="shared" ref="E14:H14" si="4">E11+E13</f>
        <v>4679.23</v>
      </c>
      <c r="F14" s="126">
        <f t="shared" si="4"/>
        <v>6800.82</v>
      </c>
      <c r="G14" s="126">
        <f t="shared" si="4"/>
        <v>6148.72</v>
      </c>
      <c r="H14" s="127">
        <f t="shared" si="4"/>
        <v>5774.98</v>
      </c>
    </row>
    <row r="15">
      <c r="B15" s="128"/>
      <c r="C15" s="12"/>
      <c r="D15" s="129"/>
      <c r="E15" s="129"/>
      <c r="F15" s="129"/>
      <c r="G15" s="129"/>
      <c r="H15" s="129"/>
    </row>
    <row r="16">
      <c r="B16" s="130"/>
      <c r="C16" s="1"/>
      <c r="D16" s="100"/>
      <c r="E16" s="100"/>
      <c r="F16" s="100"/>
      <c r="G16" s="100"/>
      <c r="H16" s="100"/>
    </row>
    <row r="17">
      <c r="B17" s="130"/>
      <c r="C17" s="1"/>
      <c r="D17" s="100"/>
      <c r="E17" s="100"/>
      <c r="F17" s="100"/>
      <c r="G17" s="100"/>
      <c r="H17" s="100"/>
    </row>
    <row r="18">
      <c r="B18" s="130"/>
      <c r="C18" s="1"/>
      <c r="D18" s="100"/>
      <c r="E18" s="100"/>
      <c r="F18" s="100"/>
      <c r="G18" s="100"/>
      <c r="H18" s="100"/>
    </row>
    <row r="19">
      <c r="B19" s="130"/>
      <c r="C19" s="1"/>
      <c r="D19" s="58"/>
      <c r="E19" s="58"/>
      <c r="F19" s="58"/>
      <c r="G19" s="58"/>
      <c r="H19" s="58"/>
    </row>
    <row r="20">
      <c r="B20" s="1"/>
      <c r="C20" s="1"/>
      <c r="D20" s="58"/>
      <c r="E20" s="58"/>
      <c r="F20" s="58"/>
      <c r="G20" s="58"/>
      <c r="H20" s="58"/>
    </row>
    <row r="21">
      <c r="B21" s="130"/>
      <c r="C21" s="1"/>
      <c r="D21" s="58"/>
      <c r="E21" s="58"/>
      <c r="F21" s="58"/>
      <c r="G21" s="58"/>
      <c r="H21" s="58"/>
    </row>
    <row r="22">
      <c r="B22" s="130"/>
      <c r="C22" s="1"/>
      <c r="D22" s="58"/>
      <c r="E22" s="58"/>
      <c r="F22" s="58"/>
      <c r="G22" s="58"/>
      <c r="H22" s="58"/>
    </row>
    <row r="23">
      <c r="B23" s="130"/>
      <c r="C23" s="1"/>
      <c r="D23" s="106"/>
      <c r="E23" s="106"/>
      <c r="F23" s="106"/>
      <c r="G23" s="106"/>
      <c r="H23" s="106"/>
    </row>
    <row r="24">
      <c r="B24" s="130"/>
      <c r="C24" s="1"/>
      <c r="D24" s="58"/>
      <c r="E24" s="58"/>
      <c r="F24" s="58"/>
      <c r="G24" s="58"/>
      <c r="H24" s="58"/>
    </row>
    <row r="25">
      <c r="B25" s="130"/>
      <c r="C25" s="1"/>
      <c r="D25" s="108"/>
      <c r="E25" s="108"/>
      <c r="F25" s="108"/>
      <c r="G25" s="108"/>
      <c r="H25" s="108"/>
    </row>
    <row r="26">
      <c r="B26" s="130"/>
      <c r="C26" s="1"/>
      <c r="D26" s="58"/>
      <c r="E26" s="58"/>
      <c r="F26" s="58"/>
      <c r="G26" s="58"/>
      <c r="H26" s="58"/>
    </row>
    <row r="27">
      <c r="B27" s="1"/>
      <c r="C27" s="1"/>
      <c r="D27" s="58"/>
      <c r="E27" s="58"/>
      <c r="F27" s="58"/>
      <c r="G27" s="58"/>
      <c r="H27" s="58"/>
    </row>
    <row r="28">
      <c r="B28" s="4"/>
      <c r="C28" s="131"/>
      <c r="D28" s="131"/>
      <c r="E28" s="131"/>
      <c r="F28" s="131"/>
      <c r="G28" s="131"/>
      <c r="H28" s="131"/>
    </row>
  </sheetData>
  <mergeCells count="3">
    <mergeCell ref="B4:C4"/>
    <mergeCell ref="D4:F4"/>
    <mergeCell ref="G4:H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</cols>
  <sheetData>
    <row r="2">
      <c r="B2" s="1"/>
      <c r="C2" s="1"/>
      <c r="D2" s="1"/>
      <c r="E2" s="1"/>
      <c r="F2" s="1"/>
      <c r="G2" s="1"/>
      <c r="H2" s="1"/>
    </row>
    <row r="3">
      <c r="B3" s="1"/>
      <c r="C3" s="1"/>
      <c r="D3" s="1"/>
      <c r="E3" s="1"/>
      <c r="F3" s="1"/>
      <c r="G3" s="1"/>
      <c r="H3" s="1"/>
    </row>
    <row r="4">
      <c r="B4" s="93" t="s">
        <v>72</v>
      </c>
      <c r="C4" s="3"/>
      <c r="D4" s="110" t="s">
        <v>73</v>
      </c>
      <c r="E4" s="37"/>
      <c r="F4" s="3"/>
      <c r="G4" s="132" t="s">
        <v>74</v>
      </c>
      <c r="H4" s="3"/>
      <c r="I4" s="133"/>
    </row>
    <row r="5">
      <c r="B5" s="134" t="s">
        <v>75</v>
      </c>
      <c r="C5" s="135"/>
      <c r="D5" s="136">
        <v>2016.0</v>
      </c>
      <c r="E5" s="136">
        <v>2017.0</v>
      </c>
      <c r="F5" s="136">
        <v>2018.0</v>
      </c>
      <c r="G5" s="136">
        <v>2019.0</v>
      </c>
      <c r="H5" s="137">
        <v>2020.0</v>
      </c>
    </row>
    <row r="6">
      <c r="B6" s="16"/>
      <c r="C6" s="1"/>
      <c r="D6" s="1"/>
      <c r="E6" s="1"/>
      <c r="F6" s="1"/>
      <c r="G6" s="1"/>
      <c r="H6" s="17"/>
    </row>
    <row r="7">
      <c r="B7" s="138" t="s">
        <v>76</v>
      </c>
      <c r="C7" s="1"/>
      <c r="D7" s="34"/>
      <c r="E7" s="34"/>
      <c r="F7" s="34"/>
      <c r="G7" s="34"/>
      <c r="H7" s="18"/>
    </row>
    <row r="8">
      <c r="B8" s="16"/>
      <c r="C8" s="1"/>
      <c r="D8" s="58"/>
      <c r="E8" s="58"/>
      <c r="F8" s="58"/>
      <c r="G8" s="58"/>
      <c r="H8" s="99"/>
    </row>
    <row r="9">
      <c r="B9" s="54" t="s">
        <v>77</v>
      </c>
      <c r="C9" s="1"/>
      <c r="D9" s="100">
        <v>1995.29</v>
      </c>
      <c r="E9" s="100">
        <v>1998.48</v>
      </c>
      <c r="F9" s="100">
        <v>2011.74</v>
      </c>
      <c r="G9" s="100">
        <v>2017.38</v>
      </c>
      <c r="H9" s="101">
        <v>2018.8</v>
      </c>
    </row>
    <row r="10">
      <c r="B10" s="54" t="s">
        <v>78</v>
      </c>
      <c r="C10" s="1"/>
      <c r="D10" s="100">
        <v>1113.31</v>
      </c>
      <c r="E10" s="100">
        <v>1840.21</v>
      </c>
      <c r="F10" s="100">
        <v>2736.56</v>
      </c>
      <c r="G10" s="100">
        <v>3637.87</v>
      </c>
      <c r="H10" s="101">
        <v>4775.43</v>
      </c>
    </row>
    <row r="11">
      <c r="B11" s="90" t="s">
        <v>79</v>
      </c>
      <c r="C11" s="114"/>
      <c r="D11" s="139">
        <f t="shared" ref="D11:H11" si="1">D9+D10</f>
        <v>3108.6</v>
      </c>
      <c r="E11" s="139">
        <f t="shared" si="1"/>
        <v>3838.69</v>
      </c>
      <c r="F11" s="139">
        <f t="shared" si="1"/>
        <v>4748.3</v>
      </c>
      <c r="G11" s="139">
        <f t="shared" si="1"/>
        <v>5655.25</v>
      </c>
      <c r="H11" s="140">
        <f t="shared" si="1"/>
        <v>6794.23</v>
      </c>
    </row>
    <row r="12">
      <c r="B12" s="16"/>
      <c r="C12" s="1"/>
      <c r="D12" s="58"/>
      <c r="E12" s="58"/>
      <c r="F12" s="58"/>
      <c r="G12" s="58"/>
      <c r="H12" s="99"/>
    </row>
    <row r="13">
      <c r="B13" s="54" t="s">
        <v>80</v>
      </c>
      <c r="C13" s="1"/>
      <c r="D13" s="100">
        <v>0.0</v>
      </c>
      <c r="E13" s="100">
        <v>0.0</v>
      </c>
      <c r="F13" s="100">
        <v>0.0</v>
      </c>
      <c r="G13" s="100">
        <v>0.0</v>
      </c>
      <c r="H13" s="101">
        <v>0.0</v>
      </c>
    </row>
    <row r="14">
      <c r="B14" s="54" t="s">
        <v>81</v>
      </c>
      <c r="C14" s="1"/>
      <c r="D14" s="100">
        <v>70886.75</v>
      </c>
      <c r="E14" s="100">
        <v>87447.34</v>
      </c>
      <c r="F14" s="100">
        <v>46487.69</v>
      </c>
      <c r="G14" s="100">
        <v>55849.85</v>
      </c>
      <c r="H14" s="101">
        <v>66203.14</v>
      </c>
    </row>
    <row r="15">
      <c r="B15" s="54" t="s">
        <v>82</v>
      </c>
      <c r="C15" s="1"/>
      <c r="D15" s="100">
        <v>0.0</v>
      </c>
      <c r="E15" s="100">
        <v>0.0</v>
      </c>
      <c r="F15" s="100">
        <v>54598.19</v>
      </c>
      <c r="G15" s="100">
        <v>63377.41</v>
      </c>
      <c r="H15" s="101">
        <v>54182.08</v>
      </c>
    </row>
    <row r="16">
      <c r="B16" s="90" t="s">
        <v>83</v>
      </c>
      <c r="C16" s="114"/>
      <c r="D16" s="139">
        <f>SUM(D13:D15)</f>
        <v>70886.75</v>
      </c>
      <c r="E16" s="139">
        <f>E13+E14+E15</f>
        <v>87447.34</v>
      </c>
      <c r="F16" s="139">
        <f t="shared" ref="F16:H16" si="2">SUM(F13:F15)</f>
        <v>101085.88</v>
      </c>
      <c r="G16" s="139">
        <f t="shared" si="2"/>
        <v>119227.26</v>
      </c>
      <c r="H16" s="140">
        <f t="shared" si="2"/>
        <v>120385.22</v>
      </c>
    </row>
    <row r="17">
      <c r="B17" s="16"/>
      <c r="C17" s="1"/>
      <c r="D17" s="58"/>
      <c r="E17" s="58"/>
      <c r="F17" s="58"/>
      <c r="G17" s="58"/>
      <c r="H17" s="99"/>
    </row>
    <row r="18">
      <c r="B18" s="54" t="s">
        <v>84</v>
      </c>
      <c r="C18" s="1"/>
      <c r="D18" s="100">
        <v>2511.86</v>
      </c>
      <c r="E18" s="100">
        <v>3773.57</v>
      </c>
      <c r="F18" s="100">
        <v>4602.72</v>
      </c>
      <c r="G18" s="100">
        <v>5063.97</v>
      </c>
      <c r="H18" s="101">
        <v>4901.91</v>
      </c>
    </row>
    <row r="19">
      <c r="B19" s="54" t="s">
        <v>85</v>
      </c>
      <c r="C19" s="1"/>
      <c r="D19" s="100">
        <v>41.48</v>
      </c>
      <c r="E19" s="100">
        <v>46.55</v>
      </c>
      <c r="F19" s="100">
        <v>43.67</v>
      </c>
      <c r="G19" s="100">
        <v>58.49</v>
      </c>
      <c r="H19" s="101">
        <v>75.02</v>
      </c>
    </row>
    <row r="20">
      <c r="B20" s="90" t="s">
        <v>86</v>
      </c>
      <c r="C20" s="114"/>
      <c r="D20" s="139">
        <f t="shared" ref="D20:E20" si="3">D18+D19</f>
        <v>2553.34</v>
      </c>
      <c r="E20" s="139">
        <f t="shared" si="3"/>
        <v>3820.12</v>
      </c>
      <c r="F20" s="139">
        <f>F18+E27</f>
        <v>4602.72</v>
      </c>
      <c r="G20" s="139">
        <f>G18+G19</f>
        <v>5122.46</v>
      </c>
      <c r="H20" s="140">
        <f>H19+H18</f>
        <v>4976.93</v>
      </c>
    </row>
    <row r="21">
      <c r="B21" s="16"/>
      <c r="C21" s="1"/>
      <c r="D21" s="58"/>
      <c r="E21" s="58"/>
      <c r="F21" s="58"/>
      <c r="G21" s="58"/>
      <c r="H21" s="99"/>
    </row>
    <row r="22">
      <c r="B22" s="54" t="s">
        <v>87</v>
      </c>
      <c r="C22" s="1"/>
      <c r="D22" s="58">
        <f>SUM(D16, D20)</f>
        <v>73440.09</v>
      </c>
      <c r="E22" s="58">
        <f t="shared" ref="E22:H22" si="4">E20+E16</f>
        <v>91267.46</v>
      </c>
      <c r="F22" s="58">
        <f t="shared" si="4"/>
        <v>105688.6</v>
      </c>
      <c r="G22" s="58">
        <f t="shared" si="4"/>
        <v>124349.72</v>
      </c>
      <c r="H22" s="99">
        <f t="shared" si="4"/>
        <v>125362.15</v>
      </c>
    </row>
    <row r="23">
      <c r="B23" s="54" t="s">
        <v>88</v>
      </c>
      <c r="C23" s="1"/>
      <c r="D23" s="58">
        <f t="shared" ref="D23:H23" si="5">D11</f>
        <v>3108.6</v>
      </c>
      <c r="E23" s="58">
        <f t="shared" si="5"/>
        <v>3838.69</v>
      </c>
      <c r="F23" s="58">
        <f t="shared" si="5"/>
        <v>4748.3</v>
      </c>
      <c r="G23" s="58">
        <f t="shared" si="5"/>
        <v>5655.25</v>
      </c>
      <c r="H23" s="99">
        <f t="shared" si="5"/>
        <v>6794.23</v>
      </c>
    </row>
    <row r="24">
      <c r="B24" s="141" t="s">
        <v>89</v>
      </c>
      <c r="C24" s="142"/>
      <c r="D24" s="143">
        <f t="shared" ref="D24:G24" si="6">D22+D23</f>
        <v>76548.69</v>
      </c>
      <c r="E24" s="143">
        <f t="shared" si="6"/>
        <v>95106.15</v>
      </c>
      <c r="F24" s="143">
        <f t="shared" si="6"/>
        <v>110436.9</v>
      </c>
      <c r="G24" s="143">
        <f t="shared" si="6"/>
        <v>130004.97</v>
      </c>
      <c r="H24" s="144">
        <f>H20+H16+H11</f>
        <v>132156.38</v>
      </c>
    </row>
    <row r="25">
      <c r="B25" s="16"/>
      <c r="C25" s="1"/>
      <c r="D25" s="58"/>
      <c r="E25" s="58"/>
      <c r="F25" s="58"/>
      <c r="G25" s="58"/>
      <c r="H25" s="99"/>
    </row>
    <row r="26">
      <c r="B26" s="16"/>
      <c r="C26" s="1"/>
      <c r="D26" s="58"/>
      <c r="E26" s="58"/>
      <c r="F26" s="58"/>
      <c r="G26" s="58"/>
      <c r="H26" s="99"/>
    </row>
    <row r="27">
      <c r="B27" s="138" t="s">
        <v>90</v>
      </c>
      <c r="C27" s="1"/>
      <c r="D27" s="58"/>
      <c r="E27" s="58"/>
      <c r="F27" s="58"/>
      <c r="G27" s="58"/>
      <c r="H27" s="99"/>
    </row>
    <row r="28">
      <c r="B28" s="16"/>
      <c r="C28" s="1"/>
      <c r="D28" s="58"/>
      <c r="E28" s="58"/>
      <c r="F28" s="58"/>
      <c r="G28" s="58"/>
      <c r="H28" s="99"/>
    </row>
    <row r="29">
      <c r="B29" s="54" t="s">
        <v>91</v>
      </c>
      <c r="C29" s="1"/>
      <c r="D29" s="100">
        <v>346.34</v>
      </c>
      <c r="E29" s="100">
        <v>352.91</v>
      </c>
      <c r="F29" s="100">
        <v>336.13</v>
      </c>
      <c r="G29" s="100">
        <v>323.11</v>
      </c>
      <c r="H29" s="101">
        <v>321.71</v>
      </c>
    </row>
    <row r="30">
      <c r="B30" s="54" t="s">
        <v>92</v>
      </c>
      <c r="C30" s="1"/>
      <c r="D30" s="100">
        <v>0.0</v>
      </c>
      <c r="E30" s="100">
        <v>0.0</v>
      </c>
      <c r="F30" s="100">
        <v>5.28</v>
      </c>
      <c r="G30" s="100">
        <v>10.19</v>
      </c>
      <c r="H30" s="101">
        <v>8.41</v>
      </c>
    </row>
    <row r="31">
      <c r="B31" s="90" t="s">
        <v>93</v>
      </c>
      <c r="C31" s="114"/>
      <c r="D31" s="139">
        <f t="shared" ref="D31:E31" si="7">D29+D30</f>
        <v>346.34</v>
      </c>
      <c r="E31" s="139">
        <f t="shared" si="7"/>
        <v>352.91</v>
      </c>
      <c r="F31" s="139">
        <f t="shared" ref="F31:G31" si="8">F30+F29</f>
        <v>341.41</v>
      </c>
      <c r="G31" s="139">
        <f t="shared" si="8"/>
        <v>333.3</v>
      </c>
      <c r="H31" s="140">
        <f>H29+H30</f>
        <v>330.12</v>
      </c>
    </row>
    <row r="32">
      <c r="B32" s="16"/>
      <c r="C32" s="1"/>
      <c r="D32" s="58"/>
      <c r="E32" s="58"/>
      <c r="F32" s="58"/>
      <c r="G32" s="58"/>
      <c r="H32" s="99"/>
    </row>
    <row r="33">
      <c r="B33" s="54" t="s">
        <v>94</v>
      </c>
      <c r="C33" s="1"/>
      <c r="D33" s="100">
        <v>24458.62</v>
      </c>
      <c r="E33" s="100">
        <v>33854.33</v>
      </c>
      <c r="F33" s="100">
        <v>95351.06</v>
      </c>
      <c r="G33" s="100">
        <v>125551.66</v>
      </c>
      <c r="H33" s="101">
        <v>127220.17</v>
      </c>
    </row>
    <row r="34">
      <c r="B34" s="54" t="s">
        <v>95</v>
      </c>
      <c r="C34" s="1"/>
      <c r="D34" s="100">
        <v>93.07</v>
      </c>
      <c r="E34" s="100">
        <v>47.86</v>
      </c>
      <c r="F34" s="100">
        <v>18.74</v>
      </c>
      <c r="G34" s="100">
        <v>79.59</v>
      </c>
      <c r="H34" s="101">
        <v>299.05</v>
      </c>
    </row>
    <row r="35">
      <c r="B35" s="54" t="s">
        <v>96</v>
      </c>
      <c r="C35" s="1"/>
      <c r="D35" s="100">
        <v>0.0</v>
      </c>
      <c r="E35" s="100">
        <v>0.0</v>
      </c>
      <c r="F35" s="100">
        <v>795.24</v>
      </c>
      <c r="G35" s="100">
        <v>0.0</v>
      </c>
      <c r="H35" s="101">
        <v>0.0</v>
      </c>
    </row>
    <row r="36">
      <c r="B36" s="90" t="s">
        <v>97</v>
      </c>
      <c r="C36" s="114"/>
      <c r="D36" s="139">
        <f t="shared" ref="D36:H36" si="9">D33+D34+D35</f>
        <v>24551.69</v>
      </c>
      <c r="E36" s="139">
        <f t="shared" si="9"/>
        <v>33902.19</v>
      </c>
      <c r="F36" s="139">
        <f t="shared" si="9"/>
        <v>96165.04</v>
      </c>
      <c r="G36" s="139">
        <f t="shared" si="9"/>
        <v>125631.25</v>
      </c>
      <c r="H36" s="140">
        <f t="shared" si="9"/>
        <v>127519.22</v>
      </c>
    </row>
    <row r="37">
      <c r="B37" s="16"/>
      <c r="C37" s="1"/>
      <c r="D37" s="58"/>
      <c r="E37" s="58"/>
      <c r="F37" s="58"/>
      <c r="G37" s="58"/>
      <c r="H37" s="99"/>
    </row>
    <row r="38">
      <c r="B38" s="54" t="s">
        <v>98</v>
      </c>
      <c r="C38" s="1"/>
      <c r="D38" s="100">
        <v>4044.42</v>
      </c>
      <c r="E38" s="100">
        <v>4082.79</v>
      </c>
      <c r="F38" s="100">
        <v>10412.0</v>
      </c>
      <c r="G38" s="100">
        <v>0.0</v>
      </c>
      <c r="H38" s="101">
        <v>0.0</v>
      </c>
    </row>
    <row r="39">
      <c r="B39" s="54" t="s">
        <v>99</v>
      </c>
      <c r="C39" s="1"/>
      <c r="D39" s="100">
        <v>646.6</v>
      </c>
      <c r="E39" s="100">
        <v>796.5</v>
      </c>
      <c r="F39" s="100">
        <v>1108.47</v>
      </c>
      <c r="G39" s="100">
        <v>1239.82</v>
      </c>
      <c r="H39" s="101">
        <v>679.87</v>
      </c>
    </row>
    <row r="40">
      <c r="B40" s="54" t="s">
        <v>100</v>
      </c>
      <c r="C40" s="1"/>
      <c r="D40" s="100">
        <v>0.0</v>
      </c>
      <c r="E40" s="100">
        <v>0.0</v>
      </c>
      <c r="F40" s="100">
        <v>2409.98</v>
      </c>
      <c r="G40" s="100">
        <v>2800.99</v>
      </c>
      <c r="H40" s="101">
        <v>3627.17</v>
      </c>
    </row>
    <row r="41">
      <c r="B41" s="54" t="s">
        <v>101</v>
      </c>
      <c r="C41" s="1"/>
      <c r="D41" s="100">
        <v>46959.64</v>
      </c>
      <c r="E41" s="100">
        <v>55971.76</v>
      </c>
      <c r="F41" s="100">
        <v>0.0</v>
      </c>
      <c r="G41" s="100">
        <v>0.0</v>
      </c>
      <c r="H41" s="101">
        <v>0.0</v>
      </c>
    </row>
    <row r="42">
      <c r="B42" s="90" t="s">
        <v>102</v>
      </c>
      <c r="C42" s="114"/>
      <c r="D42" s="139">
        <f t="shared" ref="D42:G42" si="10">SUM(D38:D41)</f>
        <v>51650.66</v>
      </c>
      <c r="E42" s="139">
        <f t="shared" si="10"/>
        <v>60851.05</v>
      </c>
      <c r="F42" s="139">
        <f t="shared" si="10"/>
        <v>13930.45</v>
      </c>
      <c r="G42" s="139">
        <f t="shared" si="10"/>
        <v>4040.81</v>
      </c>
      <c r="H42" s="140">
        <f>H38+H39+H40+H41</f>
        <v>4307.04</v>
      </c>
    </row>
    <row r="43">
      <c r="B43" s="16"/>
      <c r="C43" s="1"/>
      <c r="D43" s="58"/>
      <c r="E43" s="58"/>
      <c r="F43" s="58"/>
      <c r="G43" s="58"/>
      <c r="H43" s="99"/>
    </row>
    <row r="44">
      <c r="B44" s="141" t="s">
        <v>103</v>
      </c>
      <c r="C44" s="142"/>
      <c r="D44" s="143">
        <f t="shared" ref="D44:H44" si="11">D42+D36+D31</f>
        <v>76548.69</v>
      </c>
      <c r="E44" s="143">
        <f t="shared" si="11"/>
        <v>95106.15</v>
      </c>
      <c r="F44" s="143">
        <f t="shared" si="11"/>
        <v>110436.9</v>
      </c>
      <c r="G44" s="143">
        <f t="shared" si="11"/>
        <v>130005.36</v>
      </c>
      <c r="H44" s="144">
        <f t="shared" si="11"/>
        <v>132156.38</v>
      </c>
    </row>
    <row r="45">
      <c r="B45" s="1"/>
      <c r="C45" s="1"/>
      <c r="D45" s="58"/>
      <c r="E45" s="58"/>
      <c r="F45" s="58"/>
      <c r="G45" s="58"/>
      <c r="H45" s="58"/>
    </row>
    <row r="46">
      <c r="B46" s="1"/>
      <c r="C46" s="1"/>
      <c r="D46" s="1"/>
      <c r="E46" s="1"/>
      <c r="F46" s="1"/>
      <c r="G46" s="1"/>
      <c r="H46" s="1"/>
    </row>
    <row r="47">
      <c r="B47" s="1"/>
      <c r="C47" s="1"/>
      <c r="D47" s="1"/>
      <c r="E47" s="1"/>
      <c r="F47" s="1"/>
      <c r="G47" s="1"/>
      <c r="H47" s="1"/>
    </row>
    <row r="48">
      <c r="B48" s="1"/>
      <c r="C48" s="1"/>
      <c r="D48" s="1"/>
      <c r="E48" s="1"/>
      <c r="F48" s="1"/>
      <c r="G48" s="1"/>
      <c r="H48" s="1"/>
    </row>
    <row r="49">
      <c r="B49" s="1"/>
      <c r="C49" s="1"/>
      <c r="D49" s="1"/>
      <c r="E49" s="1"/>
      <c r="F49" s="1"/>
      <c r="G49" s="1"/>
      <c r="H49" s="1"/>
    </row>
    <row r="50">
      <c r="B50" s="1"/>
      <c r="C50" s="1"/>
      <c r="D50" s="1"/>
      <c r="E50" s="1"/>
      <c r="F50" s="1"/>
      <c r="G50" s="1"/>
      <c r="H50" s="1"/>
    </row>
    <row r="51">
      <c r="B51" s="1"/>
      <c r="C51" s="1"/>
      <c r="D51" s="1"/>
      <c r="E51" s="1"/>
      <c r="F51" s="1"/>
      <c r="G51" s="1"/>
      <c r="H51" s="1"/>
    </row>
    <row r="52">
      <c r="B52" s="1"/>
      <c r="C52" s="1"/>
      <c r="D52" s="1"/>
      <c r="E52" s="1"/>
      <c r="F52" s="1"/>
      <c r="G52" s="1"/>
      <c r="H52" s="1"/>
    </row>
  </sheetData>
  <mergeCells count="3">
    <mergeCell ref="B4:C4"/>
    <mergeCell ref="D4:F4"/>
    <mergeCell ref="G4:H4"/>
  </mergeCells>
  <drawing r:id="rId1"/>
</worksheet>
</file>