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C472B856-70B3-4AED-B04A-443A6958297B}" xr6:coauthVersionLast="47" xr6:coauthVersionMax="47" xr10:uidLastSave="{00000000-0000-0000-0000-000000000000}"/>
  <bookViews>
    <workbookView xWindow="-108" yWindow="-108" windowWidth="23256" windowHeight="12456" firstSheet="3" activeTab="8" xr2:uid="{26D4546B-D2A1-4444-8EAF-A6228F96F0C1}"/>
  </bookViews>
  <sheets>
    <sheet name="NZ Staff" sheetId="1" r:id="rId1"/>
    <sheet name="India Staff" sheetId="2" r:id="rId2"/>
    <sheet name="ALL Staffs" sheetId="3" r:id="rId3"/>
    <sheet name="Summary " sheetId="5" r:id="rId4"/>
    <sheet name="EMP Info Finder" sheetId="6" r:id="rId5"/>
    <sheet name="Male vs Female" sheetId="8" r:id="rId6"/>
    <sheet name="Charts" sheetId="9" r:id="rId7"/>
    <sheet name="Trend" sheetId="10" r:id="rId8"/>
    <sheet name="Country Comaprison" sheetId="11" r:id="rId9"/>
    <sheet name="Sheet10" sheetId="12" state="hidden" r:id="rId10"/>
  </sheets>
  <definedNames>
    <definedName name="_xlnm._FilterDatabase" localSheetId="1" hidden="1">'India Staff'!$B$2:$H$114</definedName>
    <definedName name="_xlnm._FilterDatabase" localSheetId="0" hidden="1">'NZ Staff'!$C$5:$I$105</definedName>
    <definedName name="_xlchart.v1.0" hidden="1">'ALL Staffs'!$G$2:$G$184</definedName>
    <definedName name="_xlchart.v1.1" hidden="1">'ALL Staffs'!$G$1</definedName>
    <definedName name="_xlchart.v1.2" hidden="1">'ALL Staffs'!$G$2:$G$184</definedName>
    <definedName name="_xlchart.v1.3" hidden="1">'ALL Staffs'!$G$2:$G$184</definedName>
    <definedName name="_xlcn.WorksheetConnection_blankdatafile.xlsxTable_Final_Staff1" hidden="1">Table_Final_Staff[]</definedName>
    <definedName name="ExternalData_1" localSheetId="2" hidden="1">'ALL Staffs'!$A$1:$H$184</definedName>
    <definedName name="Slicer_Country">#N/A</definedName>
    <definedName name="Slicer_Department">#N/A</definedName>
    <definedName name="Slicer_YOJ">#N/A</definedName>
  </definedNames>
  <calcPr calcId="191029"/>
  <pivotCaches>
    <pivotCache cacheId="51" r:id="rId11"/>
    <pivotCache cacheId="198" r:id="rId12"/>
    <pivotCache cacheId="226" r:id="rId13"/>
    <pivotCache cacheId="23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Final_Staff" name="Table_Final_Staff" connection="WorksheetConnection_blank-data-file.xlsx!Table_Final_Staff"/>
        </x15:modelTables>
        <x15:extLst>
          <ext xmlns:x16="http://schemas.microsoft.com/office/spreadsheetml/2014/11/main" uri="{9835A34E-60A6-4A7C-AAB8-D5F71C897F49}">
            <x16:modelTimeGroupings>
              <x16:modelTimeGrouping tableName="Table_Final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2" i="11" l="1"/>
  <c r="M12" i="11"/>
  <c r="D12" i="11"/>
  <c r="L12" i="11"/>
  <c r="C12" i="11"/>
  <c r="K12" i="11"/>
  <c r="B12" i="11"/>
  <c r="E12" i="11"/>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23" i="10"/>
  <c r="B23" i="10" a="1"/>
  <c r="B23" i="10" s="1"/>
  <c r="A23" i="10" a="1"/>
  <c r="A23" i="10" s="1"/>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J2" i="3"/>
  <c r="K2" i="3" s="1"/>
  <c r="J3" i="3"/>
  <c r="K3" i="3" s="1"/>
  <c r="J4" i="3"/>
  <c r="K4" i="3" s="1"/>
  <c r="J5" i="3"/>
  <c r="K5" i="3" s="1"/>
  <c r="J6" i="3"/>
  <c r="K6" i="3" s="1"/>
  <c r="J7" i="3"/>
  <c r="K7" i="3" s="1"/>
  <c r="J8" i="3"/>
  <c r="K8" i="3" s="1"/>
  <c r="J9" i="3"/>
  <c r="K9" i="3" s="1"/>
  <c r="J10" i="3"/>
  <c r="K10" i="3" s="1"/>
  <c r="J11" i="3"/>
  <c r="K11" i="3" s="1"/>
  <c r="J12" i="3"/>
  <c r="K12" i="3" s="1"/>
  <c r="J13" i="3"/>
  <c r="K13" i="3" s="1"/>
  <c r="J14" i="3"/>
  <c r="K14" i="3" s="1"/>
  <c r="J15" i="3"/>
  <c r="K15" i="3" s="1"/>
  <c r="J16" i="3"/>
  <c r="K16" i="3" s="1"/>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37" i="3" s="1"/>
  <c r="J38" i="3"/>
  <c r="K38" i="3" s="1"/>
  <c r="J39" i="3"/>
  <c r="K39" i="3" s="1"/>
  <c r="J40" i="3"/>
  <c r="K40" i="3" s="1"/>
  <c r="J41" i="3"/>
  <c r="K41" i="3" s="1"/>
  <c r="J42" i="3"/>
  <c r="K42" i="3" s="1"/>
  <c r="J43" i="3"/>
  <c r="K43" i="3" s="1"/>
  <c r="J44" i="3"/>
  <c r="K44" i="3" s="1"/>
  <c r="J45" i="3"/>
  <c r="K45" i="3" s="1"/>
  <c r="J46" i="3"/>
  <c r="K46" i="3" s="1"/>
  <c r="J47" i="3"/>
  <c r="K47" i="3" s="1"/>
  <c r="J48" i="3"/>
  <c r="K48" i="3" s="1"/>
  <c r="J49" i="3"/>
  <c r="K49" i="3" s="1"/>
  <c r="J50" i="3"/>
  <c r="K50" i="3" s="1"/>
  <c r="J51" i="3"/>
  <c r="K51" i="3" s="1"/>
  <c r="J52" i="3"/>
  <c r="K52" i="3" s="1"/>
  <c r="J53" i="3"/>
  <c r="K53" i="3" s="1"/>
  <c r="J54" i="3"/>
  <c r="K54" i="3" s="1"/>
  <c r="J55" i="3"/>
  <c r="K55" i="3" s="1"/>
  <c r="J56" i="3"/>
  <c r="K56" i="3" s="1"/>
  <c r="J57" i="3"/>
  <c r="K57" i="3" s="1"/>
  <c r="J58" i="3"/>
  <c r="K58" i="3" s="1"/>
  <c r="J59" i="3"/>
  <c r="K59" i="3" s="1"/>
  <c r="J60" i="3"/>
  <c r="K60" i="3" s="1"/>
  <c r="J61" i="3"/>
  <c r="K61" i="3" s="1"/>
  <c r="J62" i="3"/>
  <c r="K62" i="3" s="1"/>
  <c r="J63" i="3"/>
  <c r="K63" i="3" s="1"/>
  <c r="J64" i="3"/>
  <c r="K64" i="3" s="1"/>
  <c r="J65" i="3"/>
  <c r="K65" i="3" s="1"/>
  <c r="J66" i="3"/>
  <c r="K66" i="3" s="1"/>
  <c r="J67" i="3"/>
  <c r="K67" i="3" s="1"/>
  <c r="J68" i="3"/>
  <c r="K68" i="3" s="1"/>
  <c r="J69" i="3"/>
  <c r="K69" i="3" s="1"/>
  <c r="J70" i="3"/>
  <c r="K70" i="3" s="1"/>
  <c r="J71" i="3"/>
  <c r="K71" i="3" s="1"/>
  <c r="J72" i="3"/>
  <c r="K72" i="3" s="1"/>
  <c r="J73" i="3"/>
  <c r="K73" i="3" s="1"/>
  <c r="J74" i="3"/>
  <c r="K74" i="3" s="1"/>
  <c r="J75" i="3"/>
  <c r="K75" i="3" s="1"/>
  <c r="J76" i="3"/>
  <c r="K76" i="3" s="1"/>
  <c r="J77" i="3"/>
  <c r="K77" i="3" s="1"/>
  <c r="J78" i="3"/>
  <c r="K78" i="3" s="1"/>
  <c r="J79" i="3"/>
  <c r="K79" i="3" s="1"/>
  <c r="J80" i="3"/>
  <c r="K80" i="3" s="1"/>
  <c r="J81" i="3"/>
  <c r="K81" i="3" s="1"/>
  <c r="J82" i="3"/>
  <c r="K82" i="3" s="1"/>
  <c r="J83" i="3"/>
  <c r="K83" i="3" s="1"/>
  <c r="J84" i="3"/>
  <c r="K84" i="3" s="1"/>
  <c r="J85" i="3"/>
  <c r="K85" i="3" s="1"/>
  <c r="J86" i="3"/>
  <c r="K86" i="3" s="1"/>
  <c r="J87" i="3"/>
  <c r="K87" i="3" s="1"/>
  <c r="J88" i="3"/>
  <c r="K88" i="3" s="1"/>
  <c r="J89" i="3"/>
  <c r="K89" i="3" s="1"/>
  <c r="J90" i="3"/>
  <c r="K90" i="3" s="1"/>
  <c r="J91" i="3"/>
  <c r="K91" i="3" s="1"/>
  <c r="J92" i="3"/>
  <c r="K92" i="3" s="1"/>
  <c r="J93" i="3"/>
  <c r="K93" i="3" s="1"/>
  <c r="J94" i="3"/>
  <c r="K94" i="3" s="1"/>
  <c r="J95" i="3"/>
  <c r="K95" i="3" s="1"/>
  <c r="J96" i="3"/>
  <c r="K96" i="3" s="1"/>
  <c r="J97" i="3"/>
  <c r="K97" i="3" s="1"/>
  <c r="J98" i="3"/>
  <c r="K98" i="3" s="1"/>
  <c r="J99" i="3"/>
  <c r="K99" i="3" s="1"/>
  <c r="J100" i="3"/>
  <c r="K100" i="3" s="1"/>
  <c r="J101" i="3"/>
  <c r="K101" i="3" s="1"/>
  <c r="J102" i="3"/>
  <c r="K102" i="3" s="1"/>
  <c r="J103" i="3"/>
  <c r="K103" i="3" s="1"/>
  <c r="J104" i="3"/>
  <c r="K104" i="3" s="1"/>
  <c r="J105" i="3"/>
  <c r="K105" i="3" s="1"/>
  <c r="J106" i="3"/>
  <c r="K106" i="3" s="1"/>
  <c r="J107" i="3"/>
  <c r="K107" i="3" s="1"/>
  <c r="J108" i="3"/>
  <c r="K108" i="3" s="1"/>
  <c r="J109" i="3"/>
  <c r="K109" i="3" s="1"/>
  <c r="J110" i="3"/>
  <c r="K110" i="3" s="1"/>
  <c r="J111" i="3"/>
  <c r="K111" i="3" s="1"/>
  <c r="J112" i="3"/>
  <c r="K112" i="3" s="1"/>
  <c r="J113" i="3"/>
  <c r="K113" i="3" s="1"/>
  <c r="J114" i="3"/>
  <c r="K114" i="3" s="1"/>
  <c r="J115" i="3"/>
  <c r="K115" i="3" s="1"/>
  <c r="J116" i="3"/>
  <c r="K116" i="3" s="1"/>
  <c r="J117" i="3"/>
  <c r="K117" i="3" s="1"/>
  <c r="J118" i="3"/>
  <c r="K118" i="3" s="1"/>
  <c r="J119" i="3"/>
  <c r="K119" i="3" s="1"/>
  <c r="J120" i="3"/>
  <c r="K120" i="3" s="1"/>
  <c r="J121" i="3"/>
  <c r="K121" i="3" s="1"/>
  <c r="J122" i="3"/>
  <c r="K122" i="3" s="1"/>
  <c r="J123" i="3"/>
  <c r="K123" i="3" s="1"/>
  <c r="J124" i="3"/>
  <c r="K124" i="3" s="1"/>
  <c r="J125" i="3"/>
  <c r="K125" i="3" s="1"/>
  <c r="J126" i="3"/>
  <c r="K126" i="3" s="1"/>
  <c r="J127" i="3"/>
  <c r="K127" i="3" s="1"/>
  <c r="J128" i="3"/>
  <c r="K128" i="3" s="1"/>
  <c r="J129" i="3"/>
  <c r="K129" i="3" s="1"/>
  <c r="J130" i="3"/>
  <c r="K130" i="3" s="1"/>
  <c r="J131" i="3"/>
  <c r="K131" i="3" s="1"/>
  <c r="J132" i="3"/>
  <c r="K132" i="3" s="1"/>
  <c r="J133" i="3"/>
  <c r="K133" i="3" s="1"/>
  <c r="J134" i="3"/>
  <c r="K134" i="3" s="1"/>
  <c r="J135" i="3"/>
  <c r="K135" i="3" s="1"/>
  <c r="J136" i="3"/>
  <c r="K136" i="3" s="1"/>
  <c r="J137" i="3"/>
  <c r="K137" i="3" s="1"/>
  <c r="J138" i="3"/>
  <c r="K138" i="3" s="1"/>
  <c r="J139" i="3"/>
  <c r="K139" i="3" s="1"/>
  <c r="J140" i="3"/>
  <c r="K140" i="3" s="1"/>
  <c r="J141" i="3"/>
  <c r="K141" i="3" s="1"/>
  <c r="J142" i="3"/>
  <c r="K142" i="3" s="1"/>
  <c r="J143" i="3"/>
  <c r="K143" i="3" s="1"/>
  <c r="J144" i="3"/>
  <c r="K144" i="3" s="1"/>
  <c r="J145" i="3"/>
  <c r="K145" i="3" s="1"/>
  <c r="J146" i="3"/>
  <c r="K146" i="3" s="1"/>
  <c r="J147" i="3"/>
  <c r="K147" i="3" s="1"/>
  <c r="J148" i="3"/>
  <c r="K148" i="3" s="1"/>
  <c r="J149" i="3"/>
  <c r="K149" i="3" s="1"/>
  <c r="J150" i="3"/>
  <c r="K150" i="3" s="1"/>
  <c r="J151" i="3"/>
  <c r="K151" i="3" s="1"/>
  <c r="J152" i="3"/>
  <c r="K152" i="3" s="1"/>
  <c r="J153" i="3"/>
  <c r="K153" i="3" s="1"/>
  <c r="J154" i="3"/>
  <c r="K154" i="3" s="1"/>
  <c r="J155" i="3"/>
  <c r="K155" i="3" s="1"/>
  <c r="J156" i="3"/>
  <c r="K156" i="3" s="1"/>
  <c r="J157" i="3"/>
  <c r="K157" i="3" s="1"/>
  <c r="J158" i="3"/>
  <c r="K158" i="3" s="1"/>
  <c r="J159" i="3"/>
  <c r="K159" i="3" s="1"/>
  <c r="J160" i="3"/>
  <c r="K160" i="3" s="1"/>
  <c r="J161" i="3"/>
  <c r="K161" i="3" s="1"/>
  <c r="J162" i="3"/>
  <c r="K162" i="3" s="1"/>
  <c r="J163" i="3"/>
  <c r="K163" i="3" s="1"/>
  <c r="J164" i="3"/>
  <c r="K164" i="3" s="1"/>
  <c r="J165" i="3"/>
  <c r="K165" i="3" s="1"/>
  <c r="J166" i="3"/>
  <c r="K166" i="3" s="1"/>
  <c r="J167" i="3"/>
  <c r="K167" i="3" s="1"/>
  <c r="J168" i="3"/>
  <c r="K168" i="3" s="1"/>
  <c r="J169" i="3"/>
  <c r="K169" i="3" s="1"/>
  <c r="J170" i="3"/>
  <c r="K170" i="3" s="1"/>
  <c r="J171" i="3"/>
  <c r="K171" i="3" s="1"/>
  <c r="J172" i="3"/>
  <c r="K172" i="3" s="1"/>
  <c r="J173" i="3"/>
  <c r="K173" i="3" s="1"/>
  <c r="J174" i="3"/>
  <c r="K174" i="3" s="1"/>
  <c r="J175" i="3"/>
  <c r="K175" i="3" s="1"/>
  <c r="J176" i="3"/>
  <c r="K176" i="3" s="1"/>
  <c r="J177" i="3"/>
  <c r="K177" i="3" s="1"/>
  <c r="J178" i="3"/>
  <c r="K178" i="3" s="1"/>
  <c r="J179" i="3"/>
  <c r="K179" i="3" s="1"/>
  <c r="J180" i="3"/>
  <c r="K180" i="3" s="1"/>
  <c r="J181" i="3"/>
  <c r="K181" i="3" s="1"/>
  <c r="J182" i="3"/>
  <c r="K182" i="3" s="1"/>
  <c r="J183" i="3"/>
  <c r="K183" i="3" s="1"/>
  <c r="J184" i="3"/>
  <c r="K184" i="3" s="1"/>
  <c r="B5" i="5"/>
  <c r="B4" i="5"/>
  <c r="B3" i="5"/>
  <c r="B8" i="5" s="1"/>
  <c r="D28" i="10" l="1"/>
  <c r="D23" i="10"/>
  <c r="D51" i="10"/>
  <c r="D43" i="10"/>
  <c r="D35" i="10"/>
  <c r="D27" i="10"/>
  <c r="D58" i="10"/>
  <c r="D50" i="10"/>
  <c r="D42" i="10"/>
  <c r="D34" i="10"/>
  <c r="D26" i="10"/>
  <c r="D57" i="10"/>
  <c r="D49" i="10"/>
  <c r="D41" i="10"/>
  <c r="D33" i="10"/>
  <c r="D25" i="10"/>
  <c r="D56" i="10"/>
  <c r="D48" i="10"/>
  <c r="D40" i="10"/>
  <c r="D32" i="10"/>
  <c r="D24" i="10"/>
  <c r="D55" i="10"/>
  <c r="D47" i="10"/>
  <c r="D39" i="10"/>
  <c r="D31" i="10"/>
  <c r="D54" i="10"/>
  <c r="D46" i="10"/>
  <c r="D38" i="10"/>
  <c r="D30" i="10"/>
  <c r="D29" i="10"/>
  <c r="D53" i="10"/>
  <c r="D45" i="10"/>
  <c r="D37" i="10"/>
  <c r="D52" i="10"/>
  <c r="D44" i="10"/>
  <c r="D36" i="10"/>
  <c r="B9" i="5"/>
  <c r="C5" i="6" a="1"/>
  <c r="C5" i="6" s="1"/>
  <c r="B7" i="5"/>
  <c r="B6" i="5"/>
  <c r="B5" i="6" l="1"/>
  <c r="I106"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3EA2E9-5F33-47E6-81C4-E34FC9110E23}" keepAlive="1" name="Query - Final Staff" description="Connection to the 'Final Staff' query in the workbook." type="5" refreshedVersion="8" background="1" saveData="1">
    <dbPr connection="Provider=Microsoft.Mashup.OleDb.1;Data Source=$Workbook$;Location=&quot;Final Staff&quot;;Extended Properties=&quot;&quot;" command="SELECT * FROM [Final Staff]"/>
  </connection>
  <connection id="2" xr16:uid="{1A65594D-5582-498D-A651-4CD86D481E3D}" keepAlive="1" name="Query - IN_Staff" description="Connection to the 'IN_Staff' query in the workbook." type="5" refreshedVersion="0" background="1">
    <dbPr connection="Provider=Microsoft.Mashup.OleDb.1;Data Source=$Workbook$;Location=IN_Staff;Extended Properties=&quot;&quot;" command="SELECT * FROM [IN_Staff]"/>
  </connection>
  <connection id="3" xr16:uid="{504FD188-CB82-48B2-BE02-77E56AFD4EE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4" xr16:uid="{BD8A00BC-A71A-4CA5-908C-068C8A2490A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A955F4B-FBC7-43A5-BD44-F118B1A6C5ED}" name="WorksheetConnection_blank-data-file.xlsx!Table_Final_Staff" type="102" refreshedVersion="8" minRefreshableVersion="5">
    <extLst>
      <ext xmlns:x15="http://schemas.microsoft.com/office/spreadsheetml/2010/11/main" uri="{DE250136-89BD-433C-8126-D09CA5730AF9}">
        <x15:connection id="Table_Final_Staff" autoDelete="1">
          <x15:rangePr sourceName="_xlcn.WorksheetConnection_blankdatafile.xlsxTable_Final_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Table_Final_Staff].[Country].&amp;[IN]}"/>
    <s v="{[Table_Final_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<sst xmlns="http://schemas.openxmlformats.org/spreadsheetml/2006/main" count="1882" uniqueCount="265">
  <si>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</si>
  <si>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</si>
  <si>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</si>
  <si>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</si>
  <si>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</si>
  <si>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</si>
  <si>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</si>
  <si>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</si>
  <si>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</si>
  <si>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</si>
  <si>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</si>
  <si>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</si>
  <si>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</si>
  <si>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</si>
  <si>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</si>
  <si>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</si>
  <si>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</si>
  <si>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</si>
  <si>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</si>
  <si>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</si>
  <si>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</si>
  <si>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</si>
  <si>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</si>
  <si>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</si>
  <si>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</si>
  <si>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</si>
  <si>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</si>
  <si>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</si>
  <si>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</si>
  <si>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</si>
  <si>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</si>
  <si>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</si>
  <si>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</si>
  <si>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</si>
  <si>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</si>
  <si>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</si>
  <si>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</si>
  <si>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</si>
  <si>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</si>
  <si>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</si>
  <si>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</si>
  <si>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</si>
  <si>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</si>
  <si>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</si>
  <si>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</si>
  <si>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</si>
  <si>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</si>
  <si>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</si>
  <si>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</si>
  <si>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</si>
  <si>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</si>
  <si>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</si>
  <si>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</si>
  <si>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</si>
  <si>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</si>
  <si>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</si>
  <si>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</si>
  <si>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</si>
  <si>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</si>
  <si>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</si>
  <si>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</si>
  <si>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</si>
  <si>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</si>
  <si>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</si>
  <si>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</si>
  <si>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</si>
  <si>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</si>
  <si>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</si>
  <si>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</si>
  <si>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</si>
  <si>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</si>
  <si>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</si>
  <si>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</si>
  <si>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</si>
  <si>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</si>
  <si>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</si>
  <si>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</si>
  <si>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</si>
  <si>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</si>
  <si>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</si>
  <si>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</si>
  <si>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</si>
  <si>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</si>
  <si>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</si>
  <si>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</si>
  <si>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</si>
  <si>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</si>
  <si>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</si>
  <si>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</si>
  <si>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</si>
  <si>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</si>
  <si>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</si>
  <si>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</si>
  <si>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</si>
  <si>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</si>
  <si>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</si>
  <si>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</si>
  <si>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</si>
  <si>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</si>
  <si>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</si>
  <si>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</si>
  <si>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</si>
  <si>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</si>
  <si>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</si>
  <si>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</si>
  <si>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</si>
  <si>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</si>
  <si>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</si>
  <si>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</si>
  <si>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</si>
  <si>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</si>
  <si>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</si>
  <si>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</si>
  <si>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</si>
  <si>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</si>
  <si>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</si>
  <si>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</si>
  <si>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</si>
  <si>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</si>
  <si>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</si>
  <si>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</si>
  <si>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</si>
  <si>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</si>
  <si>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</si>
  <si>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</si>
  <si>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</si>
  <si>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</si>
  <si>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</si>
  <si>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</si>
  <si>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</si>
  <si>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</si>
  <si>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</si>
  <si>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</si>
  <si>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</si>
  <si>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</si>
  <si>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</si>
  <si>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</si>
  <si>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</si>
  <si>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</si>
  <si>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</si>
  <si>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</si>
  <si>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</si>
  <si>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</si>
  <si>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</si>
  <si>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</si>
  <si>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</si>
  <si>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</si>
  <si>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</si>
  <si>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</si>
  <si>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</si>
  <si>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</si>
  <si>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</si>
  <si>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</si>
  <si>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</si>
  <si>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</si>
  <si>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</si>
  <si>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</si>
  <si>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</si>
  <si>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</si>
  <si>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</si>
  <si>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</si>
  <si>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</si>
  <si>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</si>
  <si>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</si>
  <si>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</si>
  <si>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</si>
  <si>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</si>
  <si>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</si>
  <si>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</si>
  <si>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</si>
  <si>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</si>
  <si>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</si>
  <si>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</si>
  <si>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</si>
  <si>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</si>
  <si>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</si>
  <si>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</si>
  <si>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</si>
  <si>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</si>
  <si>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</si>
  <si>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</si>
  <si>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</si>
  <si>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</si>
  <si>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</si>
  <si>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</si>
  <si>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</si>
  <si>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</si>
  <si>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</si>
  <si>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</si>
  <si>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</si>
  <si>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</si>
  <si>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</si>
  <si>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</si>
  <si>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</si>
  <si>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</si>
  <si>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</si>
  <si>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</si>
  <si>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</si>
  <si>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</si>
  <si>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</si>
  <si>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</si>
  <si>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</si>
  <si>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</si>
  <si>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</si>
  <si>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</si>
  <si>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t>
  </si>
  <si>
    <t>Other</t>
  </si>
  <si>
    <t>NZ</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</si>
  <si>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</si>
  <si>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</si>
  <si>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</si>
  <si>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</si>
  <si>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</si>
  <si>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</si>
  <si>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</si>
  <si>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</si>
  <si>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</si>
  <si>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</si>
  <si>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</si>
  <si>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</si>
  <si>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</si>
  <si>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</si>
  <si>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</si>
  <si>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</si>
  <si>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Statistical Overview</t>
  </si>
  <si>
    <t>Count of Employees</t>
  </si>
  <si>
    <t>Average Salary</t>
  </si>
  <si>
    <t>Average Age</t>
  </si>
  <si>
    <t>Female Ratio %</t>
  </si>
  <si>
    <t>Average Tenure (years)</t>
  </si>
  <si>
    <t>KPI</t>
  </si>
  <si>
    <t>Values</t>
  </si>
  <si>
    <t>Male Ratio %</t>
  </si>
  <si>
    <t>Ratio of 90K &gt; Salary</t>
  </si>
  <si>
    <t>Employee Information</t>
  </si>
  <si>
    <t xml:space="preserve">
Selection
</t>
  </si>
  <si>
    <t>Tenure (Year)</t>
  </si>
  <si>
    <t>Tenure (Years)</t>
  </si>
  <si>
    <t xml:space="preserve">Name </t>
  </si>
  <si>
    <t>Total EMP 
in same Department</t>
  </si>
  <si>
    <t>Column Labels</t>
  </si>
  <si>
    <t>Grand Total</t>
  </si>
  <si>
    <t>Average of Age</t>
  </si>
  <si>
    <t>Average of Tenure (Years)</t>
  </si>
  <si>
    <t>Average of Salary</t>
  </si>
  <si>
    <t>Count of Name</t>
  </si>
  <si>
    <t>YOJ</t>
  </si>
  <si>
    <t>Incremented Salary</t>
  </si>
  <si>
    <t>Row Labels</t>
  </si>
  <si>
    <t>2020</t>
  </si>
  <si>
    <t>Qtr2</t>
  </si>
  <si>
    <t>Qtr3</t>
  </si>
  <si>
    <t>Qtr4</t>
  </si>
  <si>
    <t>2021</t>
  </si>
  <si>
    <t>Qtr1</t>
  </si>
  <si>
    <t>2022</t>
  </si>
  <si>
    <t>2023</t>
  </si>
  <si>
    <t>Count of EMP</t>
  </si>
  <si>
    <t>Running Total</t>
  </si>
  <si>
    <t>Sequence</t>
  </si>
  <si>
    <t>Mon-Year</t>
  </si>
  <si>
    <t>AVERAGE SALARY</t>
  </si>
  <si>
    <t>AVERAGE AGE</t>
  </si>
  <si>
    <t>FEMALE EMP %</t>
  </si>
  <si>
    <t>MALE EMP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</si>
</sst>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7" formatCode="0.0"/>
    <numFmt numFmtId="172" formatCode="0.0%"/>
    <numFmt numFmtId="173" formatCode="[$$-409]#,##0.00"/>
    <numFmt numFmtId="174" formatCode="[$$-409]#,##0"/>
    <numFmt numFmtId="176" formatCode="[$$-409]#,##0.0"/>
  </numFmts>
  <fonts count="7"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1"/>
      <color theme="1"/>
      <name val="Comic Sans MS"/>
      <family val="4"/>
    </font>
    <font>
      <b/>
      <sz val="20"/>
      <color theme="1"/>
      <name val="Cambria"/>
      <family val="1"/>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bgColor theme="9"/>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39997558519241921"/>
        <bgColor indexed="64"/>
      </patternFill>
    </fill>
  </fills>
  <borders count="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5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NumberFormat="1"/>
    <xf numFmtId="0" fontId="0" fillId="6" borderId="2" xfId="0" applyFill="1" applyBorder="1" applyAlignment="1">
      <alignment horizontal="center" vertical="center"/>
    </xf>
    <xf numFmtId="0" fontId="0" fillId="7" borderId="2" xfId="0" applyFill="1" applyBorder="1" applyAlignment="1">
      <alignment horizontal="center" vertical="center"/>
    </xf>
    <xf numFmtId="2" fontId="0" fillId="0" borderId="2" xfId="0" applyNumberFormat="1" applyFill="1" applyBorder="1" applyAlignment="1">
      <alignment horizontal="center" vertical="center"/>
    </xf>
    <xf numFmtId="167" fontId="0" fillId="0" borderId="2" xfId="0" applyNumberFormat="1" applyFill="1" applyBorder="1" applyAlignment="1">
      <alignment horizontal="center" vertical="center"/>
    </xf>
    <xf numFmtId="0" fontId="0" fillId="8" borderId="2" xfId="0" applyFill="1" applyBorder="1" applyAlignment="1">
      <alignment horizontal="center" vertical="center"/>
    </xf>
    <xf numFmtId="9" fontId="0" fillId="0" borderId="0" xfId="1" applyFont="1"/>
    <xf numFmtId="0" fontId="0" fillId="0" borderId="0" xfId="0" applyAlignment="1">
      <alignment horizontal="center" vertical="center"/>
    </xf>
    <xf numFmtId="0" fontId="0" fillId="9" borderId="1" xfId="0" applyFill="1" applyBorder="1"/>
    <xf numFmtId="0" fontId="4" fillId="9" borderId="1" xfId="0" applyFont="1" applyFill="1" applyBorder="1" applyAlignment="1"/>
    <xf numFmtId="0" fontId="0" fillId="9" borderId="1" xfId="0" applyFill="1" applyBorder="1" applyAlignment="1"/>
    <xf numFmtId="0" fontId="0" fillId="0" borderId="0" xfId="0" applyAlignment="1"/>
    <xf numFmtId="2" fontId="0" fillId="0" borderId="0" xfId="0" applyNumberFormat="1" applyAlignment="1">
      <alignment horizontal="center" vertical="center"/>
    </xf>
    <xf numFmtId="0" fontId="0" fillId="9" borderId="2" xfId="0" applyFill="1" applyBorder="1" applyAlignment="1">
      <alignment horizontal="center" vertical="center"/>
    </xf>
    <xf numFmtId="0" fontId="0" fillId="0" borderId="2" xfId="0" applyBorder="1" applyAlignment="1">
      <alignment horizontal="center" vertical="center"/>
    </xf>
    <xf numFmtId="2" fontId="0" fillId="0" borderId="2" xfId="0" applyNumberFormat="1" applyBorder="1" applyAlignment="1">
      <alignment horizontal="center" vertical="center"/>
    </xf>
    <xf numFmtId="10" fontId="0" fillId="0" borderId="2" xfId="1" applyNumberFormat="1" applyFont="1" applyBorder="1" applyAlignment="1">
      <alignment horizontal="center" vertical="center"/>
    </xf>
    <xf numFmtId="0" fontId="0" fillId="9" borderId="0" xfId="0" applyFill="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9" borderId="0" xfId="0" applyFill="1" applyBorder="1" applyAlignment="1">
      <alignment horizontal="center" vertical="center"/>
    </xf>
    <xf numFmtId="0" fontId="3" fillId="4" borderId="2" xfId="0" applyFont="1" applyFill="1" applyBorder="1" applyAlignment="1">
      <alignment horizontal="center" vertical="center"/>
    </xf>
    <xf numFmtId="0" fontId="0" fillId="0" borderId="0" xfId="0" applyNumberFormat="1" applyAlignment="1">
      <alignment horizontal="center" vertical="center"/>
    </xf>
    <xf numFmtId="14" fontId="0" fillId="0" borderId="0" xfId="0" applyNumberFormat="1" applyAlignment="1">
      <alignment horizontal="center" vertical="center"/>
    </xf>
    <xf numFmtId="0" fontId="3" fillId="4" borderId="3" xfId="0" applyFont="1" applyFill="1" applyBorder="1" applyAlignment="1">
      <alignment horizontal="center" vertical="center"/>
    </xf>
    <xf numFmtId="0" fontId="0" fillId="10" borderId="2" xfId="0" applyFill="1" applyBorder="1" applyAlignment="1">
      <alignment horizontal="center" vertical="center" wrapText="1"/>
    </xf>
    <xf numFmtId="0" fontId="0" fillId="10" borderId="2" xfId="0" applyFill="1" applyBorder="1" applyAlignment="1">
      <alignment horizontal="center" vertical="center"/>
    </xf>
    <xf numFmtId="0" fontId="0" fillId="0" borderId="0" xfId="0" pivotButton="1"/>
    <xf numFmtId="0" fontId="0" fillId="0" borderId="0" xfId="0" applyAlignment="1">
      <alignment horizontal="left"/>
    </xf>
    <xf numFmtId="173" fontId="0" fillId="0" borderId="0" xfId="0" applyNumberFormat="1" applyAlignment="1">
      <alignment horizontal="center" vertical="center"/>
    </xf>
    <xf numFmtId="174" fontId="0" fillId="0" borderId="0" xfId="0" applyNumberFormat="1" applyAlignment="1">
      <alignment horizontal="center" vertical="center"/>
    </xf>
    <xf numFmtId="0" fontId="0" fillId="0" borderId="0" xfId="0" applyAlignment="1">
      <alignment horizontal="left" indent="1"/>
    </xf>
    <xf numFmtId="17" fontId="0" fillId="0" borderId="0" xfId="0" applyNumberFormat="1"/>
    <xf numFmtId="0" fontId="4" fillId="10" borderId="0" xfId="0" applyFont="1" applyFill="1" applyAlignment="1">
      <alignment horizontal="center" vertical="center"/>
    </xf>
    <xf numFmtId="0" fontId="5" fillId="10" borderId="2" xfId="0" applyFont="1" applyFill="1" applyBorder="1" applyAlignment="1">
      <alignment horizontal="center" vertical="center"/>
    </xf>
    <xf numFmtId="0" fontId="5" fillId="8" borderId="2" xfId="0" applyFont="1" applyFill="1" applyBorder="1" applyAlignment="1">
      <alignment horizontal="center" vertical="center"/>
    </xf>
    <xf numFmtId="9" fontId="5" fillId="10" borderId="2" xfId="1" applyFont="1" applyFill="1" applyBorder="1" applyAlignment="1">
      <alignment horizontal="center" vertical="center"/>
    </xf>
    <xf numFmtId="176" fontId="6" fillId="11" borderId="2" xfId="0" applyNumberFormat="1" applyFont="1" applyFill="1" applyBorder="1" applyAlignment="1">
      <alignment horizontal="center" vertical="center"/>
    </xf>
    <xf numFmtId="167" fontId="6" fillId="11" borderId="2" xfId="0" applyNumberFormat="1" applyFont="1" applyFill="1" applyBorder="1" applyAlignment="1">
      <alignment horizontal="center" vertical="center"/>
    </xf>
    <xf numFmtId="172" fontId="6" fillId="11" borderId="2" xfId="1" applyNumberFormat="1" applyFont="1" applyFill="1" applyBorder="1" applyAlignment="1">
      <alignment horizontal="center" vertical="center"/>
    </xf>
    <xf numFmtId="176" fontId="6" fillId="12" borderId="2" xfId="0" applyNumberFormat="1" applyFont="1" applyFill="1" applyBorder="1" applyAlignment="1">
      <alignment horizontal="center" vertical="center"/>
    </xf>
    <xf numFmtId="167" fontId="6" fillId="12" borderId="2" xfId="0" applyNumberFormat="1" applyFont="1" applyFill="1" applyBorder="1" applyAlignment="1">
      <alignment horizontal="center" vertical="center"/>
    </xf>
    <xf numFmtId="172" fontId="6" fillId="12" borderId="2" xfId="1" applyNumberFormat="1" applyFont="1" applyFill="1" applyBorder="1" applyAlignment="1">
      <alignment horizontal="center" vertical="center"/>
    </xf>
    <xf numFmtId="0" fontId="0" fillId="8" borderId="0" xfId="0" applyFill="1"/>
    <xf numFmtId="0" fontId="0" fillId="8" borderId="0" xfId="0" applyFill="1" applyAlignment="1">
      <alignment horizontal="left"/>
    </xf>
    <xf numFmtId="0" fontId="0" fillId="8" borderId="0" xfId="0" applyNumberFormat="1" applyFill="1"/>
  </cellXfs>
  <cellStyles count="2">
    <cellStyle name="Normal" xfId="0" builtinId="0"/>
    <cellStyle name="Percent" xfId="1" builtinId="5"/>
  </cellStyles>
  <dxfs count="21">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74" formatCode="[$$-409]#,##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74" formatCode="[$$-409]#,##0"/>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dxf>
    <dxf>
      <alignment vertical="center"/>
    </dxf>
    <dxf>
      <numFmt numFmtId="173" formatCode="[$$-409]#,##0.00"/>
    </dxf>
    <dxf>
      <numFmt numFmtId="2" formatCode="0.00"/>
    </dxf>
    <dxf>
      <numFmt numFmtId="20" formatCode="dd/mmm/yy"/>
    </dxf>
  </dxfs>
  <tableStyles count="0" defaultTableStyle="TableStyleMedium2" defaultPivotStyle="PivotStyleLight16"/>
  <colors>
    <mruColors>
      <color rgb="FF081A08"/>
      <color rgb="FF010301"/>
      <color rgb="FF003300"/>
      <color rgb="FF00FFCC"/>
      <color rgb="FF3333FF"/>
      <color rgb="FF13EDC9"/>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[blank-data-file.xlsx]Trend!PivotTable5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Employee</a:t>
            </a:r>
            <a:r>
              <a:rPr lang="en-IN" baseline="0"/>
              <a:t> Count by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Trend!$B$1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Trend!$A$2:$A$19</c:f>
              <c:multiLvlStrCache>
                <c:ptCount val="13"/>
                <c:lvl>
                  <c:pt idx="0">
                    <c:v>Qtr2</c:v>
                  </c:pt>
                  <c:pt idx="1">
                    <c:v>Qtr3</c:v>
                  </c:pt>
                  <c:pt idx="2">
                    <c:v>Qtr4</c:v>
                  </c:pt>
                  <c:pt idx="3">
                    <c:v>Qtr1</c:v>
                  </c:pt>
                  <c:pt idx="4">
                    <c:v>Qtr2</c:v>
                  </c:pt>
                  <c:pt idx="5">
                    <c:v>Qtr3</c:v>
                  </c:pt>
                  <c:pt idx="6">
                    <c:v>Qtr4</c:v>
                  </c:pt>
                  <c:pt idx="7">
                    <c:v>Qtr1</c:v>
                  </c:pt>
                  <c:pt idx="8">
                    <c:v>Qtr2</c:v>
                  </c:pt>
                  <c:pt idx="9">
                    <c:v>Qtr3</c:v>
                  </c:pt>
                  <c:pt idx="10">
                    <c:v>Qtr4</c:v>
                  </c:pt>
                  <c:pt idx="11">
                    <c:v>Qtr1</c:v>
                  </c:pt>
                  <c:pt idx="12">
                    <c:v>Qtr2</c:v>
                  </c:pt>
                </c:lvl>
                <c:lvl>
                  <c:pt idx="0">
                    <c:v>2020</c:v>
                  </c:pt>
                  <c:pt idx="3">
                    <c:v>2021</c:v>
                  </c:pt>
                  <c:pt idx="7">
                    <c:v>2022</c:v>
                  </c:pt>
                  <c:pt idx="11">
                    <c:v>2023</c:v>
                  </c:pt>
                </c:lvl>
              </c:multiLvlStrCache>
            </c:multiLvlStrRef>
          </c:cat>
          <c:val>
            <c:numRef>
              <c:f>Trend!$B$2:$B$19</c:f>
              <c:numCache>
                <c:formatCode>General</c:formatCode>
                <c:ptCount val="13"/>
                <c:pt idx="0">
                  <c:v>4</c:v>
                </c:pt>
                <c:pt idx="1">
                  <c:v>14</c:v>
                </c:pt>
                <c:pt idx="2">
                  <c:v>19</c:v>
                </c:pt>
                <c:pt idx="3">
                  <c:v>19</c:v>
                </c:pt>
                <c:pt idx="4">
                  <c:v>21</c:v>
                </c:pt>
                <c:pt idx="5">
                  <c:v>28</c:v>
                </c:pt>
                <c:pt idx="6">
                  <c:v>14</c:v>
                </c:pt>
                <c:pt idx="7">
                  <c:v>22</c:v>
                </c:pt>
                <c:pt idx="8">
                  <c:v>25</c:v>
                </c:pt>
                <c:pt idx="9">
                  <c:v>12</c:v>
                </c:pt>
                <c:pt idx="10">
                  <c:v>3</c:v>
                </c:pt>
                <c:pt idx="11">
                  <c:v>1</c:v>
                </c:pt>
                <c:pt idx="12">
                  <c:v>1</c:v>
                </c:pt>
              </c:numCache>
            </c:numRef>
          </c:val>
          <c:smooth val="0"/>
          <c:extLst>
            <c:ext xmlns:c16="http://schemas.microsoft.com/office/drawing/2014/chart" uri="{C3380CC4-5D6E-409C-BE32-E72D297353CC}">
              <c16:uniqueId val="{00000000-844A-4F4A-8C64-038CA1D45ECD}"/>
            </c:ext>
          </c:extLst>
        </c:ser>
        <c:dLbls>
          <c:showLegendKey val="0"/>
          <c:showVal val="0"/>
          <c:showCatName val="0"/>
          <c:showSerName val="0"/>
          <c:showPercent val="0"/>
          <c:showBubbleSize val="0"/>
        </c:dLbls>
        <c:marker val="1"/>
        <c:smooth val="0"/>
        <c:axId val="260611600"/>
        <c:axId val="266665568"/>
      </c:lineChart>
      <c:catAx>
        <c:axId val="26061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665568"/>
        <c:crosses val="autoZero"/>
        <c:auto val="1"/>
        <c:lblAlgn val="ctr"/>
        <c:lblOffset val="100"/>
        <c:noMultiLvlLbl val="0"/>
      </c:catAx>
      <c:valAx>
        <c:axId val="266665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61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Trend!$D$22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Trend!$B$23:$B$58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Trend!$D$23:$D$58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8B8B-4C69-918D-623D540A250B}"/>
            </c:ext>
          </c:extLst>
        </c:ser>
        <c:dLbls>
          <c:showLegendKey val="0"/>
          <c:showVal val="0"/>
          <c:showCatName val="0"/>
          <c:showSerName val="0"/>
          <c:showPercent val="0"/>
          <c:showBubbleSize val="0"/>
        </c:dLbls>
        <c:marker val="1"/>
        <c:smooth val="0"/>
        <c:axId val="264049648"/>
        <c:axId val="432857424"/>
      </c:lineChart>
      <c:dateAx>
        <c:axId val="26404964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857424"/>
        <c:crosses val="autoZero"/>
        <c:auto val="1"/>
        <c:lblOffset val="100"/>
        <c:baseTimeUnit val="months"/>
      </c:dateAx>
      <c:valAx>
        <c:axId val="43285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0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[blank-data-file.xlsx]Sheet10!PivotTable6</c:name>
    <c:fmtId val="27"/>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Total Head Count by Department</a:t>
            </a:r>
          </a:p>
        </c:rich>
      </c:tx>
      <c:layout>
        <c:manualLayout>
          <c:xMode val="edge"/>
          <c:yMode val="edge"/>
          <c:x val="0.20510411198600176"/>
          <c:y val="2.1106736657917763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accent6">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solidFill>
              <a:schemeClr val="accent6">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accent6">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6">
                <a:lumMod val="60000"/>
                <a:lumOff val="40000"/>
              </a:schemeClr>
            </a:solidFill>
            <a:ln>
              <a:solidFill>
                <a:schemeClr val="accent6">
                  <a:lumMod val="20000"/>
                  <a:lumOff val="80000"/>
                </a:schemeClr>
              </a:solidFill>
            </a:ln>
            <a:effectLst/>
          </c:spPr>
          <c:invertIfNegative val="0"/>
          <c:cat>
            <c:strRef>
              <c:f>Sheet10!$A$4:$A$9</c:f>
              <c:strCache>
                <c:ptCount val="5"/>
                <c:pt idx="0">
                  <c:v>HR</c:v>
                </c:pt>
                <c:pt idx="1">
                  <c:v>Sales</c:v>
                </c:pt>
                <c:pt idx="2">
                  <c:v>Finance</c:v>
                </c:pt>
                <c:pt idx="3">
                  <c:v>Website</c:v>
                </c:pt>
                <c:pt idx="4">
                  <c:v>Procurement</c:v>
                </c:pt>
              </c:strCache>
            </c:strRef>
          </c:cat>
          <c:val>
            <c:numRef>
              <c:f>Sheet10!$B$4:$B$9</c:f>
              <c:numCache>
                <c:formatCode>General</c:formatCode>
                <c:ptCount val="5"/>
                <c:pt idx="0">
                  <c:v>4</c:v>
                </c:pt>
                <c:pt idx="1">
                  <c:v>14</c:v>
                </c:pt>
                <c:pt idx="2">
                  <c:v>19</c:v>
                </c:pt>
                <c:pt idx="3">
                  <c:v>27</c:v>
                </c:pt>
                <c:pt idx="4">
                  <c:v>28</c:v>
                </c:pt>
              </c:numCache>
            </c:numRef>
          </c:val>
          <c:extLst>
            <c:ext xmlns:c16="http://schemas.microsoft.com/office/drawing/2014/chart" uri="{C3380CC4-5D6E-409C-BE32-E72D297353CC}">
              <c16:uniqueId val="{00000000-1A41-4F78-BB5A-7A7F79973A87}"/>
            </c:ext>
          </c:extLst>
        </c:ser>
        <c:dLbls>
          <c:showLegendKey val="0"/>
          <c:showVal val="0"/>
          <c:showCatName val="0"/>
          <c:showSerName val="0"/>
          <c:showPercent val="0"/>
          <c:showBubbleSize val="0"/>
        </c:dLbls>
        <c:gapWidth val="182"/>
        <c:axId val="1828732895"/>
        <c:axId val="514620400"/>
      </c:barChart>
      <c:catAx>
        <c:axId val="1828732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4620400"/>
        <c:crosses val="autoZero"/>
        <c:auto val="1"/>
        <c:lblAlgn val="ctr"/>
        <c:lblOffset val="100"/>
        <c:noMultiLvlLbl val="0"/>
      </c:catAx>
      <c:valAx>
        <c:axId val="514620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873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81A0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[blank-data-file.xlsx]Sheet10!PivotTable7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Total</a:t>
            </a:r>
            <a:r>
              <a:rPr lang="en-US" baseline="0">
                <a:solidFill>
                  <a:schemeClr val="bg1"/>
                </a:solidFill>
              </a:rPr>
              <a:t> Head Count by Department</a:t>
            </a:r>
            <a:endParaRPr lang="en-US">
              <a:solidFill>
                <a:schemeClr val="bg1"/>
              </a:solidFill>
            </a:endParaRPr>
          </a:p>
        </c:rich>
      </c:tx>
      <c:layout>
        <c:manualLayout>
          <c:xMode val="edge"/>
          <c:yMode val="edge"/>
          <c:x val="0.15986111111111109"/>
          <c:y val="2.5736366287547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solidFill>
              <a:schemeClr val="accent1">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60000"/>
              <a:lumOff val="40000"/>
            </a:schemeClr>
          </a:solidFill>
          <a:ln>
            <a:solidFill>
              <a:schemeClr val="accent1">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solidFill>
              <a:schemeClr val="accent1">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Sheet10!$F$3</c:f>
              <c:strCache>
                <c:ptCount val="1"/>
                <c:pt idx="0">
                  <c:v>Total</c:v>
                </c:pt>
              </c:strCache>
            </c:strRef>
          </c:tx>
          <c:spPr>
            <a:solidFill>
              <a:schemeClr val="accent5">
                <a:lumMod val="60000"/>
                <a:lumOff val="40000"/>
              </a:schemeClr>
            </a:solidFill>
            <a:ln>
              <a:solidFill>
                <a:schemeClr val="accent1">
                  <a:lumMod val="20000"/>
                  <a:lumOff val="80000"/>
                </a:schemeClr>
              </a:solidFill>
            </a:ln>
            <a:effectLst/>
          </c:spPr>
          <c:invertIfNegative val="0"/>
          <c:cat>
            <c:strRef>
              <c:f>Sheet10!$E$4:$E$9</c:f>
              <c:strCache>
                <c:ptCount val="5"/>
                <c:pt idx="0">
                  <c:v>HR</c:v>
                </c:pt>
                <c:pt idx="1">
                  <c:v>Sales</c:v>
                </c:pt>
                <c:pt idx="2">
                  <c:v>Finance</c:v>
                </c:pt>
                <c:pt idx="3">
                  <c:v>Procurement</c:v>
                </c:pt>
                <c:pt idx="4">
                  <c:v>Website</c:v>
                </c:pt>
              </c:strCache>
            </c:strRef>
          </c:cat>
          <c:val>
            <c:numRef>
              <c:f>Sheet10!$F$4:$F$9</c:f>
              <c:numCache>
                <c:formatCode>General</c:formatCode>
                <c:ptCount val="5"/>
                <c:pt idx="0">
                  <c:v>4</c:v>
                </c:pt>
                <c:pt idx="1">
                  <c:v>14</c:v>
                </c:pt>
                <c:pt idx="2">
                  <c:v>19</c:v>
                </c:pt>
                <c:pt idx="3">
                  <c:v>27</c:v>
                </c:pt>
                <c:pt idx="4">
                  <c:v>27</c:v>
                </c:pt>
              </c:numCache>
            </c:numRef>
          </c:val>
          <c:extLst>
            <c:ext xmlns:c16="http://schemas.microsoft.com/office/drawing/2014/chart" uri="{C3380CC4-5D6E-409C-BE32-E72D297353CC}">
              <c16:uniqueId val="{00000000-3D0B-46F4-854B-37D5F5B4187D}"/>
            </c:ext>
          </c:extLst>
        </c:ser>
        <c:dLbls>
          <c:showLegendKey val="0"/>
          <c:showVal val="0"/>
          <c:showCatName val="0"/>
          <c:showSerName val="0"/>
          <c:showPercent val="0"/>
          <c:showBubbleSize val="0"/>
        </c:dLbls>
        <c:gapWidth val="182"/>
        <c:axId val="1860372255"/>
        <c:axId val="514606960"/>
      </c:barChart>
      <c:catAx>
        <c:axId val="1860372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4606960"/>
        <c:crosses val="autoZero"/>
        <c:auto val="1"/>
        <c:lblAlgn val="ctr"/>
        <c:lblOffset val="100"/>
        <c:noMultiLvlLbl val="0"/>
      </c:catAx>
      <c:valAx>
        <c:axId val="514606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6037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Distribution</cx:v>
        </cx:txData>
      </cx:tx>
      <cx:txPr>
        <a:bodyPr spcFirstLastPara="1" vertOverflow="ellipsis" horzOverflow="overflow" wrap="square" lIns="0" tIns="0" rIns="0" bIns="0" anchor="ctr" anchorCtr="1"/>
        <a:lstStyle/>
        <a:p>
          <a:pPr algn="ctr" rtl="0">
            <a:defRPr/>
          </a:pPr>
          <a:r>
            <a:rPr lang="en-US" sz="1400" b="0" i="0" u="none" strike="noStrike" cap="none" spc="20" baseline="0">
              <a:solidFill>
                <a:sysClr val="windowText" lastClr="000000">
                  <a:lumMod val="50000"/>
                  <a:lumOff val="50000"/>
                </a:sysClr>
              </a:solidFill>
              <a:latin typeface="Calibri" panose="020F0502020204030204"/>
            </a:rPr>
            <a:t>Salary Distribution</a:t>
          </a:r>
        </a:p>
      </cx:txPr>
    </cx:title>
    <cx:plotArea>
      <cx:plotAreaRegion>
        <cx:series layoutId="clusteredColumn" uniqueId="{5ABE04E2-5119-43C6-B644-BD6BE10DEF25}">
          <cx:tx>
            <cx:txData>
              <cx:f>_xlchart.v1.1</cx:f>
              <cx:v>Salary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Distribution</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Distribution</a:t>
          </a:r>
        </a:p>
      </cx:txPr>
    </cx:title>
    <cx:plotArea>
      <cx:plotAreaRegion>
        <cx:series layoutId="boxWhisker" uniqueId="{D8345F73-DEF6-4F70-A422-1BB08096F2EE}">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1150620</xdr:colOff>
      <xdr:row>1</xdr:row>
      <xdr:rowOff>175261</xdr:rowOff>
    </xdr:from>
    <xdr:to>
      <xdr:col>7</xdr:col>
      <xdr:colOff>830580</xdr:colOff>
      <xdr:row>9</xdr:row>
      <xdr:rowOff>144781</xdr:rowOff>
    </xdr:to>
    <mc:AlternateContent xmlns:mc="http://schemas.openxmlformats.org/markup-compatibility/2006">
      <mc:Choice xmlns:a14="http://schemas.microsoft.com/office/drawing/2010/main" Requires="a14">
        <xdr:graphicFrame macro="">
          <xdr:nvGraphicFramePr>
            <xdr:cNvPr id="2" name="YOJ">
              <a:extLst>
                <a:ext uri="{FF2B5EF4-FFF2-40B4-BE49-F238E27FC236}">
                  <a16:creationId xmlns:a16="http://schemas.microsoft.com/office/drawing/2014/main" id="{8D963FF0-67FE-CDD0-3D4A-D52E36021964}"/>
                </a:ext>
              </a:extLst>
            </xdr:cNvPr>
            <xdr:cNvGraphicFramePr/>
          </xdr:nvGraphicFramePr>
          <xdr:xfrm>
            <a:off x="0" y="0"/>
            <a:ext cx="0" cy="0"/>
          </xdr:xfrm>
          <a:graphic>
            <a:graphicData uri="http://schemas.microsoft.com/office/drawing/2010/slicer">
              <sle:slicer xmlns:sle="http://schemas.microsoft.com/office/drawing/2010/slicer" name="YOJ"/>
            </a:graphicData>
          </a:graphic>
        </xdr:graphicFrame>
      </mc:Choice>
      <mc:Fallback>
        <xdr:sp macro="" textlink="">
          <xdr:nvSpPr>
            <xdr:cNvPr id="0" name=""/>
            <xdr:cNvSpPr>
              <a:spLocks noTextEdit="1"/>
            </xdr:cNvSpPr>
          </xdr:nvSpPr>
          <xdr:spPr>
            <a:xfrm>
              <a:off x="6515100" y="358141"/>
              <a:ext cx="125730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137160</xdr:colOff>
      <xdr:row>2</xdr:row>
      <xdr:rowOff>1</xdr:rowOff>
    </xdr:from>
    <xdr:to>
      <xdr:col>6</xdr:col>
      <xdr:colOff>922020</xdr:colOff>
      <xdr:row>7</xdr:row>
      <xdr:rowOff>38100</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26E3F8C6-F6BD-9E65-10B4-01AAD0D9F21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762500" y="365761"/>
              <a:ext cx="152400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1135380</xdr:colOff>
      <xdr:row>1</xdr:row>
      <xdr:rowOff>160021</xdr:rowOff>
    </xdr:from>
    <xdr:to>
      <xdr:col>8</xdr:col>
      <xdr:colOff>1074420</xdr:colOff>
      <xdr:row>11</xdr:row>
      <xdr:rowOff>45721</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5BD24433-C345-3C5F-7331-9B1A4BF8A50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077200" y="342901"/>
              <a:ext cx="151638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60960</xdr:rowOff>
    </xdr:from>
    <xdr:to>
      <xdr:col>6</xdr:col>
      <xdr:colOff>548640</xdr:colOff>
      <xdr:row>15</xdr:row>
      <xdr:rowOff>60960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3349742-6F64-4154-A3B7-CD3C3A784D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60960"/>
              <a:ext cx="46101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121920</xdr:colOff>
      <xdr:row>0</xdr:row>
      <xdr:rowOff>0</xdr:rowOff>
    </xdr:from>
    <xdr:to>
      <xdr:col>15</xdr:col>
      <xdr:colOff>426720</xdr:colOff>
      <xdr:row>15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F7F1232-E380-448E-A173-2BE90CA98C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02580" y="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579120</xdr:colOff>
      <xdr:row>0</xdr:row>
      <xdr:rowOff>45720</xdr:rowOff>
    </xdr:from>
    <xdr:to>
      <xdr:col>15</xdr:col>
      <xdr:colOff>114300</xdr:colOff>
      <xdr:row>15</xdr:row>
      <xdr:rowOff>45720</xdr:rowOff>
    </xdr:to>
    <xdr:graphicFrame macro="">
      <xdr:nvGraphicFramePr>
        <xdr:cNvPr id="2" name="Chart 1">
          <a:extLst>
            <a:ext uri="{FF2B5EF4-FFF2-40B4-BE49-F238E27FC236}">
              <a16:creationId xmlns:a16="http://schemas.microsoft.com/office/drawing/2014/main" id="{7415BBDB-6534-4FBA-824D-83ABD6A80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358140</xdr:colOff>
      <xdr:row>19</xdr:row>
      <xdr:rowOff>179070</xdr:rowOff>
    </xdr:from>
    <xdr:to>
      <xdr:col>16</xdr:col>
      <xdr:colOff>457200</xdr:colOff>
      <xdr:row>37</xdr:row>
      <xdr:rowOff>152400</xdr:rowOff>
    </xdr:to>
    <xdr:graphicFrame macro="">
      <xdr:nvGraphicFramePr>
        <xdr:cNvPr id="3" name="Chart 2">
          <a:extLst>
            <a:ext uri="{FF2B5EF4-FFF2-40B4-BE49-F238E27FC236}">
              <a16:creationId xmlns:a16="http://schemas.microsoft.com/office/drawing/2014/main" id="{8B445624-E0B5-7E77-7BAB-A27A1E7AA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26754</xdr:rowOff>
    </xdr:from>
    <xdr:to>
      <xdr:col>5</xdr:col>
      <xdr:colOff>0</xdr:colOff>
      <xdr:row>8</xdr:row>
      <xdr:rowOff>0</xdr:rowOff>
    </xdr:to>
    <xdr:pic>
      <xdr:nvPicPr>
        <xdr:cNvPr id="5" name="Picture 4">
          <a:extLst>
            <a:ext uri="{FF2B5EF4-FFF2-40B4-BE49-F238E27FC236}">
              <a16:creationId xmlns:a16="http://schemas.microsoft.com/office/drawing/2014/main" id="{882B7420-BE28-F752-AD64-E46416FFC4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6754"/>
          <a:ext cx="5689600" cy="146337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10</xdr:col>
      <xdr:colOff>33866</xdr:colOff>
      <xdr:row>0</xdr:row>
      <xdr:rowOff>0</xdr:rowOff>
    </xdr:from>
    <xdr:to>
      <xdr:col>13</xdr:col>
      <xdr:colOff>1422399</xdr:colOff>
      <xdr:row>8</xdr:row>
      <xdr:rowOff>0</xdr:rowOff>
    </xdr:to>
    <xdr:pic>
      <xdr:nvPicPr>
        <xdr:cNvPr id="9" name="Picture 8">
          <a:extLst>
            <a:ext uri="{FF2B5EF4-FFF2-40B4-BE49-F238E27FC236}">
              <a16:creationId xmlns:a16="http://schemas.microsoft.com/office/drawing/2014/main" id="{FD8A8266-CABB-A0A3-9061-6697C9259C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81066" y="0"/>
          <a:ext cx="5655733" cy="1490133"/>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10</xdr:col>
      <xdr:colOff>0</xdr:colOff>
      <xdr:row>13</xdr:row>
      <xdr:rowOff>185056</xdr:rowOff>
    </xdr:from>
    <xdr:to>
      <xdr:col>14</xdr:col>
      <xdr:colOff>55886</xdr:colOff>
      <xdr:row>31</xdr:row>
      <xdr:rowOff>10885</xdr:rowOff>
    </xdr:to>
    <xdr:graphicFrame macro="">
      <xdr:nvGraphicFramePr>
        <xdr:cNvPr id="10" name="Chart 9">
          <a:extLst>
            <a:ext uri="{FF2B5EF4-FFF2-40B4-BE49-F238E27FC236}">
              <a16:creationId xmlns:a16="http://schemas.microsoft.com/office/drawing/2014/main" id="{6907C0E6-2103-47A0-BAAA-34B7F91F9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13</xdr:row>
      <xdr:rowOff>185056</xdr:rowOff>
    </xdr:from>
    <xdr:to>
      <xdr:col>5</xdr:col>
      <xdr:colOff>0</xdr:colOff>
      <xdr:row>30</xdr:row>
      <xdr:rowOff>185056</xdr:rowOff>
    </xdr:to>
    <xdr:graphicFrame macro="">
      <xdr:nvGraphicFramePr>
        <xdr:cNvPr id="11" name="Chart 10">
          <a:extLst>
            <a:ext uri="{FF2B5EF4-FFF2-40B4-BE49-F238E27FC236}">
              <a16:creationId xmlns:a16="http://schemas.microsoft.com/office/drawing/2014/main" id="{55E1F00B-AC5D-4F4C-906C-A7B253713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0</xdr:row>
      <xdr:rowOff>26754</xdr:rowOff>
    </xdr:from>
    <xdr:to>
      <xdr:col>8</xdr:col>
      <xdr:colOff>0</xdr:colOff>
      <xdr:row>30</xdr:row>
      <xdr:rowOff>185056</xdr:rowOff>
    </xdr:to>
    <xdr:cxnSp macro="">
      <xdr:nvCxnSpPr>
        <xdr:cNvPr id="17" name="Straight Connector 16">
          <a:extLst>
            <a:ext uri="{FF2B5EF4-FFF2-40B4-BE49-F238E27FC236}">
              <a16:creationId xmlns:a16="http://schemas.microsoft.com/office/drawing/2014/main" id="{C676334A-0023-29A0-DD59-D0A635206CAB}"/>
            </a:ext>
          </a:extLst>
        </xdr:cNvPr>
        <xdr:cNvCxnSpPr/>
      </xdr:nvCxnSpPr>
      <xdr:spPr>
        <a:xfrm>
          <a:off x="8142514" y="26754"/>
          <a:ext cx="0" cy="66679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meet" refreshedDate="45130.587794675928" createdVersion="8" refreshedVersion="8" minRefreshableVersion="3" recordCount="183" xr:uid="{F3F1D0BB-C5DD-41D1-919B-BE1FAC5FB860}">
  <cacheSource type="worksheet">
    <worksheetSource name="Table_Final_Staff"/>
  </cacheSource>
  <cacheFields count="10">
    <cacheField name="Name" numFmtId="0">
      <sharedItems/>
    </cacheField>
    <cacheField name="Gender" numFmtId="0">
      <sharedItems count="3">
        <s v="Male"/>
        <s v="Female"/>
        <s v="Other"/>
      </sharedItems>
    </cacheField>
    <cacheField name="Age" numFmtId="0">
      <sharedItems containsSemiMixedTypes="0" containsString="0" containsNumber="1" containsInteger="1" minValue="19" maxValue="46"/>
    </cacheField>
    <cacheField name="Rating" numFmtId="0">
      <sharedItems/>
    </cacheField>
    <cacheField name="Date Joined" numFmtId="14">
      <sharedItems containsSemiMixedTypes="0" containsNonDate="0" containsDate="1" containsString="0" minDate="2020-05-07T00:00:00" maxDate="2023-04-30T00:00:00"/>
    </cacheField>
    <cacheField name="Department" numFmtId="0">
      <sharedItems count="5">
        <s v="Website"/>
        <s v="Procurement"/>
        <s v="HR"/>
        <s v="Finance"/>
        <s v="Sales"/>
      </sharedItems>
    </cacheField>
    <cacheField name="Salary" numFmtId="0">
      <sharedItems containsSemiMixedTypes="0" containsString="0" containsNumber="1" containsInteger="1" minValue="33920" maxValue="119110"/>
    </cacheField>
    <cacheField name="Country" numFmtId="0">
      <sharedItems count="2">
        <s v="IN"/>
        <s v="NZ"/>
      </sharedItems>
    </cacheField>
    <cacheField name="YOJ" numFmtId="0">
      <sharedItems containsSemiMixedTypes="0" containsString="0" containsNumber="1" containsInteger="1" minValue="2020" maxValue="2023" count="4">
        <n v="2020"/>
        <n v="2021"/>
        <n v="2022"/>
        <n v="2023"/>
      </sharedItems>
    </cacheField>
    <cacheField name="Tenure (Year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5941771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meet" refreshedDate="45130.659478125002" backgroundQuery="1" createdVersion="8" refreshedVersion="8" minRefreshableVersion="3" recordCount="0" supportSubquery="1" supportAdvancedDrill="1" xr:uid="{64EE9A40-958C-4722-B8E2-41B3D343A4A4}">
  <cacheSource type="external" connectionId="4"/>
  <cacheFields count="5">
    <cacheField name="[Table_Final_Staff].[Date Joined].[Date Joined]" caption="Date Joined" numFmtId="0" hierarchy="4" level="1">
      <sharedItems containsSemiMixedTypes="0" containsNonDate="0" containsDate="1" containsString="0" minDate="2021-01-08T00:00:00" maxDate="2023-03-01T00:00:00" count="38">
        <d v="2021-01-08T00:00:00"/>
        <d v="2021-01-09T00:00:00"/>
        <d v="2021-01-16T00:00:00"/>
        <d v="2021-01-18T00:00:00"/>
        <d v="2021-01-22T00:00:00"/>
        <d v="2021-01-29T00:00:00"/>
        <d v="2021-02-09T00:00:00"/>
        <d v="2021-02-15T00:00:00"/>
        <d v="2021-02-16T00:00:00"/>
        <d v="2021-02-26T00:00:00"/>
        <d v="2021-03-01T00:00:00"/>
        <d v="2021-03-08T00:00:00"/>
        <d v="2021-03-13T00:00:00"/>
        <d v="2021-03-16T00:00:00"/>
        <d v="2021-03-17T00:00:00"/>
        <d v="2021-03-18T00:00:00"/>
        <d v="2021-03-21T00:00:00"/>
        <d v="2021-03-22T00:00:00"/>
        <d v="2022-01-06T00:00:00"/>
        <d v="2022-01-10T00:00:00"/>
        <d v="2022-01-29T00:00:00"/>
        <d v="2022-02-02T00:00:00"/>
        <d v="2022-02-05T00:00:00"/>
        <d v="2022-02-12T00:00:00"/>
        <d v="2022-02-14T00:00:00"/>
        <d v="2022-02-15T00:00:00"/>
        <d v="2022-02-17T00:00:00"/>
        <d v="2022-02-19T00:00:00"/>
        <d v="2022-02-20T00:00:00"/>
        <d v="2022-02-27T00:00:00"/>
        <d v="2022-02-28T00:00:00"/>
        <d v="2022-03-05T00:00:00"/>
        <d v="2022-03-10T00:00:00"/>
        <d v="2022-03-13T00:00:00"/>
        <d v="2022-03-20T00:00:00"/>
        <d v="2022-03-22T00:00:00"/>
        <d v="2022-03-29T00:00:00"/>
        <d v="2023-02-28T00:00:00"/>
      </sharedItems>
    </cacheField>
    <cacheField name="[Table_Final_Staff].[Date Joined (Month)].[Date Joined (Month)]" caption="Date Joined (Month)" numFmtId="0" hierarchy="13" level="1">
      <sharedItems containsNonDate="0" count="3">
        <s v="Jan"/>
        <s v="Feb"/>
        <s v="Mar"/>
      </sharedItems>
    </cacheField>
    <cacheField name="[Table_Final_Staff].[Date Joined (Quarter)].[Date Joined (Quarter)]" caption="Date Joined (Quarter)" numFmtId="0" hierarchy="12" level="1">
      <sharedItems count="4">
        <s v="Qtr2"/>
        <s v="Qtr3"/>
        <s v="Qtr4"/>
        <s v="Qtr1"/>
      </sharedItems>
    </cacheField>
    <cacheField name="[Table_Final_Staff].[Date Joined (Year)].[Date Joined (Year)]" caption="Date Joined (Year)" numFmtId="0" hierarchy="11" level="1">
      <sharedItems count="4">
        <s v="2020"/>
        <s v="2021"/>
        <s v="2022"/>
        <s v="2023"/>
      </sharedItems>
    </cacheField>
    <cacheField name="[Measures].[Count of Name]" caption="Count of Name" numFmtId="0" hierarchy="17" level="32767"/>
  </cacheFields>
  <cacheHierarchies count="19">
    <cacheHierarchy uniqueName="[Table_Final_Staff].[Name]" caption="Name" attribute="1" defaultMemberUniqueName="[Table_Final_Staff].[Name].[All]" allUniqueName="[Table_Final_Staff].[Name].[All]" dimensionUniqueName="[Table_Final_Staff]" displayFolder="" count="0" memberValueDatatype="130" unbalanced="0"/>
    <cacheHierarchy uniqueName="[Table_Final_Staff].[Gender]" caption="Gender" attribute="1" defaultMemberUniqueName="[Table_Final_Staff].[Gender].[All]" allUniqueName="[Table_Final_Staff].[Gender].[All]" dimensionUniqueName="[Table_Final_Staff]" displayFolder="" count="0" memberValueDatatype="130" unbalanced="0"/>
    <cacheHierarchy uniqueName="[Table_Final_Staff].[Age]" caption="Age" attribute="1" defaultMemberUniqueName="[Table_Final_Staff].[Age].[All]" allUniqueName="[Table_Final_Staff].[Age].[All]" dimensionUniqueName="[Table_Final_Staff]" displayFolder="" count="0" memberValueDatatype="20" unbalanced="0"/>
    <cacheHierarchy uniqueName="[Table_Final_Staff].[Rating]" caption="Rating" attribute="1" defaultMemberUniqueName="[Table_Final_Staff].[Rating].[All]" allUniqueName="[Table_Final_Staff].[Rating].[All]" dimensionUniqueName="[Table_Final_Staff]" displayFolder="" count="0" memberValueDatatype="130" unbalanced="0"/>
    <cacheHierarchy uniqueName="[Table_Final_Staff].[Date Joined]" caption="Date Joined" attribute="1" time="1" defaultMemberUniqueName="[Table_Final_Staff].[Date Joined].[All]" allUniqueName="[Table_Final_Staff].[Date Joined].[All]" dimensionUniqueName="[Table_Final_Staff]" displayFolder="" count="2" memberValueDatatype="7" unbalanced="0">
      <fieldsUsage count="2">
        <fieldUsage x="-1"/>
        <fieldUsage x="0"/>
      </fieldsUsage>
    </cacheHierarchy>
    <cacheHierarchy uniqueName="[Table_Final_Staff].[Department]" caption="Department" attribute="1" defaultMemberUniqueName="[Table_Final_Staff].[Department].[All]" allUniqueName="[Table_Final_Staff].[Department].[All]" dimensionUniqueName="[Table_Final_Staff]" displayFolder="" count="0" memberValueDatatype="130" unbalanced="0"/>
    <cacheHierarchy uniqueName="[Table_Final_Staff].[Salary]" caption="Salary" attribute="1" defaultMemberUniqueName="[Table_Final_Staff].[Salary].[All]" allUniqueName="[Table_Final_Staff].[Salary].[All]" dimensionUniqueName="[Table_Final_Staff]" displayFolder="" count="0" memberValueDatatype="20" unbalanced="0"/>
    <cacheHierarchy uniqueName="[Table_Final_Staff].[Country]" caption="Country" attribute="1" defaultMemberUniqueName="[Table_Final_Staff].[Country].[All]" allUniqueName="[Table_Final_Staff].[Country].[All]" dimensionUniqueName="[Table_Final_Staff]" displayFolder="" count="0" memberValueDatatype="130" unbalanced="0"/>
    <cacheHierarchy uniqueName="[Table_Final_Staff].[YOJ]" caption="YOJ" attribute="1" defaultMemberUniqueName="[Table_Final_Staff].[YOJ].[All]" allUniqueName="[Table_Final_Staff].[YOJ].[All]" dimensionUniqueName="[Table_Final_Staff]" displayFolder="" count="0" memberValueDatatype="20" unbalanced="0"/>
    <cacheHierarchy uniqueName="[Table_Final_Staff].[Tenure (Years)]" caption="Tenure (Years)" attribute="1" defaultMemberUniqueName="[Table_Final_Staff].[Tenure (Years)].[All]" allUniqueName="[Table_Final_Staff].[Tenure (Years)].[All]" dimensionUniqueName="[Table_Final_Staff]" displayFolder="" count="0" memberValueDatatype="20" unbalanced="0"/>
    <cacheHierarchy uniqueName="[Table_Final_Staff].[Incremented Salary]" caption="Incremented Salary" attribute="1" defaultMemberUniqueName="[Table_Final_Staff].[Incremented Salary].[All]" allUniqueName="[Table_Final_Staff].[Incremented Salary].[All]" dimensionUniqueName="[Table_Final_Staff]" displayFolder="" count="0" memberValueDatatype="5" unbalanced="0"/>
    <cacheHierarchy uniqueName="[Table_Final_Staff].[Date Joined (Year)]" caption="Date Joined (Year)" attribute="1" defaultMemberUniqueName="[Table_Final_Staff].[Date Joined (Year)].[All]" allUniqueName="[Table_Final_Staff].[Date Joined (Year)].[All]" dimensionUniqueName="[Table_Final_Staff]" displayFolder="" count="2" memberValueDatatype="130" unbalanced="0">
      <fieldsUsage count="2">
        <fieldUsage x="-1"/>
        <fieldUsage x="3"/>
      </fieldsUsage>
    </cacheHierarchy>
    <cacheHierarchy uniqueName="[Table_Final_Staff].[Date Joined (Quarter)]" caption="Date Joined (Quarter)" attribute="1" defaultMemberUniqueName="[Table_Final_Staff].[Date Joined (Quarter)].[All]" allUniqueName="[Table_Final_Staff].[Date Joined (Quarter)].[All]" dimensionUniqueName="[Table_Final_Staff]" displayFolder="" count="2" memberValueDatatype="130" unbalanced="0">
      <fieldsUsage count="2">
        <fieldUsage x="-1"/>
        <fieldUsage x="2"/>
      </fieldsUsage>
    </cacheHierarchy>
    <cacheHierarchy uniqueName="[Table_Final_Staff].[Date Joined (Month)]" caption="Date Joined (Month)" attribute="1" defaultMemberUniqueName="[Table_Final_Staff].[Date Joined (Month)].[All]" allUniqueName="[Table_Final_Staff].[Date Joined (Month)].[All]" dimensionUniqueName="[Table_Final_Staff]" displayFolder="" count="2" memberValueDatatype="130" unbalanced="0">
      <fieldsUsage count="2">
        <fieldUsage x="-1"/>
        <fieldUsage x="1"/>
      </fieldsUsage>
    </cacheHierarchy>
    <cacheHierarchy uniqueName="[Table_Final_Staff].[Date Joined (Month Index)]" caption="Date Joined (Month Index)" attribute="1" defaultMemberUniqueName="[Table_Final_Staff].[Date Joined (Month Index)].[All]" allUniqueName="[Table_Final_Staff].[Date Joined (Month Index)].[All]" dimensionUniqueName="[Table_Final_Staff]" displayFolder="" count="0" memberValueDatatype="20" unbalanced="0" hidden="1"/>
    <cacheHierarchy uniqueName="[Measures].[__XL_Count Table_Final_Staff]" caption="__XL_Count Table_Final_Staff" measure="1" displayFolder="" measureGroup="Table_Final_Staff" count="0" hidden="1"/>
    <cacheHierarchy uniqueName="[Measures].[__No measures defined]" caption="__No measures defined" measure="1" displayFolder="" count="0" hidden="1"/>
    <cacheHierarchy uniqueName="[Measures].[Count of Name]" caption="Count of Name" measure="1" displayFolder="" measureGroup="Table_Final_Staff" count="0" oneField="1" hidden="1">
      <fieldsUsage count="1">
        <fieldUsage x="4"/>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Final_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_Final_Staff" uniqueName="[Table_Final_Staff]" caption="Table_Final_Staff"/>
  </dimensions>
  <measureGroups count="1">
    <measureGroup name="Table_Final_Staff" caption="Table_Fin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meet" refreshedDate="45131.945075694442" backgroundQuery="1" createdVersion="8" refreshedVersion="8" minRefreshableVersion="3" recordCount="0" supportSubquery="1" supportAdvancedDrill="1" xr:uid="{0006E033-38AF-4387-822B-E91FC98C882C}">
  <cacheSource type="external" connectionId="4"/>
  <cacheFields count="3">
    <cacheField name="[Table_Final_Staff].[Department].[Department]" caption="Department" numFmtId="0" hierarchy="5" level="1">
      <sharedItems count="5">
        <s v="Finance"/>
        <s v="HR"/>
        <s v="Procurement"/>
        <s v="Sales"/>
        <s v="Website"/>
      </sharedItems>
    </cacheField>
    <cacheField name="[Measures].[Count of Name]" caption="Count of Name" numFmtId="0" hierarchy="17" level="32767"/>
    <cacheField name="[Table_Final_Staff].[Country].[Country]" caption="Country" numFmtId="0" hierarchy="7" level="1">
      <sharedItems containsSemiMixedTypes="0" containsNonDate="0" containsString="0"/>
    </cacheField>
  </cacheFields>
  <cacheHierarchies count="19">
    <cacheHierarchy uniqueName="[Table_Final_Staff].[Name]" caption="Name" attribute="1" defaultMemberUniqueName="[Table_Final_Staff].[Name].[All]" allUniqueName="[Table_Final_Staff].[Name].[All]" dimensionUniqueName="[Table_Final_Staff]" displayFolder="" count="0" memberValueDatatype="130" unbalanced="0"/>
    <cacheHierarchy uniqueName="[Table_Final_Staff].[Gender]" caption="Gender" attribute="1" defaultMemberUniqueName="[Table_Final_Staff].[Gender].[All]" allUniqueName="[Table_Final_Staff].[Gender].[All]" dimensionUniqueName="[Table_Final_Staff]" displayFolder="" count="2" memberValueDatatype="130" unbalanced="0"/>
    <cacheHierarchy uniqueName="[Table_Final_Staff].[Age]" caption="Age" attribute="1" defaultMemberUniqueName="[Table_Final_Staff].[Age].[All]" allUniqueName="[Table_Final_Staff].[Age].[All]" dimensionUniqueName="[Table_Final_Staff]" displayFolder="" count="0" memberValueDatatype="20" unbalanced="0"/>
    <cacheHierarchy uniqueName="[Table_Final_Staff].[Rating]" caption="Rating" attribute="1" defaultMemberUniqueName="[Table_Final_Staff].[Rating].[All]" allUniqueName="[Table_Final_Staff].[Rating].[All]" dimensionUniqueName="[Table_Final_Staff]" displayFolder="" count="0" memberValueDatatype="130" unbalanced="0"/>
    <cacheHierarchy uniqueName="[Table_Final_Staff].[Date Joined]" caption="Date Joined" attribute="1" time="1" defaultMemberUniqueName="[Table_Final_Staff].[Date Joined].[All]" allUniqueName="[Table_Final_Staff].[Date Joined].[All]" dimensionUniqueName="[Table_Final_Staff]" displayFolder="" count="0" memberValueDatatype="7" unbalanced="0"/>
    <cacheHierarchy uniqueName="[Table_Final_Staff].[Department]" caption="Department" attribute="1" defaultMemberUniqueName="[Table_Final_Staff].[Department].[All]" allUniqueName="[Table_Final_Staff].[Department].[All]" dimensionUniqueName="[Table_Final_Staff]" displayFolder="" count="2" memberValueDatatype="130" unbalanced="0">
      <fieldsUsage count="2">
        <fieldUsage x="-1"/>
        <fieldUsage x="0"/>
      </fieldsUsage>
    </cacheHierarchy>
    <cacheHierarchy uniqueName="[Table_Final_Staff].[Salary]" caption="Salary" attribute="1" defaultMemberUniqueName="[Table_Final_Staff].[Salary].[All]" allUniqueName="[Table_Final_Staff].[Salary].[All]" dimensionUniqueName="[Table_Final_Staff]" displayFolder="" count="0" memberValueDatatype="20" unbalanced="0"/>
    <cacheHierarchy uniqueName="[Table_Final_Staff].[Country]" caption="Country" attribute="1" defaultMemberUniqueName="[Table_Final_Staff].[Country].[All]" allUniqueName="[Table_Final_Staff].[Country].[All]" dimensionUniqueName="[Table_Final_Staff]" displayFolder="" count="2" memberValueDatatype="130" unbalanced="0">
      <fieldsUsage count="2">
        <fieldUsage x="-1"/>
        <fieldUsage x="2"/>
      </fieldsUsage>
    </cacheHierarchy>
    <cacheHierarchy uniqueName="[Table_Final_Staff].[YOJ]" caption="YOJ" attribute="1" defaultMemberUniqueName="[Table_Final_Staff].[YOJ].[All]" allUniqueName="[Table_Final_Staff].[YOJ].[All]" dimensionUniqueName="[Table_Final_Staff]" displayFolder="" count="0" memberValueDatatype="20" unbalanced="0"/>
    <cacheHierarchy uniqueName="[Table_Final_Staff].[Tenure (Years)]" caption="Tenure (Years)" attribute="1" defaultMemberUniqueName="[Table_Final_Staff].[Tenure (Years)].[All]" allUniqueName="[Table_Final_Staff].[Tenure (Years)].[All]" dimensionUniqueName="[Table_Final_Staff]" displayFolder="" count="0" memberValueDatatype="20" unbalanced="0"/>
    <cacheHierarchy uniqueName="[Table_Final_Staff].[Incremented Salary]" caption="Incremented Salary" attribute="1" defaultMemberUniqueName="[Table_Final_Staff].[Incremented Salary].[All]" allUniqueName="[Table_Final_Staff].[Incremented Salary].[All]" dimensionUniqueName="[Table_Final_Staff]" displayFolder="" count="0" memberValueDatatype="5" unbalanced="0"/>
    <cacheHierarchy uniqueName="[Table_Final_Staff].[Date Joined (Year)]" caption="Date Joined (Year)" attribute="1" defaultMemberUniqueName="[Table_Final_Staff].[Date Joined (Year)].[All]" allUniqueName="[Table_Final_Staff].[Date Joined (Year)].[All]" dimensionUniqueName="[Table_Final_Staff]" displayFolder="" count="0" memberValueDatatype="130" unbalanced="0"/>
    <cacheHierarchy uniqueName="[Table_Final_Staff].[Date Joined (Quarter)]" caption="Date Joined (Quarter)" attribute="1" defaultMemberUniqueName="[Table_Final_Staff].[Date Joined (Quarter)].[All]" allUniqueName="[Table_Final_Staff].[Date Joined (Quarter)].[All]" dimensionUniqueName="[Table_Final_Staff]" displayFolder="" count="0" memberValueDatatype="130" unbalanced="0"/>
    <cacheHierarchy uniqueName="[Table_Final_Staff].[Date Joined (Month)]" caption="Date Joined (Month)" attribute="1" defaultMemberUniqueName="[Table_Final_Staff].[Date Joined (Month)].[All]" allUniqueName="[Table_Final_Staff].[Date Joined (Month)].[All]" dimensionUniqueName="[Table_Final_Staff]" displayFolder="" count="0" memberValueDatatype="130" unbalanced="0"/>
    <cacheHierarchy uniqueName="[Table_Final_Staff].[Date Joined (Month Index)]" caption="Date Joined (Month Index)" attribute="1" defaultMemberUniqueName="[Table_Final_Staff].[Date Joined (Month Index)].[All]" allUniqueName="[Table_Final_Staff].[Date Joined (Month Index)].[All]" dimensionUniqueName="[Table_Final_Staff]" displayFolder="" count="0" memberValueDatatype="20" unbalanced="0" hidden="1"/>
    <cacheHierarchy uniqueName="[Measures].[__XL_Count Table_Final_Staff]" caption="__XL_Count Table_Final_Staff" measure="1" displayFolder="" measureGroup="Table_Final_Staff" count="0" hidden="1"/>
    <cacheHierarchy uniqueName="[Measures].[__No measures defined]" caption="__No measures defined" measure="1" displayFolder="" count="0" hidden="1"/>
    <cacheHierarchy uniqueName="[Measures].[Count of Name]" caption="Count of Name" measure="1" displayFolder="" measureGroup="Table_Fina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Final_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_Final_Staff" uniqueName="[Table_Final_Staff]" caption="Table_Final_Staff"/>
  </dimensions>
  <measureGroups count="1">
    <measureGroup name="Table_Final_Staff" caption="Table_Fin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meet" refreshedDate="45131.945269791664" backgroundQuery="1" createdVersion="8" refreshedVersion="8" minRefreshableVersion="3" recordCount="0" supportSubquery="1" supportAdvancedDrill="1" xr:uid="{B48E6F73-3DDD-4F3D-9B8D-E3E26AD5DEF5}">
  <cacheSource type="external" connectionId="4"/>
  <cacheFields count="3">
    <cacheField name="[Table_Final_Staff].[Department].[Department]" caption="Department" numFmtId="0" hierarchy="5" level="1">
      <sharedItems count="5">
        <s v="Finance"/>
        <s v="HR"/>
        <s v="Procurement"/>
        <s v="Sales"/>
        <s v="Website"/>
      </sharedItems>
    </cacheField>
    <cacheField name="[Measures].[Count of Name]" caption="Count of Name" numFmtId="0" hierarchy="17" level="32767"/>
    <cacheField name="[Table_Final_Staff].[Country].[Country]" caption="Country" numFmtId="0" hierarchy="7" level="1">
      <sharedItems containsSemiMixedTypes="0" containsNonDate="0" containsString="0"/>
    </cacheField>
  </cacheFields>
  <cacheHierarchies count="19">
    <cacheHierarchy uniqueName="[Table_Final_Staff].[Name]" caption="Name" attribute="1" defaultMemberUniqueName="[Table_Final_Staff].[Name].[All]" allUniqueName="[Table_Final_Staff].[Name].[All]" dimensionUniqueName="[Table_Final_Staff]" displayFolder="" count="0" memberValueDatatype="130" unbalanced="0"/>
    <cacheHierarchy uniqueName="[Table_Final_Staff].[Gender]" caption="Gender" attribute="1" defaultMemberUniqueName="[Table_Final_Staff].[Gender].[All]" allUniqueName="[Table_Final_Staff].[Gender].[All]" dimensionUniqueName="[Table_Final_Staff]" displayFolder="" count="2" memberValueDatatype="130" unbalanced="0"/>
    <cacheHierarchy uniqueName="[Table_Final_Staff].[Age]" caption="Age" attribute="1" defaultMemberUniqueName="[Table_Final_Staff].[Age].[All]" allUniqueName="[Table_Final_Staff].[Age].[All]" dimensionUniqueName="[Table_Final_Staff]" displayFolder="" count="0" memberValueDatatype="20" unbalanced="0"/>
    <cacheHierarchy uniqueName="[Table_Final_Staff].[Rating]" caption="Rating" attribute="1" defaultMemberUniqueName="[Table_Final_Staff].[Rating].[All]" allUniqueName="[Table_Final_Staff].[Rating].[All]" dimensionUniqueName="[Table_Final_Staff]" displayFolder="" count="0" memberValueDatatype="130" unbalanced="0"/>
    <cacheHierarchy uniqueName="[Table_Final_Staff].[Date Joined]" caption="Date Joined" attribute="1" time="1" defaultMemberUniqueName="[Table_Final_Staff].[Date Joined].[All]" allUniqueName="[Table_Final_Staff].[Date Joined].[All]" dimensionUniqueName="[Table_Final_Staff]" displayFolder="" count="0" memberValueDatatype="7" unbalanced="0"/>
    <cacheHierarchy uniqueName="[Table_Final_Staff].[Department]" caption="Department" attribute="1" defaultMemberUniqueName="[Table_Final_Staff].[Department].[All]" allUniqueName="[Table_Final_Staff].[Department].[All]" dimensionUniqueName="[Table_Final_Staff]" displayFolder="" count="2" memberValueDatatype="130" unbalanced="0">
      <fieldsUsage count="2">
        <fieldUsage x="-1"/>
        <fieldUsage x="0"/>
      </fieldsUsage>
    </cacheHierarchy>
    <cacheHierarchy uniqueName="[Table_Final_Staff].[Salary]" caption="Salary" attribute="1" defaultMemberUniqueName="[Table_Final_Staff].[Salary].[All]" allUniqueName="[Table_Final_Staff].[Salary].[All]" dimensionUniqueName="[Table_Final_Staff]" displayFolder="" count="0" memberValueDatatype="20" unbalanced="0"/>
    <cacheHierarchy uniqueName="[Table_Final_Staff].[Country]" caption="Country" attribute="1" defaultMemberUniqueName="[Table_Final_Staff].[Country].[All]" allUniqueName="[Table_Final_Staff].[Country].[All]" dimensionUniqueName="[Table_Final_Staff]" displayFolder="" count="2" memberValueDatatype="130" unbalanced="0">
      <fieldsUsage count="2">
        <fieldUsage x="-1"/>
        <fieldUsage x="2"/>
      </fieldsUsage>
    </cacheHierarchy>
    <cacheHierarchy uniqueName="[Table_Final_Staff].[YOJ]" caption="YOJ" attribute="1" defaultMemberUniqueName="[Table_Final_Staff].[YOJ].[All]" allUniqueName="[Table_Final_Staff].[YOJ].[All]" dimensionUniqueName="[Table_Final_Staff]" displayFolder="" count="0" memberValueDatatype="20" unbalanced="0"/>
    <cacheHierarchy uniqueName="[Table_Final_Staff].[Tenure (Years)]" caption="Tenure (Years)" attribute="1" defaultMemberUniqueName="[Table_Final_Staff].[Tenure (Years)].[All]" allUniqueName="[Table_Final_Staff].[Tenure (Years)].[All]" dimensionUniqueName="[Table_Final_Staff]" displayFolder="" count="0" memberValueDatatype="20" unbalanced="0"/>
    <cacheHierarchy uniqueName="[Table_Final_Staff].[Incremented Salary]" caption="Incremented Salary" attribute="1" defaultMemberUniqueName="[Table_Final_Staff].[Incremented Salary].[All]" allUniqueName="[Table_Final_Staff].[Incremented Salary].[All]" dimensionUniqueName="[Table_Final_Staff]" displayFolder="" count="0" memberValueDatatype="5" unbalanced="0"/>
    <cacheHierarchy uniqueName="[Table_Final_Staff].[Date Joined (Year)]" caption="Date Joined (Year)" attribute="1" defaultMemberUniqueName="[Table_Final_Staff].[Date Joined (Year)].[All]" allUniqueName="[Table_Final_Staff].[Date Joined (Year)].[All]" dimensionUniqueName="[Table_Final_Staff]" displayFolder="" count="0" memberValueDatatype="130" unbalanced="0"/>
    <cacheHierarchy uniqueName="[Table_Final_Staff].[Date Joined (Quarter)]" caption="Date Joined (Quarter)" attribute="1" defaultMemberUniqueName="[Table_Final_Staff].[Date Joined (Quarter)].[All]" allUniqueName="[Table_Final_Staff].[Date Joined (Quarter)].[All]" dimensionUniqueName="[Table_Final_Staff]" displayFolder="" count="0" memberValueDatatype="130" unbalanced="0"/>
    <cacheHierarchy uniqueName="[Table_Final_Staff].[Date Joined (Month)]" caption="Date Joined (Month)" attribute="1" defaultMemberUniqueName="[Table_Final_Staff].[Date Joined (Month)].[All]" allUniqueName="[Table_Final_Staff].[Date Joined (Month)].[All]" dimensionUniqueName="[Table_Final_Staff]" displayFolder="" count="0" memberValueDatatype="130" unbalanced="0"/>
    <cacheHierarchy uniqueName="[Table_Final_Staff].[Date Joined (Month Index)]" caption="Date Joined (Month Index)" attribute="1" defaultMemberUniqueName="[Table_Final_Staff].[Date Joined (Month Index)].[All]" allUniqueName="[Table_Final_Staff].[Date Joined (Month Index)].[All]" dimensionUniqueName="[Table_Final_Staff]" displayFolder="" count="0" memberValueDatatype="20" unbalanced="0" hidden="1"/>
    <cacheHierarchy uniqueName="[Measures].[__XL_Count Table_Final_Staff]" caption="__XL_Count Table_Final_Staff" measure="1" displayFolder="" measureGroup="Table_Final_Staff" count="0" hidden="1"/>
    <cacheHierarchy uniqueName="[Measures].[__No measures defined]" caption="__No measures defined" measure="1" displayFolder="" count="0" hidden="1"/>
    <cacheHierarchy uniqueName="[Measures].[Count of Name]" caption="Count of Name" measure="1" displayFolder="" measureGroup="Table_Fina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_Final_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_Final_Staff" uniqueName="[Table_Final_Staff]" caption="Table_Final_Staff"/>
  </dimensions>
  <measureGroups count="1">
    <measureGroup name="Table_Final_Staff" caption="Table_Final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Deepali Charan"/>
    <x v="0"/>
    <n v="20"/>
    <s v="Average"/>
    <d v="2020-10-18T00:00:00"/>
    <x v="0"/>
    <n v="112650"/>
    <x v="0"/>
    <x v="0"/>
    <n v="3"/>
  </r>
  <r>
    <s v="Yagna Sujeev"/>
    <x v="1"/>
    <n v="32"/>
    <s v="Above average"/>
    <d v="2021-04-07T00:00:00"/>
    <x v="0"/>
    <n v="43840"/>
    <x v="0"/>
    <x v="1"/>
    <n v="2"/>
  </r>
  <r>
    <s v="Satyendra Venkatadri"/>
    <x v="0"/>
    <n v="31"/>
    <s v="Average"/>
    <d v="2022-04-12T00:00:00"/>
    <x v="1"/>
    <n v="103550"/>
    <x v="0"/>
    <x v="2"/>
    <n v="1"/>
  </r>
  <r>
    <s v="Madhavdas Buhpathi"/>
    <x v="1"/>
    <n v="32"/>
    <s v="Average"/>
    <d v="2021-05-23T00:00:00"/>
    <x v="2"/>
    <n v="45510"/>
    <x v="0"/>
    <x v="1"/>
    <n v="2"/>
  </r>
  <r>
    <s v="Sahila Chandrasekhar"/>
    <x v="2"/>
    <n v="37"/>
    <s v="Poor"/>
    <d v="2020-09-11T00:00:00"/>
    <x v="3"/>
    <n v="115440"/>
    <x v="0"/>
    <x v="0"/>
    <n v="3"/>
  </r>
  <r>
    <s v="Mirium Seemantini Shivakumar"/>
    <x v="1"/>
    <n v="38"/>
    <s v="Above average"/>
    <d v="2021-03-13T00:00:00"/>
    <x v="4"/>
    <n v="56870"/>
    <x v="0"/>
    <x v="1"/>
    <n v="2"/>
  </r>
  <r>
    <s v="Purnendu Vijayarangan"/>
    <x v="1"/>
    <n v="25"/>
    <s v="Average"/>
    <d v="2020-11-09T00:00:00"/>
    <x v="4"/>
    <n v="92700"/>
    <x v="0"/>
    <x v="0"/>
    <n v="3"/>
  </r>
  <r>
    <s v="Rukma Vinita"/>
    <x v="2"/>
    <n v="32"/>
    <s v="Average"/>
    <d v="2022-06-01T00:00:00"/>
    <x v="0"/>
    <n v="91310"/>
    <x v="0"/>
    <x v="2"/>
    <n v="1"/>
  </r>
  <r>
    <s v="Yauvani Tarpa"/>
    <x v="0"/>
    <n v="33"/>
    <s v="Average"/>
    <d v="2021-05-08T00:00:00"/>
    <x v="4"/>
    <n v="74550"/>
    <x v="0"/>
    <x v="1"/>
    <n v="2"/>
  </r>
  <r>
    <s v="Damayanti Thangavadivelu"/>
    <x v="0"/>
    <n v="25"/>
    <s v="Above average"/>
    <d v="2022-04-14T00:00:00"/>
    <x v="1"/>
    <n v="109190"/>
    <x v="0"/>
    <x v="2"/>
    <n v="1"/>
  </r>
  <r>
    <s v="Manjusri Ruchi"/>
    <x v="1"/>
    <n v="40"/>
    <s v="Average"/>
    <d v="2021-05-04T00:00:00"/>
    <x v="0"/>
    <n v="104410"/>
    <x v="0"/>
    <x v="1"/>
    <n v="2"/>
  </r>
  <r>
    <s v="Mithil Nadkarni"/>
    <x v="0"/>
    <n v="30"/>
    <s v="Average"/>
    <d v="2021-12-14T00:00:00"/>
    <x v="3"/>
    <n v="96800"/>
    <x v="0"/>
    <x v="1"/>
    <n v="2"/>
  </r>
  <r>
    <s v="Ardhendu Abhichandra Jayakar"/>
    <x v="0"/>
    <n v="28"/>
    <s v="Above average"/>
    <d v="2020-05-29T00:00:00"/>
    <x v="3"/>
    <n v="48170"/>
    <x v="0"/>
    <x v="0"/>
    <n v="3"/>
  </r>
  <r>
    <s v="Akbar Sorabhjee"/>
    <x v="0"/>
    <n v="21"/>
    <s v="Average"/>
    <d v="2020-07-30T00:00:00"/>
    <x v="1"/>
    <n v="37920"/>
    <x v="0"/>
    <x v="0"/>
    <n v="3"/>
  </r>
  <r>
    <s v="Bandhula Sathyanna"/>
    <x v="0"/>
    <n v="34"/>
    <s v="Average"/>
    <d v="2022-03-22T00:00:00"/>
    <x v="1"/>
    <n v="112650"/>
    <x v="0"/>
    <x v="2"/>
    <n v="1"/>
  </r>
  <r>
    <s v="Daruka Ghazali"/>
    <x v="1"/>
    <n v="34"/>
    <s v="Poor"/>
    <d v="2022-04-09T00:00:00"/>
    <x v="4"/>
    <n v="49630"/>
    <x v="0"/>
    <x v="2"/>
    <n v="1"/>
  </r>
  <r>
    <s v="Heer Pennathur"/>
    <x v="0"/>
    <n v="36"/>
    <s v="Average"/>
    <d v="2020-05-07T00:00:00"/>
    <x v="0"/>
    <n v="118840"/>
    <x v="0"/>
    <x v="0"/>
    <n v="3"/>
  </r>
  <r>
    <s v="Shekhar Eswara"/>
    <x v="0"/>
    <n v="30"/>
    <s v="Average"/>
    <d v="2022-08-16T00:00:00"/>
    <x v="0"/>
    <n v="69710"/>
    <x v="0"/>
    <x v="2"/>
    <n v="1"/>
  </r>
  <r>
    <s v="Udyan Lanka"/>
    <x v="0"/>
    <n v="20"/>
    <s v="Average"/>
    <d v="2022-05-02T00:00:00"/>
    <x v="1"/>
    <n v="79570"/>
    <x v="0"/>
    <x v="2"/>
    <n v="1"/>
  </r>
  <r>
    <s v="Shreela Ramasubraman"/>
    <x v="1"/>
    <n v="22"/>
    <s v="Above average"/>
    <d v="2021-07-11T00:00:00"/>
    <x v="1"/>
    <n v="76900"/>
    <x v="0"/>
    <x v="1"/>
    <n v="2"/>
  </r>
  <r>
    <s v="Sanchali Shirish"/>
    <x v="0"/>
    <n v="27"/>
    <s v="Average"/>
    <d v="2020-08-30T00:00:00"/>
    <x v="4"/>
    <n v="54970"/>
    <x v="0"/>
    <x v="0"/>
    <n v="3"/>
  </r>
  <r>
    <s v="Gangadutt Ragha"/>
    <x v="0"/>
    <n v="37"/>
    <s v="Poor"/>
    <d v="2021-03-22T00:00:00"/>
    <x v="0"/>
    <n v="88050"/>
    <x v="0"/>
    <x v="1"/>
    <n v="2"/>
  </r>
  <r>
    <s v="Waheeda Vasuman"/>
    <x v="0"/>
    <n v="43"/>
    <s v="Average"/>
    <d v="2021-12-28T00:00:00"/>
    <x v="4"/>
    <n v="36040"/>
    <x v="0"/>
    <x v="1"/>
    <n v="2"/>
  </r>
  <r>
    <s v="Nanak Sapna"/>
    <x v="1"/>
    <n v="42"/>
    <s v="Exceptional"/>
    <d v="2022-06-06T00:00:00"/>
    <x v="1"/>
    <n v="75000"/>
    <x v="0"/>
    <x v="2"/>
    <n v="1"/>
  </r>
  <r>
    <s v="Shobhana Samuel"/>
    <x v="0"/>
    <n v="35"/>
    <s v="Average"/>
    <d v="2022-04-15T00:00:00"/>
    <x v="1"/>
    <n v="40400"/>
    <x v="0"/>
    <x v="2"/>
    <n v="1"/>
  </r>
  <r>
    <s v="Amlankusum Rajabhushan"/>
    <x v="0"/>
    <n v="24"/>
    <s v="Average"/>
    <d v="2022-03-05T00:00:00"/>
    <x v="0"/>
    <n v="100420"/>
    <x v="0"/>
    <x v="2"/>
    <n v="1"/>
  </r>
  <r>
    <s v="Pratigya Rema"/>
    <x v="1"/>
    <n v="31"/>
    <s v="Average"/>
    <d v="2022-02-12T00:00:00"/>
    <x v="0"/>
    <n v="58100"/>
    <x v="0"/>
    <x v="2"/>
    <n v="1"/>
  </r>
  <r>
    <s v="Ramnath Ravuri"/>
    <x v="1"/>
    <n v="44"/>
    <s v="Average"/>
    <d v="2023-02-28T00:00:00"/>
    <x v="0"/>
    <n v="114870"/>
    <x v="0"/>
    <x v="3"/>
    <n v="0"/>
  </r>
  <r>
    <s v="Prerana Nishita"/>
    <x v="1"/>
    <n v="32"/>
    <s v="Average"/>
    <d v="2021-12-19T00:00:00"/>
    <x v="1"/>
    <n v="41570"/>
    <x v="0"/>
    <x v="1"/>
    <n v="2"/>
  </r>
  <r>
    <s v="Makshi Vinutha"/>
    <x v="1"/>
    <n v="30"/>
    <s v="Average"/>
    <d v="2022-08-27T00:00:00"/>
    <x v="1"/>
    <n v="112570"/>
    <x v="0"/>
    <x v="2"/>
    <n v="1"/>
  </r>
  <r>
    <s v="Shiuli Sapna"/>
    <x v="0"/>
    <n v="26"/>
    <s v="Average"/>
    <d v="2020-11-29T00:00:00"/>
    <x v="1"/>
    <n v="47360"/>
    <x v="0"/>
    <x v="0"/>
    <n v="3"/>
  </r>
  <r>
    <s v="Agrata Rajarama"/>
    <x v="1"/>
    <n v="21"/>
    <s v="Average"/>
    <d v="2021-03-01T00:00:00"/>
    <x v="3"/>
    <n v="65920"/>
    <x v="0"/>
    <x v="1"/>
    <n v="2"/>
  </r>
  <r>
    <s v="Vasu Nandin"/>
    <x v="1"/>
    <n v="28"/>
    <s v="Average"/>
    <d v="2022-01-10T00:00:00"/>
    <x v="1"/>
    <n v="99970"/>
    <x v="0"/>
    <x v="2"/>
    <n v="1"/>
  </r>
  <r>
    <s v="Bhuvan Pals"/>
    <x v="1"/>
    <n v="25"/>
    <s v="Above average"/>
    <d v="2022-03-13T00:00:00"/>
    <x v="0"/>
    <n v="80700"/>
    <x v="0"/>
    <x v="2"/>
    <n v="1"/>
  </r>
  <r>
    <s v="Gumwant Veera"/>
    <x v="0"/>
    <n v="24"/>
    <s v="Poor"/>
    <d v="2021-06-28T00:00:00"/>
    <x v="3"/>
    <n v="52610"/>
    <x v="0"/>
    <x v="1"/>
    <n v="2"/>
  </r>
  <r>
    <s v="Narois Motiwala"/>
    <x v="0"/>
    <n v="29"/>
    <s v="Poor"/>
    <d v="2020-10-15T00:00:00"/>
    <x v="0"/>
    <n v="112110"/>
    <x v="0"/>
    <x v="0"/>
    <n v="3"/>
  </r>
  <r>
    <s v="Anjushri Chandiramani"/>
    <x v="1"/>
    <n v="27"/>
    <s v="Average"/>
    <d v="2020-08-18T00:00:00"/>
    <x v="2"/>
    <n v="119110"/>
    <x v="0"/>
    <x v="0"/>
    <n v="3"/>
  </r>
  <r>
    <s v="Krishnakanta Vellanki"/>
    <x v="0"/>
    <n v="22"/>
    <s v="Above average"/>
    <d v="2021-07-07T00:00:00"/>
    <x v="4"/>
    <n v="112780"/>
    <x v="0"/>
    <x v="1"/>
    <n v="2"/>
  </r>
  <r>
    <s v="Dhruv Manjunath"/>
    <x v="1"/>
    <n v="36"/>
    <s v="Average"/>
    <d v="2020-07-11T00:00:00"/>
    <x v="1"/>
    <n v="114890"/>
    <x v="0"/>
    <x v="0"/>
    <n v="3"/>
  </r>
  <r>
    <s v="Vanmala Shriharsha"/>
    <x v="0"/>
    <n v="27"/>
    <s v="Average"/>
    <d v="2021-11-06T00:00:00"/>
    <x v="3"/>
    <n v="48980"/>
    <x v="0"/>
    <x v="1"/>
    <n v="2"/>
  </r>
  <r>
    <s v="Sameer Shashank Sapra"/>
    <x v="0"/>
    <n v="21"/>
    <s v="Average"/>
    <d v="2020-12-15T00:00:00"/>
    <x v="2"/>
    <n v="75880"/>
    <x v="0"/>
    <x v="0"/>
    <n v="3"/>
  </r>
  <r>
    <s v="Anumati Shyamari Meherhomji"/>
    <x v="1"/>
    <n v="28"/>
    <s v="Average"/>
    <d v="2021-04-10T00:00:00"/>
    <x v="4"/>
    <n v="53240"/>
    <x v="0"/>
    <x v="1"/>
    <n v="2"/>
  </r>
  <r>
    <s v="Tarala Vishaal"/>
    <x v="1"/>
    <n v="34"/>
    <s v="Average"/>
    <d v="2021-07-20T00:00:00"/>
    <x v="3"/>
    <n v="85000"/>
    <x v="0"/>
    <x v="1"/>
    <n v="2"/>
  </r>
  <r>
    <s v="Shubhra Potla"/>
    <x v="1"/>
    <n v="21"/>
    <s v="Average"/>
    <d v="2022-02-27T00:00:00"/>
    <x v="0"/>
    <n v="33920"/>
    <x v="0"/>
    <x v="2"/>
    <n v="1"/>
  </r>
  <r>
    <s v="Hemavati Muthiah"/>
    <x v="1"/>
    <n v="33"/>
    <s v="Average"/>
    <d v="2021-02-26T00:00:00"/>
    <x v="0"/>
    <n v="75280"/>
    <x v="0"/>
    <x v="1"/>
    <n v="2"/>
  </r>
  <r>
    <s v="Krittika Gaekwad"/>
    <x v="1"/>
    <n v="34"/>
    <s v="Average"/>
    <d v="2022-02-02T00:00:00"/>
    <x v="3"/>
    <n v="58940"/>
    <x v="0"/>
    <x v="2"/>
    <n v="1"/>
  </r>
  <r>
    <s v="Shevantilal Muppala"/>
    <x v="1"/>
    <n v="28"/>
    <s v="Average"/>
    <d v="2021-08-17T00:00:00"/>
    <x v="1"/>
    <n v="104770"/>
    <x v="0"/>
    <x v="1"/>
    <n v="2"/>
  </r>
  <r>
    <s v="Shattesh Utpat"/>
    <x v="0"/>
    <n v="21"/>
    <s v="Average"/>
    <d v="2022-05-20T00:00:00"/>
    <x v="1"/>
    <n v="57090"/>
    <x v="0"/>
    <x v="2"/>
    <n v="1"/>
  </r>
  <r>
    <s v="Kamalakshi Mukundan"/>
    <x v="0"/>
    <n v="27"/>
    <s v="Above average"/>
    <d v="2020-12-09T00:00:00"/>
    <x v="3"/>
    <n v="91650"/>
    <x v="0"/>
    <x v="0"/>
    <n v="3"/>
  </r>
  <r>
    <s v="Chandana Sannidhi Surnilla"/>
    <x v="0"/>
    <n v="42"/>
    <s v="Poor"/>
    <d v="2022-04-19T00:00:00"/>
    <x v="3"/>
    <n v="70270"/>
    <x v="0"/>
    <x v="2"/>
    <n v="1"/>
  </r>
  <r>
    <s v="Indu Varada Sumedh"/>
    <x v="1"/>
    <n v="28"/>
    <s v="Average"/>
    <d v="2020-10-20T00:00:00"/>
    <x v="3"/>
    <n v="75970"/>
    <x v="0"/>
    <x v="0"/>
    <n v="3"/>
  </r>
  <r>
    <s v="Karuna Pashupathy"/>
    <x v="2"/>
    <n v="27"/>
    <s v="Above average"/>
    <d v="2021-01-16T00:00:00"/>
    <x v="0"/>
    <n v="90700"/>
    <x v="0"/>
    <x v="1"/>
    <n v="2"/>
  </r>
  <r>
    <s v="Mardav Ramaswami"/>
    <x v="0"/>
    <n v="30"/>
    <s v="Average"/>
    <d v="2022-02-15T00:00:00"/>
    <x v="1"/>
    <n v="60570"/>
    <x v="0"/>
    <x v="2"/>
    <n v="1"/>
  </r>
  <r>
    <s v="Sarayu Ragunathan"/>
    <x v="0"/>
    <n v="33"/>
    <s v="Average"/>
    <d v="2020-09-29T00:00:00"/>
    <x v="1"/>
    <n v="115920"/>
    <x v="0"/>
    <x v="0"/>
    <n v="3"/>
  </r>
  <r>
    <s v="Kevalkumar Solanki"/>
    <x v="1"/>
    <n v="33"/>
    <s v="Average"/>
    <d v="2020-06-24T00:00:00"/>
    <x v="3"/>
    <n v="65360"/>
    <x v="0"/>
    <x v="0"/>
    <n v="3"/>
  </r>
  <r>
    <s v="Upendra Swati"/>
    <x v="2"/>
    <n v="30"/>
    <s v="Average"/>
    <d v="2021-12-05T00:00:00"/>
    <x v="3"/>
    <n v="64000"/>
    <x v="0"/>
    <x v="1"/>
    <n v="2"/>
  </r>
  <r>
    <s v="Deepit Ranjana"/>
    <x v="1"/>
    <n v="34"/>
    <s v="Average"/>
    <d v="2021-07-06T00:00:00"/>
    <x v="3"/>
    <n v="92450"/>
    <x v="0"/>
    <x v="1"/>
    <n v="2"/>
  </r>
  <r>
    <s v="Amal Nimesh"/>
    <x v="0"/>
    <n v="31"/>
    <s v="Average"/>
    <d v="2021-09-11T00:00:00"/>
    <x v="0"/>
    <n v="48950"/>
    <x v="0"/>
    <x v="1"/>
    <n v="2"/>
  </r>
  <r>
    <s v="Kunja Prashanta Vibha"/>
    <x v="1"/>
    <n v="27"/>
    <s v="Average"/>
    <d v="2022-03-05T00:00:00"/>
    <x v="0"/>
    <n v="83750"/>
    <x v="0"/>
    <x v="2"/>
    <n v="1"/>
  </r>
  <r>
    <s v="Godavari Veena"/>
    <x v="1"/>
    <n v="40"/>
    <s v="Average"/>
    <d v="2021-03-21T00:00:00"/>
    <x v="0"/>
    <n v="87620"/>
    <x v="0"/>
    <x v="1"/>
    <n v="2"/>
  </r>
  <r>
    <s v="Devasree Fullara Saurin"/>
    <x v="1"/>
    <n v="20"/>
    <s v="Poor"/>
    <d v="2021-10-07T00:00:00"/>
    <x v="4"/>
    <n v="68900"/>
    <x v="0"/>
    <x v="1"/>
    <n v="2"/>
  </r>
  <r>
    <s v="Geena Raghavanpillai"/>
    <x v="0"/>
    <n v="32"/>
    <s v="Average"/>
    <d v="2021-07-26T00:00:00"/>
    <x v="4"/>
    <n v="53540"/>
    <x v="0"/>
    <x v="1"/>
    <n v="2"/>
  </r>
  <r>
    <s v="Rupak Mehra"/>
    <x v="0"/>
    <n v="28"/>
    <s v="Very poor"/>
    <d v="2022-07-16T00:00:00"/>
    <x v="4"/>
    <n v="43510"/>
    <x v="0"/>
    <x v="2"/>
    <n v="1"/>
  </r>
  <r>
    <s v="Sawini Chandan"/>
    <x v="1"/>
    <n v="38"/>
    <s v="Exceptional"/>
    <d v="2021-04-30T00:00:00"/>
    <x v="4"/>
    <n v="109160"/>
    <x v="0"/>
    <x v="1"/>
    <n v="2"/>
  </r>
  <r>
    <s v="Baruna Ogale"/>
    <x v="0"/>
    <n v="40"/>
    <s v="Average"/>
    <d v="2021-01-08T00:00:00"/>
    <x v="1"/>
    <n v="99750"/>
    <x v="0"/>
    <x v="1"/>
    <n v="2"/>
  </r>
  <r>
    <s v="Jagajeet Viraj"/>
    <x v="1"/>
    <n v="31"/>
    <s v="Average"/>
    <d v="2020-09-10T00:00:00"/>
    <x v="0"/>
    <n v="41980"/>
    <x v="0"/>
    <x v="0"/>
    <n v="3"/>
  </r>
  <r>
    <s v="Kulbhushan Moorthy"/>
    <x v="0"/>
    <n v="36"/>
    <s v="Average"/>
    <d v="2021-03-17T00:00:00"/>
    <x v="3"/>
    <n v="71380"/>
    <x v="0"/>
    <x v="1"/>
    <n v="2"/>
  </r>
  <r>
    <s v="Ilesh Dasgupta"/>
    <x v="0"/>
    <n v="27"/>
    <s v="Very poor"/>
    <d v="2021-12-17T00:00:00"/>
    <x v="1"/>
    <n v="113280"/>
    <x v="0"/>
    <x v="1"/>
    <n v="2"/>
  </r>
  <r>
    <s v="Madhumati Gazala Soumitra"/>
    <x v="1"/>
    <n v="33"/>
    <s v="Average"/>
    <d v="2022-07-05T00:00:00"/>
    <x v="3"/>
    <n v="86570"/>
    <x v="0"/>
    <x v="2"/>
    <n v="1"/>
  </r>
  <r>
    <s v="Chitrasen Laul"/>
    <x v="0"/>
    <n v="26"/>
    <s v="Average"/>
    <d v="2021-06-03T00:00:00"/>
    <x v="1"/>
    <n v="53540"/>
    <x v="0"/>
    <x v="1"/>
    <n v="2"/>
  </r>
  <r>
    <s v="Jaishree Atasi Yavatkar"/>
    <x v="0"/>
    <n v="37"/>
    <s v="Average"/>
    <d v="2022-03-20T00:00:00"/>
    <x v="0"/>
    <n v="69070"/>
    <x v="0"/>
    <x v="2"/>
    <n v="1"/>
  </r>
  <r>
    <s v="Kantimoy Pritish"/>
    <x v="1"/>
    <n v="30"/>
    <s v="Poor"/>
    <d v="2021-05-12T00:00:00"/>
    <x v="3"/>
    <n v="67910"/>
    <x v="0"/>
    <x v="1"/>
    <n v="2"/>
  </r>
  <r>
    <s v="Rameshwari Chikodi"/>
    <x v="0"/>
    <n v="30"/>
    <s v="Average"/>
    <d v="2021-01-18T00:00:00"/>
    <x v="0"/>
    <n v="69120"/>
    <x v="0"/>
    <x v="1"/>
    <n v="2"/>
  </r>
  <r>
    <s v="Lalit Kothari"/>
    <x v="1"/>
    <n v="34"/>
    <s v="Average"/>
    <d v="2021-12-20T00:00:00"/>
    <x v="3"/>
    <n v="60130"/>
    <x v="0"/>
    <x v="1"/>
    <n v="2"/>
  </r>
  <r>
    <s v="Sahas Sanabhi Shrikant"/>
    <x v="0"/>
    <n v="23"/>
    <s v="Average"/>
    <d v="2021-07-01T00:00:00"/>
    <x v="1"/>
    <n v="106460"/>
    <x v="0"/>
    <x v="1"/>
    <n v="2"/>
  </r>
  <r>
    <s v="Kaishori Harathi Kateel"/>
    <x v="1"/>
    <n v="37"/>
    <s v="Average"/>
    <d v="2021-07-12T00:00:00"/>
    <x v="2"/>
    <n v="118100"/>
    <x v="0"/>
    <x v="1"/>
    <n v="2"/>
  </r>
  <r>
    <s v="Rushil Kripa"/>
    <x v="1"/>
    <n v="36"/>
    <s v="Average"/>
    <d v="2021-09-29T00:00:00"/>
    <x v="1"/>
    <n v="78390"/>
    <x v="0"/>
    <x v="1"/>
    <n v="2"/>
  </r>
  <r>
    <s v="Sarojini Naueshwara"/>
    <x v="1"/>
    <n v="30"/>
    <s v="Average"/>
    <d v="2022-08-16T00:00:00"/>
    <x v="1"/>
    <n v="114180"/>
    <x v="0"/>
    <x v="2"/>
    <n v="1"/>
  </r>
  <r>
    <s v="Sartaj Probal"/>
    <x v="1"/>
    <n v="28"/>
    <s v="Average"/>
    <d v="2022-01-29T00:00:00"/>
    <x v="1"/>
    <n v="104120"/>
    <x v="0"/>
    <x v="2"/>
    <n v="1"/>
  </r>
  <r>
    <s v="Mahindra Sreedharan"/>
    <x v="0"/>
    <n v="30"/>
    <s v="Average"/>
    <d v="2022-03-20T00:00:00"/>
    <x v="1"/>
    <n v="67950"/>
    <x v="0"/>
    <x v="2"/>
    <n v="1"/>
  </r>
  <r>
    <s v="Suchira Bhanupriya Tapti"/>
    <x v="1"/>
    <n v="29"/>
    <s v="Average"/>
    <d v="2020-05-11T00:00:00"/>
    <x v="0"/>
    <n v="34980"/>
    <x v="0"/>
    <x v="0"/>
    <n v="3"/>
  </r>
  <r>
    <s v="Fullara Sushanti Mokate"/>
    <x v="1"/>
    <n v="24"/>
    <s v="Average"/>
    <d v="2020-09-13T00:00:00"/>
    <x v="0"/>
    <n v="62780"/>
    <x v="0"/>
    <x v="0"/>
    <n v="3"/>
  </r>
  <r>
    <s v="Hridaynath Tendulkar"/>
    <x v="0"/>
    <n v="20"/>
    <s v="Average"/>
    <d v="2021-07-20T00:00:00"/>
    <x v="0"/>
    <n v="107700"/>
    <x v="0"/>
    <x v="1"/>
    <n v="2"/>
  </r>
  <r>
    <s v="Abhaya Priyavardhan"/>
    <x v="0"/>
    <n v="25"/>
    <s v="Average"/>
    <d v="2021-05-06T00:00:00"/>
    <x v="4"/>
    <n v="65700"/>
    <x v="0"/>
    <x v="1"/>
    <n v="2"/>
  </r>
  <r>
    <s v="Ayog Chakrabarti"/>
    <x v="1"/>
    <n v="33"/>
    <s v="Very poor"/>
    <d v="2021-04-27T00:00:00"/>
    <x v="0"/>
    <n v="75480"/>
    <x v="0"/>
    <x v="1"/>
    <n v="2"/>
  </r>
  <r>
    <s v="Pragya Nilufar"/>
    <x v="0"/>
    <n v="33"/>
    <s v="Average"/>
    <d v="2021-09-09T00:00:00"/>
    <x v="0"/>
    <n v="53870"/>
    <x v="0"/>
    <x v="1"/>
    <n v="2"/>
  </r>
  <r>
    <s v="Shulabh Qutub Sundaramoorthy"/>
    <x v="1"/>
    <n v="36"/>
    <s v="Average"/>
    <d v="2021-08-25T00:00:00"/>
    <x v="4"/>
    <n v="78540"/>
    <x v="0"/>
    <x v="1"/>
    <n v="2"/>
  </r>
  <r>
    <s v="Vinanti Choudhari"/>
    <x v="0"/>
    <n v="19"/>
    <s v="Average"/>
    <d v="2021-01-22T00:00:00"/>
    <x v="1"/>
    <n v="58960"/>
    <x v="0"/>
    <x v="1"/>
    <n v="2"/>
  </r>
  <r>
    <s v="Ranajay Kailashnath Richa"/>
    <x v="0"/>
    <n v="46"/>
    <s v="Average"/>
    <d v="2022-05-16T00:00:00"/>
    <x v="1"/>
    <n v="70610"/>
    <x v="0"/>
    <x v="2"/>
    <n v="1"/>
  </r>
  <r>
    <s v="Asija Pothireddy"/>
    <x v="0"/>
    <n v="33"/>
    <s v="Average"/>
    <d v="2020-12-16T00:00:00"/>
    <x v="3"/>
    <n v="59430"/>
    <x v="0"/>
    <x v="0"/>
    <n v="3"/>
  </r>
  <r>
    <s v="Piyali Mahanthapa"/>
    <x v="0"/>
    <n v="33"/>
    <s v="Above average"/>
    <d v="2022-03-20T00:00:00"/>
    <x v="1"/>
    <n v="48530"/>
    <x v="0"/>
    <x v="2"/>
    <n v="1"/>
  </r>
  <r>
    <s v="Sukhdev Nageshwar"/>
    <x v="1"/>
    <n v="33"/>
    <s v="Average"/>
    <d v="2020-10-25T00:00:00"/>
    <x v="0"/>
    <n v="96140"/>
    <x v="0"/>
    <x v="0"/>
    <n v="3"/>
  </r>
  <r>
    <s v="Lindy Guillet"/>
    <x v="0"/>
    <n v="22"/>
    <s v="Above average"/>
    <d v="2021-09-07T00:00:00"/>
    <x v="4"/>
    <n v="112780"/>
    <x v="1"/>
    <x v="1"/>
    <n v="2"/>
  </r>
  <r>
    <s v="Ambros Murthwaite"/>
    <x v="0"/>
    <n v="46"/>
    <s v="Average"/>
    <d v="2022-07-16T00:00:00"/>
    <x v="1"/>
    <n v="70610"/>
    <x v="1"/>
    <x v="2"/>
    <n v="1"/>
  </r>
  <r>
    <s v="Tatum Hush"/>
    <x v="1"/>
    <n v="28"/>
    <s v="Average"/>
    <d v="2021-06-10T00:00:00"/>
    <x v="4"/>
    <n v="53240"/>
    <x v="1"/>
    <x v="1"/>
    <n v="2"/>
  </r>
  <r>
    <s v="Benny Karolovsky"/>
    <x v="2"/>
    <n v="37"/>
    <s v="Poor"/>
    <d v="2020-11-11T00:00:00"/>
    <x v="3"/>
    <n v="115440"/>
    <x v="1"/>
    <x v="0"/>
    <n v="3"/>
  </r>
  <r>
    <s v="Hoyt D'Alesco"/>
    <x v="0"/>
    <n v="32"/>
    <s v="Average"/>
    <d v="2021-09-26T00:00:00"/>
    <x v="4"/>
    <n v="53540"/>
    <x v="1"/>
    <x v="1"/>
    <n v="2"/>
  </r>
  <r>
    <s v="Halimeda Kuscha"/>
    <x v="1"/>
    <n v="30"/>
    <s v="Average"/>
    <d v="2022-10-27T00:00:00"/>
    <x v="1"/>
    <n v="112570"/>
    <x v="1"/>
    <x v="2"/>
    <n v="1"/>
  </r>
  <r>
    <s v="Erin Androsik"/>
    <x v="0"/>
    <n v="33"/>
    <s v="Above average"/>
    <d v="2022-05-20T00:00:00"/>
    <x v="1"/>
    <n v="48530"/>
    <x v="1"/>
    <x v="2"/>
    <n v="1"/>
  </r>
  <r>
    <s v="Vic Radolf"/>
    <x v="1"/>
    <n v="24"/>
    <s v="Average"/>
    <d v="2020-11-13T00:00:00"/>
    <x v="0"/>
    <n v="62780"/>
    <x v="1"/>
    <x v="0"/>
    <n v="3"/>
  </r>
  <r>
    <s v="William Reeveley"/>
    <x v="0"/>
    <n v="33"/>
    <s v="Average"/>
    <d v="2021-11-09T00:00:00"/>
    <x v="0"/>
    <n v="53870"/>
    <x v="1"/>
    <x v="1"/>
    <n v="2"/>
  </r>
  <r>
    <s v="Ewart Laphorn"/>
    <x v="1"/>
    <n v="27"/>
    <s v="Average"/>
    <d v="2020-10-18T00:00:00"/>
    <x v="2"/>
    <n v="119110"/>
    <x v="1"/>
    <x v="0"/>
    <n v="3"/>
  </r>
  <r>
    <s v="Bev Lashley"/>
    <x v="0"/>
    <n v="29"/>
    <s v="Poor"/>
    <d v="2020-12-15T00:00:00"/>
    <x v="0"/>
    <n v="112110"/>
    <x v="1"/>
    <x v="0"/>
    <n v="3"/>
  </r>
  <r>
    <s v="Kath Bletsoe"/>
    <x v="0"/>
    <n v="25"/>
    <s v="Average"/>
    <d v="2021-07-06T00:00:00"/>
    <x v="4"/>
    <n v="65700"/>
    <x v="1"/>
    <x v="1"/>
    <n v="2"/>
  </r>
  <r>
    <s v="Murry Dryburgh"/>
    <x v="0"/>
    <n v="37"/>
    <s v="Average"/>
    <d v="2022-05-20T00:00:00"/>
    <x v="0"/>
    <n v="69070"/>
    <x v="1"/>
    <x v="2"/>
    <n v="1"/>
  </r>
  <r>
    <s v="Kaine Padly"/>
    <x v="0"/>
    <n v="20"/>
    <s v="Average"/>
    <d v="2021-09-20T00:00:00"/>
    <x v="0"/>
    <n v="107700"/>
    <x v="1"/>
    <x v="1"/>
    <n v="2"/>
  </r>
  <r>
    <s v="Kassi Jonson"/>
    <x v="1"/>
    <n v="32"/>
    <s v="Above average"/>
    <d v="2021-06-07T00:00:00"/>
    <x v="0"/>
    <n v="43840"/>
    <x v="1"/>
    <x v="1"/>
    <n v="2"/>
  </r>
  <r>
    <s v="Simon Kembery"/>
    <x v="0"/>
    <n v="40"/>
    <s v="Average"/>
    <d v="2021-03-08T00:00:00"/>
    <x v="1"/>
    <n v="99750"/>
    <x v="1"/>
    <x v="1"/>
    <n v="2"/>
  </r>
  <r>
    <s v="Orton Livick"/>
    <x v="0"/>
    <n v="21"/>
    <s v="Average"/>
    <d v="2020-09-30T00:00:00"/>
    <x v="1"/>
    <n v="37920"/>
    <x v="1"/>
    <x v="0"/>
    <n v="3"/>
  </r>
  <r>
    <s v="Kelci Walkden"/>
    <x v="0"/>
    <n v="21"/>
    <s v="Average"/>
    <d v="2022-07-20T00:00:00"/>
    <x v="1"/>
    <n v="57090"/>
    <x v="1"/>
    <x v="2"/>
    <n v="1"/>
  </r>
  <r>
    <s v="Dotty Strutley"/>
    <x v="1"/>
    <n v="31"/>
    <s v="Average"/>
    <d v="2020-11-10T00:00:00"/>
    <x v="0"/>
    <n v="41980"/>
    <x v="1"/>
    <x v="0"/>
    <n v="3"/>
  </r>
  <r>
    <s v="Shari McNee"/>
    <x v="0"/>
    <n v="21"/>
    <s v="Average"/>
    <d v="2021-02-15T00:00:00"/>
    <x v="2"/>
    <n v="75880"/>
    <x v="1"/>
    <x v="1"/>
    <n v="2"/>
  </r>
  <r>
    <s v="Oby Sorrel"/>
    <x v="1"/>
    <n v="34"/>
    <s v="Average"/>
    <d v="2022-04-02T00:00:00"/>
    <x v="3"/>
    <n v="58940"/>
    <x v="1"/>
    <x v="2"/>
    <n v="1"/>
  </r>
  <r>
    <s v="Husein Augar"/>
    <x v="1"/>
    <n v="30"/>
    <s v="Poor"/>
    <d v="2021-07-12T00:00:00"/>
    <x v="3"/>
    <n v="67910"/>
    <x v="1"/>
    <x v="1"/>
    <n v="2"/>
  </r>
  <r>
    <s v="Brien Boise"/>
    <x v="1"/>
    <n v="31"/>
    <s v="Average"/>
    <d v="2022-04-12T00:00:00"/>
    <x v="0"/>
    <n v="58100"/>
    <x v="1"/>
    <x v="2"/>
    <n v="1"/>
  </r>
  <r>
    <s v="Esmaria Denecamp"/>
    <x v="0"/>
    <n v="27"/>
    <s v="Average"/>
    <d v="2022-01-06T00:00:00"/>
    <x v="3"/>
    <n v="48980"/>
    <x v="1"/>
    <x v="2"/>
    <n v="1"/>
  </r>
  <r>
    <s v="Curtice Advani"/>
    <x v="2"/>
    <n v="30"/>
    <s v="Average"/>
    <d v="2022-02-05T00:00:00"/>
    <x v="3"/>
    <n v="64000"/>
    <x v="1"/>
    <x v="2"/>
    <n v="1"/>
  </r>
  <r>
    <s v="Barr Faughny"/>
    <x v="1"/>
    <n v="42"/>
    <s v="Exceptional"/>
    <d v="2022-08-06T00:00:00"/>
    <x v="1"/>
    <n v="75000"/>
    <x v="1"/>
    <x v="2"/>
    <n v="1"/>
  </r>
  <r>
    <s v="Merrilee Plenty"/>
    <x v="1"/>
    <n v="40"/>
    <s v="Average"/>
    <d v="2021-05-21T00:00:00"/>
    <x v="0"/>
    <n v="87620"/>
    <x v="1"/>
    <x v="1"/>
    <n v="2"/>
  </r>
  <r>
    <s v="Niall Selesnick"/>
    <x v="1"/>
    <n v="29"/>
    <s v="Average"/>
    <d v="2020-07-11T00:00:00"/>
    <x v="0"/>
    <n v="34980"/>
    <x v="1"/>
    <x v="0"/>
    <n v="3"/>
  </r>
  <r>
    <s v="Beverie Moffet"/>
    <x v="1"/>
    <n v="28"/>
    <s v="Average"/>
    <d v="2020-12-20T00:00:00"/>
    <x v="3"/>
    <n v="75970"/>
    <x v="1"/>
    <x v="0"/>
    <n v="3"/>
  </r>
  <r>
    <s v="Jehu Rudeforth"/>
    <x v="1"/>
    <n v="34"/>
    <s v="Average"/>
    <d v="2022-02-20T00:00:00"/>
    <x v="3"/>
    <n v="60130"/>
    <x v="1"/>
    <x v="2"/>
    <n v="1"/>
  </r>
  <r>
    <s v="Camilla Castle"/>
    <x v="1"/>
    <n v="33"/>
    <s v="Very poor"/>
    <d v="2021-06-27T00:00:00"/>
    <x v="0"/>
    <n v="75480"/>
    <x v="1"/>
    <x v="1"/>
    <n v="2"/>
  </r>
  <r>
    <s v="Roddy Speechley"/>
    <x v="0"/>
    <n v="33"/>
    <s v="Average"/>
    <d v="2020-11-29T00:00:00"/>
    <x v="1"/>
    <n v="115920"/>
    <x v="1"/>
    <x v="0"/>
    <n v="3"/>
  </r>
  <r>
    <s v="Gray Seamon"/>
    <x v="1"/>
    <n v="36"/>
    <s v="Average"/>
    <d v="2021-10-25T00:00:00"/>
    <x v="4"/>
    <n v="78540"/>
    <x v="1"/>
    <x v="1"/>
    <n v="2"/>
  </r>
  <r>
    <s v="Madelene Upcott"/>
    <x v="0"/>
    <n v="25"/>
    <s v="Above average"/>
    <d v="2022-06-14T00:00:00"/>
    <x v="1"/>
    <n v="109190"/>
    <x v="1"/>
    <x v="2"/>
    <n v="1"/>
  </r>
  <r>
    <s v="Violante Courtonne"/>
    <x v="1"/>
    <n v="34"/>
    <s v="Poor"/>
    <d v="2022-06-09T00:00:00"/>
    <x v="4"/>
    <n v="49630"/>
    <x v="1"/>
    <x v="2"/>
    <n v="1"/>
  </r>
  <r>
    <s v="Bernie Gorges"/>
    <x v="1"/>
    <n v="28"/>
    <s v="Average"/>
    <d v="2022-03-10T00:00:00"/>
    <x v="1"/>
    <n v="99970"/>
    <x v="1"/>
    <x v="2"/>
    <n v="1"/>
  </r>
  <r>
    <s v="Torrance Collier"/>
    <x v="1"/>
    <n v="33"/>
    <s v="Average"/>
    <d v="2020-12-25T00:00:00"/>
    <x v="0"/>
    <n v="96140"/>
    <x v="1"/>
    <x v="0"/>
    <n v="3"/>
  </r>
  <r>
    <s v="Dyna Doucette"/>
    <x v="0"/>
    <n v="31"/>
    <s v="Average"/>
    <d v="2022-06-12T00:00:00"/>
    <x v="1"/>
    <n v="103550"/>
    <x v="1"/>
    <x v="2"/>
    <n v="1"/>
  </r>
  <r>
    <s v="Gunar Cockshoot"/>
    <x v="0"/>
    <n v="31"/>
    <s v="Average"/>
    <d v="2021-11-11T00:00:00"/>
    <x v="0"/>
    <n v="48950"/>
    <x v="1"/>
    <x v="1"/>
    <n v="2"/>
  </r>
  <r>
    <s v="Kaye Crocroft"/>
    <x v="0"/>
    <n v="24"/>
    <s v="Poor"/>
    <d v="2021-08-28T00:00:00"/>
    <x v="3"/>
    <n v="52610"/>
    <x v="1"/>
    <x v="1"/>
    <n v="2"/>
  </r>
  <r>
    <s v="Allene Gobbet"/>
    <x v="1"/>
    <n v="36"/>
    <s v="Average"/>
    <d v="2021-11-29T00:00:00"/>
    <x v="1"/>
    <n v="78390"/>
    <x v="1"/>
    <x v="1"/>
    <n v="2"/>
  </r>
  <r>
    <s v="Sibyl Dunkirk"/>
    <x v="1"/>
    <n v="33"/>
    <s v="Average"/>
    <d v="2022-09-05T00:00:00"/>
    <x v="3"/>
    <n v="86570"/>
    <x v="1"/>
    <x v="2"/>
    <n v="1"/>
  </r>
  <r>
    <s v="Agnes Collicott"/>
    <x v="1"/>
    <n v="27"/>
    <s v="Average"/>
    <d v="2022-05-05T00:00:00"/>
    <x v="0"/>
    <n v="83750"/>
    <x v="1"/>
    <x v="2"/>
    <n v="1"/>
  </r>
  <r>
    <s v="Leilah Yesinin"/>
    <x v="1"/>
    <n v="34"/>
    <s v="Average"/>
    <d v="2021-09-06T00:00:00"/>
    <x v="3"/>
    <n v="92450"/>
    <x v="1"/>
    <x v="1"/>
    <n v="2"/>
  </r>
  <r>
    <s v="Mollie Hanway"/>
    <x v="0"/>
    <n v="20"/>
    <s v="Average"/>
    <d v="2020-12-18T00:00:00"/>
    <x v="0"/>
    <n v="112650"/>
    <x v="1"/>
    <x v="0"/>
    <n v="3"/>
  </r>
  <r>
    <s v="Kellsie Waby"/>
    <x v="0"/>
    <n v="20"/>
    <s v="Average"/>
    <d v="2022-07-02T00:00:00"/>
    <x v="1"/>
    <n v="79570"/>
    <x v="1"/>
    <x v="2"/>
    <n v="1"/>
  </r>
  <r>
    <s v="Hyacinthie Braybrooke"/>
    <x v="1"/>
    <n v="20"/>
    <s v="Poor"/>
    <d v="2021-12-07T00:00:00"/>
    <x v="4"/>
    <n v="68900"/>
    <x v="1"/>
    <x v="1"/>
    <n v="2"/>
  </r>
  <r>
    <s v="Van Tuxwell"/>
    <x v="1"/>
    <n v="25"/>
    <s v="Above average"/>
    <d v="2022-05-13T00:00:00"/>
    <x v="0"/>
    <n v="80700"/>
    <x v="1"/>
    <x v="2"/>
    <n v="1"/>
  </r>
  <r>
    <s v="Lilyan Klimpt"/>
    <x v="0"/>
    <n v="19"/>
    <s v="Average"/>
    <d v="2021-03-22T00:00:00"/>
    <x v="1"/>
    <n v="58960"/>
    <x v="1"/>
    <x v="1"/>
    <n v="2"/>
  </r>
  <r>
    <s v="Tawnya Tickel"/>
    <x v="0"/>
    <n v="36"/>
    <s v="Average"/>
    <d v="2020-07-07T00:00:00"/>
    <x v="0"/>
    <n v="118840"/>
    <x v="1"/>
    <x v="0"/>
    <n v="3"/>
  </r>
  <r>
    <s v="Jan Morforth"/>
    <x v="0"/>
    <n v="28"/>
    <s v="Above average"/>
    <d v="2020-07-29T00:00:00"/>
    <x v="3"/>
    <n v="48170"/>
    <x v="1"/>
    <x v="0"/>
    <n v="3"/>
  </r>
  <r>
    <s v="Florinda Crace"/>
    <x v="1"/>
    <n v="32"/>
    <s v="Average"/>
    <d v="2021-07-23T00:00:00"/>
    <x v="2"/>
    <n v="45510"/>
    <x v="1"/>
    <x v="1"/>
    <n v="2"/>
  </r>
  <r>
    <s v="Tracy Renad"/>
    <x v="1"/>
    <n v="36"/>
    <s v="Average"/>
    <d v="2020-09-11T00:00:00"/>
    <x v="1"/>
    <n v="114890"/>
    <x v="1"/>
    <x v="0"/>
    <n v="3"/>
  </r>
  <r>
    <s v="Myer McCory"/>
    <x v="0"/>
    <n v="30"/>
    <s v="Average"/>
    <d v="2022-10-16T00:00:00"/>
    <x v="0"/>
    <n v="69710"/>
    <x v="1"/>
    <x v="2"/>
    <n v="1"/>
  </r>
  <r>
    <s v="Bennie Pepis"/>
    <x v="0"/>
    <n v="36"/>
    <s v="Average"/>
    <d v="2021-05-17T00:00:00"/>
    <x v="3"/>
    <n v="71380"/>
    <x v="1"/>
    <x v="1"/>
    <n v="2"/>
  </r>
  <r>
    <s v="Rafaelita Blaksland"/>
    <x v="1"/>
    <n v="38"/>
    <s v="Exceptional"/>
    <d v="2021-06-30T00:00:00"/>
    <x v="4"/>
    <n v="109160"/>
    <x v="1"/>
    <x v="1"/>
    <n v="2"/>
  </r>
  <r>
    <s v="Mahalia Larcher"/>
    <x v="0"/>
    <n v="27"/>
    <s v="Very poor"/>
    <d v="2022-02-17T00:00:00"/>
    <x v="1"/>
    <n v="113280"/>
    <x v="1"/>
    <x v="2"/>
    <n v="1"/>
  </r>
  <r>
    <s v="Andria Kimpton"/>
    <x v="0"/>
    <n v="30"/>
    <s v="Average"/>
    <d v="2021-03-18T00:00:00"/>
    <x v="0"/>
    <n v="69120"/>
    <x v="1"/>
    <x v="1"/>
    <n v="2"/>
  </r>
  <r>
    <s v="Valentia Etteridge"/>
    <x v="1"/>
    <n v="37"/>
    <s v="Average"/>
    <d v="2021-09-12T00:00:00"/>
    <x v="2"/>
    <n v="118100"/>
    <x v="1"/>
    <x v="1"/>
    <n v="2"/>
  </r>
  <r>
    <s v="Virginia McConville"/>
    <x v="1"/>
    <n v="22"/>
    <s v="Above average"/>
    <d v="2021-09-11T00:00:00"/>
    <x v="1"/>
    <n v="76900"/>
    <x v="1"/>
    <x v="1"/>
    <n v="2"/>
  </r>
  <r>
    <s v="Wilone O'Kielt"/>
    <x v="1"/>
    <n v="43"/>
    <s v="Average"/>
    <d v="2023-04-29T00:00:00"/>
    <x v="0"/>
    <n v="114870"/>
    <x v="1"/>
    <x v="3"/>
    <n v="0"/>
  </r>
  <r>
    <s v="Madge McCloughen"/>
    <x v="2"/>
    <n v="32"/>
    <s v="Average"/>
    <d v="2022-08-01T00:00:00"/>
    <x v="0"/>
    <n v="91310"/>
    <x v="1"/>
    <x v="2"/>
    <n v="1"/>
  </r>
  <r>
    <s v="Janene Hairsine"/>
    <x v="1"/>
    <n v="28"/>
    <s v="Average"/>
    <d v="2021-10-17T00:00:00"/>
    <x v="1"/>
    <n v="104770"/>
    <x v="1"/>
    <x v="1"/>
    <n v="2"/>
  </r>
  <r>
    <s v="Alta Kaszper"/>
    <x v="0"/>
    <n v="27"/>
    <s v="Average"/>
    <d v="2020-10-30T00:00:00"/>
    <x v="4"/>
    <n v="54970"/>
    <x v="1"/>
    <x v="0"/>
    <n v="3"/>
  </r>
  <r>
    <s v="Dennison Crosswaite"/>
    <x v="2"/>
    <n v="26"/>
    <s v="Above average"/>
    <d v="2021-03-16T00:00:00"/>
    <x v="0"/>
    <n v="90700"/>
    <x v="1"/>
    <x v="1"/>
    <n v="2"/>
  </r>
  <r>
    <s v="Oran Buxcy"/>
    <x v="1"/>
    <n v="38"/>
    <s v="Above average"/>
    <d v="2021-05-13T00:00:00"/>
    <x v="4"/>
    <n v="56870"/>
    <x v="1"/>
    <x v="1"/>
    <n v="2"/>
  </r>
  <r>
    <s v="Hinda Label"/>
    <x v="1"/>
    <n v="25"/>
    <s v="Average"/>
    <d v="2021-01-09T00:00:00"/>
    <x v="4"/>
    <n v="92700"/>
    <x v="1"/>
    <x v="1"/>
    <n v="2"/>
  </r>
  <r>
    <s v="Marney O'Breen"/>
    <x v="1"/>
    <n v="21"/>
    <s v="Average"/>
    <d v="2021-05-01T00:00:00"/>
    <x v="3"/>
    <n v="65920"/>
    <x v="1"/>
    <x v="1"/>
    <n v="2"/>
  </r>
  <r>
    <s v="Dell Molloy"/>
    <x v="0"/>
    <n v="26"/>
    <s v="Average"/>
    <d v="2021-01-29T00:00:00"/>
    <x v="1"/>
    <n v="47360"/>
    <x v="1"/>
    <x v="1"/>
    <n v="2"/>
  </r>
  <r>
    <s v="Mallorie Waber"/>
    <x v="0"/>
    <n v="30"/>
    <s v="Average"/>
    <d v="2022-04-15T00:00:00"/>
    <x v="1"/>
    <n v="60570"/>
    <x v="1"/>
    <x v="2"/>
    <n v="1"/>
  </r>
  <r>
    <s v="Cherlyn Barter"/>
    <x v="1"/>
    <n v="28"/>
    <s v="Average"/>
    <d v="2022-03-29T00:00:00"/>
    <x v="1"/>
    <n v="104120"/>
    <x v="1"/>
    <x v="2"/>
    <n v="1"/>
  </r>
  <r>
    <s v="Ches Bonnell"/>
    <x v="0"/>
    <n v="37"/>
    <s v="Poor"/>
    <d v="2021-05-22T00:00:00"/>
    <x v="0"/>
    <n v="88050"/>
    <x v="1"/>
    <x v="1"/>
    <n v="2"/>
  </r>
  <r>
    <s v="Collin Jagson"/>
    <x v="0"/>
    <n v="24"/>
    <s v="Average"/>
    <d v="2022-05-05T00:00:00"/>
    <x v="0"/>
    <n v="100420"/>
    <x v="1"/>
    <x v="2"/>
    <n v="1"/>
  </r>
  <r>
    <s v="Hogan Iles"/>
    <x v="1"/>
    <n v="30"/>
    <s v="Average"/>
    <d v="2022-10-16T00:00:00"/>
    <x v="1"/>
    <n v="114180"/>
    <x v="1"/>
    <x v="2"/>
    <n v="1"/>
  </r>
  <r>
    <s v="Gretchen Callow"/>
    <x v="1"/>
    <n v="21"/>
    <s v="Average"/>
    <d v="2022-04-27T00:00:00"/>
    <x v="0"/>
    <n v="33920"/>
    <x v="1"/>
    <x v="2"/>
    <n v="1"/>
  </r>
  <r>
    <s v="Kissiah Maydway"/>
    <x v="0"/>
    <n v="23"/>
    <s v="Average"/>
    <d v="2021-09-01T00:00:00"/>
    <x v="1"/>
    <n v="106460"/>
    <x v="1"/>
    <x v="1"/>
    <n v="2"/>
  </r>
  <r>
    <s v="Archibald Filliskirk"/>
    <x v="0"/>
    <n v="35"/>
    <s v="Average"/>
    <d v="2022-06-15T00:00:00"/>
    <x v="1"/>
    <n v="40400"/>
    <x v="1"/>
    <x v="2"/>
    <n v="1"/>
  </r>
  <r>
    <s v="Enoch Dowrey"/>
    <x v="0"/>
    <n v="27"/>
    <s v="Above average"/>
    <d v="2021-02-09T00:00:00"/>
    <x v="3"/>
    <n v="91650"/>
    <x v="1"/>
    <x v="1"/>
    <n v="2"/>
  </r>
  <r>
    <s v="Bili Sizey"/>
    <x v="0"/>
    <n v="43"/>
    <s v="Average"/>
    <d v="2022-02-28T00:00:00"/>
    <x v="4"/>
    <n v="36040"/>
    <x v="1"/>
    <x v="2"/>
    <n v="1"/>
  </r>
  <r>
    <s v="Caro Chappel"/>
    <x v="1"/>
    <n v="40"/>
    <s v="Average"/>
    <d v="2021-07-04T00:00:00"/>
    <x v="0"/>
    <n v="104410"/>
    <x v="1"/>
    <x v="1"/>
    <n v="2"/>
  </r>
  <r>
    <s v="Constantino Espley"/>
    <x v="0"/>
    <n v="30"/>
    <s v="Average"/>
    <d v="2022-02-14T00:00:00"/>
    <x v="3"/>
    <n v="96800"/>
    <x v="1"/>
    <x v="2"/>
    <n v="1"/>
  </r>
  <r>
    <s v="Karlen McCaffrey"/>
    <x v="1"/>
    <n v="34"/>
    <s v="Average"/>
    <d v="2021-09-20T00:00:00"/>
    <x v="3"/>
    <n v="85000"/>
    <x v="1"/>
    <x v="1"/>
    <n v="2"/>
  </r>
  <r>
    <s v="Drusy MacCombe"/>
    <x v="0"/>
    <n v="28"/>
    <s v="Very poor"/>
    <d v="2022-09-16T00:00:00"/>
    <x v="4"/>
    <n v="43510"/>
    <x v="1"/>
    <x v="2"/>
    <n v="1"/>
  </r>
  <r>
    <s v="My Hanscome"/>
    <x v="0"/>
    <n v="33"/>
    <s v="Average"/>
    <d v="2021-02-16T00:00:00"/>
    <x v="3"/>
    <n v="59430"/>
    <x v="1"/>
    <x v="1"/>
    <n v="2"/>
  </r>
  <r>
    <s v="Teressa Udden"/>
    <x v="1"/>
    <n v="33"/>
    <s v="Average"/>
    <d v="2020-08-24T00:00:00"/>
    <x v="3"/>
    <n v="65360"/>
    <x v="1"/>
    <x v="0"/>
    <n v="3"/>
  </r>
  <r>
    <s v="Crissie Cordel"/>
    <x v="1"/>
    <n v="32"/>
    <s v="Average"/>
    <d v="2022-02-19T00:00:00"/>
    <x v="1"/>
    <n v="41570"/>
    <x v="1"/>
    <x v="2"/>
    <n v="1"/>
  </r>
  <r>
    <s v="Elia Cockton"/>
    <x v="1"/>
    <n v="33"/>
    <s v="Average"/>
    <d v="2021-04-26T00:00:00"/>
    <x v="0"/>
    <n v="75280"/>
    <x v="1"/>
    <x v="1"/>
    <n v="2"/>
  </r>
  <r>
    <s v="Gigi Bohling"/>
    <x v="0"/>
    <n v="33"/>
    <s v="Average"/>
    <d v="2021-07-08T00:00:00"/>
    <x v="4"/>
    <n v="74550"/>
    <x v="1"/>
    <x v="1"/>
    <n v="2"/>
  </r>
  <r>
    <s v="Ebonee Roxburgh"/>
    <x v="0"/>
    <n v="30"/>
    <s v="Average"/>
    <d v="2022-05-20T00:00:00"/>
    <x v="1"/>
    <n v="67950"/>
    <x v="1"/>
    <x v="2"/>
    <n v="1"/>
  </r>
  <r>
    <s v="Shayne Stegel"/>
    <x v="0"/>
    <n v="42"/>
    <s v="Poor"/>
    <d v="2022-06-19T00:00:00"/>
    <x v="3"/>
    <n v="70270"/>
    <x v="1"/>
    <x v="2"/>
    <n v="1"/>
  </r>
  <r>
    <s v="Zach Polon"/>
    <x v="0"/>
    <n v="26"/>
    <s v="Average"/>
    <d v="2021-08-03T00:00:00"/>
    <x v="1"/>
    <n v="53540"/>
    <x v="1"/>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54B954-B77D-4254-AB45-2FCDC5824CA2}" name="PivotTable2" cacheId="5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D8" firstHeaderRow="1" firstDataRow="2" firstDataCol="1"/>
  <pivotFields count="10">
    <pivotField dataField="1" showAll="0"/>
    <pivotField axis="axisCol" showAll="0">
      <items count="4">
        <item x="1"/>
        <item h="1" x="0"/>
        <item h="1" x="2"/>
        <item t="default"/>
      </items>
    </pivotField>
    <pivotField dataField="1" showAll="0"/>
    <pivotField showAll="0"/>
    <pivotField numFmtId="14" showAll="0"/>
    <pivotField showAll="0">
      <items count="6">
        <item x="3"/>
        <item x="2"/>
        <item x="1"/>
        <item x="4"/>
        <item x="0"/>
        <item t="default"/>
      </items>
    </pivotField>
    <pivotField dataField="1" showAll="0"/>
    <pivotField showAll="0">
      <items count="3">
        <item x="0"/>
        <item x="1"/>
        <item t="default"/>
      </items>
    </pivotField>
    <pivotField showAll="0">
      <items count="5">
        <item x="0"/>
        <item x="1"/>
        <item x="2"/>
        <item x="3"/>
        <item t="default"/>
      </items>
    </pivotField>
    <pivotField dataField="1" showAll="0"/>
  </pivotFields>
  <rowFields count="1">
    <field x="-2"/>
  </rowFields>
  <rowItems count="4">
    <i>
      <x/>
    </i>
    <i i="1">
      <x v="1"/>
    </i>
    <i i="2">
      <x v="2"/>
    </i>
    <i i="3">
      <x v="3"/>
    </i>
  </rowItems>
  <colFields count="1">
    <field x="1"/>
  </colFields>
  <colItems count="2">
    <i>
      <x/>
    </i>
    <i t="grand">
      <x/>
    </i>
  </colItems>
  <dataFields count="4">
    <dataField name="Count of Name" fld="0" subtotal="count" baseField="0" baseItem="0"/>
    <dataField name="Average of Age" fld="2" subtotal="average" baseField="1" baseItem="0"/>
    <dataField name="Average of Salary" fld="6" subtotal="average" baseField="1" baseItem="0"/>
    <dataField name="Average of Tenure (Years)" fld="9" subtotal="average" baseField="1" baseItem="0"/>
  </dataFields>
  <formats count="4">
    <format dxfId="19">
      <pivotArea collapsedLevelsAreSubtotals="1" fieldPosition="0">
        <references count="1">
          <reference field="4294967294" count="3">
            <x v="1"/>
            <x v="2"/>
            <x v="3"/>
          </reference>
        </references>
      </pivotArea>
    </format>
    <format dxfId="18">
      <pivotArea collapsedLevelsAreSubtotals="1" fieldPosition="0">
        <references count="1">
          <reference field="4294967294" count="1">
            <x v="2"/>
          </reference>
        </references>
      </pivotArea>
    </format>
    <format dxfId="17">
      <pivotArea outline="0" collapsedLevelsAreSubtotals="1"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2406A0-E373-4FFD-8A5F-04ED139C61CD}" name="PivotTable5" cacheId="1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9" firstHeaderRow="1" firstDataRow="1" firstDataCol="1"/>
  <pivotFields count="5">
    <pivotField axis="axisRow" allDrilled="1" subtotalTop="0" showAll="0" dataSourceSort="1"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axis="axisRow" allDrilled="1" subtotalTop="0" showAll="0" dataSourceSort="1" defaultSubtotal="0">
      <items count="3">
        <item x="0"/>
        <item x="1"/>
        <item x="2"/>
      </items>
    </pivotField>
    <pivotField axis="axisRow" allDrilled="1" subtotalTop="0" showAll="0" dataSourceSort="1" defaultSubtotal="0">
      <items count="4">
        <item x="0" e="0"/>
        <item x="1" e="0"/>
        <item x="2" e="0"/>
        <item x="3" e="0"/>
      </items>
    </pivotField>
    <pivotField axis="axisRow" allDrilled="1" subtotalTop="0" showAll="0" dataSourceSort="1" defaultSubtotal="0">
      <items count="4">
        <item x="0"/>
        <item x="1"/>
        <item x="2"/>
        <item x="3"/>
      </items>
    </pivotField>
    <pivotField dataField="1" subtotalTop="0" showAll="0" defaultSubtotal="0"/>
  </pivotFields>
  <rowFields count="4">
    <field x="3"/>
    <field x="2"/>
    <field x="1"/>
    <field x="0"/>
  </rowFields>
  <rowItems count="18">
    <i>
      <x/>
    </i>
    <i r="1">
      <x/>
    </i>
    <i r="1">
      <x v="1"/>
    </i>
    <i r="1">
      <x v="2"/>
    </i>
    <i>
      <x v="1"/>
    </i>
    <i r="1">
      <x v="3"/>
    </i>
    <i r="1">
      <x/>
    </i>
    <i r="1">
      <x v="1"/>
    </i>
    <i r="1">
      <x v="2"/>
    </i>
    <i>
      <x v="2"/>
    </i>
    <i r="1">
      <x v="3"/>
    </i>
    <i r="1">
      <x/>
    </i>
    <i r="1">
      <x v="1"/>
    </i>
    <i r="1">
      <x v="2"/>
    </i>
    <i>
      <x v="3"/>
    </i>
    <i r="1">
      <x v="3"/>
    </i>
    <i r="1">
      <x/>
    </i>
    <i t="grand">
      <x/>
    </i>
  </rowItems>
  <colItems count="1">
    <i/>
  </colItems>
  <dataFields count="1">
    <dataField name="Count of EMP" fld="4"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Count of EMP"/>
    <pivotHierarchy dragToData="1"/>
  </pivotHierarchies>
  <pivotTableStyleInfo name="PivotStyleLight16" showRowHeaders="1" showColHeaders="1" showRowStripes="0" showColStripes="0" showLastColumn="1"/>
  <rowHierarchiesUsage count="4">
    <rowHierarchyUsage hierarchyUsage="11"/>
    <rowHierarchyUsage hierarchyUsage="12"/>
    <rowHierarchyUsage hierarchyUsage="13"/>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Table_Final_Staff">
        <x15:activeTabTopLevelEntity name="[Table_Fina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9C84A2-F333-43DA-A4F7-8570B1B04596}" name="PivotTable7"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9" firstHeaderRow="1" firstDataRow="1" firstDataCol="1" rowPageCount="1" colPageCount="1"/>
  <pivotFields count="3">
    <pivotField axis="axisRow" allDrilled="1" subtotalTop="0" showAll="0"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1"/>
    </i>
    <i>
      <x v="3"/>
    </i>
    <i>
      <x/>
    </i>
    <i>
      <x v="2"/>
    </i>
    <i>
      <x v="4"/>
    </i>
    <i t="grand">
      <x/>
    </i>
  </rowItems>
  <colItems count="1">
    <i/>
  </colItems>
  <pageFields count="1">
    <pageField fld="2" hier="7" name="[Table_Final_Staff].[Country].&amp;[NZ]" cap="NZ"/>
  </pageFields>
  <dataFields count="1">
    <dataField name="Count of Name" fld="1" subtotal="count" baseField="0" baseItem="0"/>
  </dataFields>
  <chartFormats count="3">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Fina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76A197-0FC0-4E43-9CB9-50FF7E77762C}" name="PivotTable6" cacheId="2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9" firstHeaderRow="1" firstDataRow="1" firstDataCol="1" rowPageCount="1" colPageCount="1"/>
  <pivotFields count="3">
    <pivotField axis="axisRow" allDrilled="1" subtotalTop="0" showAll="0"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1"/>
    </i>
    <i>
      <x v="3"/>
    </i>
    <i>
      <x/>
    </i>
    <i>
      <x v="4"/>
    </i>
    <i>
      <x v="2"/>
    </i>
    <i t="grand">
      <x/>
    </i>
  </rowItems>
  <colItems count="1">
    <i/>
  </colItems>
  <pageFields count="1">
    <pageField fld="2" hier="7" name="[Table_Final_Staff].[Country].&amp;[IN]" cap="IN"/>
  </pageFields>
  <dataFields count="1">
    <dataField name="Count of Name" fld="1" subtotal="count" baseField="0" baseItem="0"/>
  </dataFields>
  <formats count="4">
    <format dxfId="3">
      <pivotArea field="0" type="button" dataOnly="0" labelOnly="1" outline="0" axis="axisRow"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3">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Final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1F640B-E276-4293-95FE-156A27B663D5}"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10" dataBound="0" tableColumnId="10"/>
      <queryTableField id="9" dataBound="0" tableColumnId="9"/>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OJ" xr10:uid="{D1CC3DA5-51AC-40EA-AA7E-281C86412FA6}" sourceName="YOJ">
  <pivotTables>
    <pivotTable tabId="8" name="PivotTable2"/>
  </pivotTables>
  <data>
    <tabular pivotCacheId="59417712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8BF311C-74B9-40D0-AD03-6CC99A41E978}" sourceName="Country">
  <pivotTables>
    <pivotTable tabId="8" name="PivotTable2"/>
  </pivotTables>
  <data>
    <tabular pivotCacheId="59417712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62C18C1-6026-49B4-BDB5-3406B9053D27}" sourceName="Department">
  <pivotTables>
    <pivotTable tabId="8" name="PivotTable2"/>
  </pivotTables>
  <data>
    <tabular pivotCacheId="594177125">
      <items count="5">
        <i x="3" s="1"/>
        <i x="2"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OJ" xr10:uid="{B55CCC30-E3BC-4F80-A4D8-D280193822D4}" cache="Slicer_YOJ" caption="YOJ" rowHeight="234950"/>
  <slicer name="Country" xr10:uid="{2FA1DD6D-880F-4E3A-9016-04DF1DD54CC7}" cache="Slicer_Country" caption="Country" rowHeight="234950"/>
  <slicer name="Department" xr10:uid="{2280AC8C-9326-42E0-BFFC-134E90AA5D1C}" cache="Slicer_Department" caption="Department"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ABAC5F-5510-4368-826E-14B28B54676D}" name="NZ_Staff" displayName="NZ_Staff" ref="C5:I106" totalsRowCount="1">
  <autoFilter ref="C5:I105" xr:uid="{59ABAC5F-5510-4368-826E-14B28B54676D}"/>
  <tableColumns count="7">
    <tableColumn id="1" xr3:uid="{BFCC2D52-2410-4FAE-B15C-01310586A4B0}" name="Name" totalsRowLabel="Total"/>
    <tableColumn id="2" xr3:uid="{1374939C-7376-4A83-8B97-5CA59F86AA22}" name="Gender"/>
    <tableColumn id="3" xr3:uid="{D8F51A7A-895F-4DDD-8D4D-7771389B8FB9}" name="Department"/>
    <tableColumn id="4" xr3:uid="{263B007A-9E55-479B-90A6-A1F2E3F115A6}" name="Age"/>
    <tableColumn id="5" xr3:uid="{2B5443A9-F7A3-4455-8DBB-6587BBDD9247}" name="Date Joined"/>
    <tableColumn id="6" xr3:uid="{C3FDEAC4-214E-40FF-8C37-A28C33AB51F0}" name="Salary"/>
    <tableColumn id="7" xr3:uid="{4BA2EBB3-DE01-45AA-98DA-C4701E7C2F42}"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EEB4BF-8344-483F-BC45-4702BFC5FB72}" name="IN_Staff" displayName="IN_Staff" ref="B2:H114" totalsRowShown="0">
  <autoFilter ref="B2:H114" xr:uid="{4CEEB4BF-8344-483F-BC45-4702BFC5FB72}"/>
  <tableColumns count="7">
    <tableColumn id="1" xr3:uid="{7A9FF921-1A33-4C5B-8B21-279EB0E92BA3}" name="Name"/>
    <tableColumn id="2" xr3:uid="{7DDF79BF-568E-4765-B118-6C20FAE31EA9}" name="Gender"/>
    <tableColumn id="3" xr3:uid="{58CC7D8E-39A8-4AC0-BDE5-19F63D069235}" name="Age"/>
    <tableColumn id="4" xr3:uid="{19BB43BE-F7BC-46D9-9736-8E261E9CEF4D}" name="Rating"/>
    <tableColumn id="5" xr3:uid="{113336C9-CCA2-4C54-8A8F-98C52709413A}" name="Date Joined" dataDxfId="20"/>
    <tableColumn id="6" xr3:uid="{5477AB31-3AF7-4054-AF88-88853011818C}" name="Department"/>
    <tableColumn id="7" xr3:uid="{9E2AE818-3DD1-4647-A2A7-2B6B3787AEA6}" name="Salary"/>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AB2F5B-D1B0-4F41-99CD-718B833221C1}" name="Table_Final_Staff" displayName="Table_Final_Staff" ref="A1:K184" tableType="queryTable" totalsRowShown="0" dataDxfId="8">
  <autoFilter ref="A1:K184" xr:uid="{A7AB2F5B-D1B0-4F41-99CD-718B833221C1}">
    <filterColumn colId="7">
      <filters>
        <filter val="NZ"/>
      </filters>
    </filterColumn>
  </autoFilter>
  <tableColumns count="11">
    <tableColumn id="1" xr3:uid="{ECAD444B-D63D-4A03-A876-EA600F663F64}" uniqueName="1" name="Name" queryTableFieldId="1" dataDxfId="15"/>
    <tableColumn id="2" xr3:uid="{59FCEFA2-B682-4089-8933-0B7D7BD8984A}" uniqueName="2" name="Gender" queryTableFieldId="2" dataDxfId="14"/>
    <tableColumn id="3" xr3:uid="{D8CFA3DC-153B-4BA9-87A8-A386BB31A2DF}" uniqueName="3" name="Age" queryTableFieldId="3" dataDxfId="13"/>
    <tableColumn id="4" xr3:uid="{C2F139FA-5BB7-473F-8D64-90953563CE1F}" uniqueName="4" name="Rating" queryTableFieldId="4" dataDxfId="12"/>
    <tableColumn id="5" xr3:uid="{39C07EA0-BE3A-4AF4-A87B-5811ABF70A6C}" uniqueName="5" name="Date Joined" queryTableFieldId="5" dataDxfId="11"/>
    <tableColumn id="6" xr3:uid="{4D593B3F-F1F8-4B98-9229-A69A9ED4CD75}" uniqueName="6" name="Department" queryTableFieldId="6" dataDxfId="6"/>
    <tableColumn id="7" xr3:uid="{DDDDE65E-097B-4AEF-B582-0A0D8A94FB2F}" uniqueName="7" name="Salary" queryTableFieldId="7" dataDxfId="4"/>
    <tableColumn id="8" xr3:uid="{FB646310-5866-42AF-BDCC-C87C759FB98D}" uniqueName="8" name="Country" queryTableFieldId="8" dataDxfId="5"/>
    <tableColumn id="10" xr3:uid="{5946BCF3-99C8-49F0-ACFE-62CEEAE341EC}" uniqueName="10" name="YOJ" queryTableFieldId="10" dataDxfId="10">
      <calculatedColumnFormula>YEAR(E2)</calculatedColumnFormula>
    </tableColumn>
    <tableColumn id="9" xr3:uid="{B6B7E1E8-CDF6-4275-A89D-7743FD134619}" uniqueName="9" name="Tenure (Years)" queryTableFieldId="9" dataDxfId="9">
      <calculatedColumnFormula>YEAR(TODAY())-YEAR(Table_Final_Staff[[#This Row],[Date Joined]])</calculatedColumnFormula>
    </tableColumn>
    <tableColumn id="11" xr3:uid="{C01CF04F-FEB6-48C7-A65B-526048A3D1BD}" uniqueName="11" name="Incremented Salary" queryTableFieldId="11" dataDxfId="7">
      <calculatedColumnFormula>IF(Table_Final_Staff[[#This Row],[Tenure (Years)]]&gt;2,Table_Final_Staff[[#This Row],[Salary]]*1.1,Table_Final_Staff[[#This Row],[Salary]]*1.05)</calculatedColumnFormula>
    </tableColumn>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tabColor theme="0" tint="-0.34998626667073579"/>
  </sheetPr>
  <dimension ref="A1:I106"/>
  <sheetViews>
    <sheetView showGridLines="0" topLeftCell="A82" workbookViewId="0">
      <selection activeCell="C6" sqref="C6:C105"/>
    </sheetView>
  </sheetViews>
  <sheetFormatPr defaultRowHeight="14.4" x14ac:dyDescent="0.3"/>
  <cols>
    <col min="1" max="1" width="1.6640625" customWidth="1"/>
    <col min="2" max="2" width="3.6640625" customWidth="1"/>
    <col min="3" max="3" width="27" customWidth="1"/>
    <col min="4" max="4" width="9" customWidth="1"/>
    <col min="5" max="5" width="13" customWidth="1"/>
    <col min="7" max="7" width="12.6640625"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I106">
        <f>SUBTOTAL(103,NZ_Staff[Rating])</f>
        <v>100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tabColor theme="0" tint="-0.34998626667073579"/>
  </sheetPr>
  <dimension ref="B2:H114"/>
  <sheetViews>
    <sheetView workbookViewId="0">
      <selection activeCell="K13" sqref="K13"/>
    </sheetView>
  </sheetViews>
  <sheetFormatPr defaultRowHeight="14.4" x14ac:dyDescent="0.3"/>
  <cols>
    <col min="2" max="2" width="27.21875" bestFit="1" customWidth="1"/>
    <col min="3" max="5" width="9.44140625" customWidth="1"/>
    <col min="6" max="6" width="12.6640625" customWidth="1"/>
    <col min="7" max="7" width="13" customWidth="1"/>
    <col min="8" max="8" width="9.44140625"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ED9C8-BCC6-4B3B-9052-38F4979850C2}">
  <sheetPr>
    <tabColor rgb="FF3333FF"/>
  </sheetPr>
  <dimension ref="A1:K184"/>
  <sheetViews>
    <sheetView topLeftCell="A160" workbookViewId="0">
      <selection activeCell="G94" sqref="G94:G184"/>
    </sheetView>
  </sheetViews>
  <sheetFormatPr defaultRowHeight="14.4" x14ac:dyDescent="0.3"/>
  <cols>
    <col min="1" max="1" width="26.109375"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8.88671875" style="16" bestFit="1" customWidth="1"/>
    <col min="8" max="8" width="10" bestFit="1" customWidth="1"/>
    <col min="9" max="9" width="10" customWidth="1"/>
    <col min="10" max="10" width="15.44140625" bestFit="1" customWidth="1"/>
    <col min="11" max="11" width="21.33203125" bestFit="1" customWidth="1"/>
    <col min="12" max="12" width="13.6640625" customWidth="1"/>
    <col min="13" max="13" width="15.5546875" customWidth="1"/>
    <col min="14" max="14" width="13" customWidth="1"/>
  </cols>
  <sheetData>
    <row r="1" spans="1:11" x14ac:dyDescent="0.3">
      <c r="A1" t="s">
        <v>0</v>
      </c>
      <c r="B1" t="s">
        <v>1</v>
      </c>
      <c r="C1" t="s">
        <v>3</v>
      </c>
      <c r="D1" t="s">
        <v>6</v>
      </c>
      <c r="E1" t="s">
        <v>4</v>
      </c>
      <c r="F1" t="s">
        <v>2</v>
      </c>
      <c r="G1" s="16" t="s">
        <v>5</v>
      </c>
      <c r="H1" t="s">
        <v>204</v>
      </c>
      <c r="I1" s="12" t="s">
        <v>246</v>
      </c>
      <c r="J1" t="s">
        <v>237</v>
      </c>
      <c r="K1" s="12" t="s">
        <v>247</v>
      </c>
    </row>
    <row r="2" spans="1:11" hidden="1" x14ac:dyDescent="0.3">
      <c r="A2" s="27" t="s">
        <v>156</v>
      </c>
      <c r="B2" s="27" t="s">
        <v>15</v>
      </c>
      <c r="C2" s="12">
        <v>20</v>
      </c>
      <c r="D2" s="27" t="s">
        <v>16</v>
      </c>
      <c r="E2" s="28">
        <v>44122</v>
      </c>
      <c r="F2" s="27" t="s">
        <v>12</v>
      </c>
      <c r="G2" s="35">
        <v>112650</v>
      </c>
      <c r="H2" s="27" t="s">
        <v>205</v>
      </c>
      <c r="I2" s="27">
        <f t="shared" ref="I2:I33" si="0">YEAR(E2)</f>
        <v>2020</v>
      </c>
      <c r="J2" s="27">
        <f ca="1">YEAR(TODAY())-YEAR(Table_Final_Staff[[#This Row],[Date Joined]])</f>
        <v>3</v>
      </c>
      <c r="K2" s="35">
        <f ca="1">IF(Table_Final_Staff[[#This Row],[Tenure (Years)]]&gt;2,Table_Final_Staff[[#This Row],[Salary]]*1.1,Table_Final_Staff[[#This Row],[Salary]]*1.05)</f>
        <v>123915.00000000001</v>
      </c>
    </row>
    <row r="3" spans="1:11" hidden="1" x14ac:dyDescent="0.3">
      <c r="A3" s="27" t="s">
        <v>176</v>
      </c>
      <c r="B3" s="27" t="s">
        <v>8</v>
      </c>
      <c r="C3" s="12">
        <v>32</v>
      </c>
      <c r="D3" s="27" t="s">
        <v>13</v>
      </c>
      <c r="E3" s="28">
        <v>44293</v>
      </c>
      <c r="F3" s="27" t="s">
        <v>12</v>
      </c>
      <c r="G3" s="35">
        <v>43840</v>
      </c>
      <c r="H3" s="27" t="s">
        <v>205</v>
      </c>
      <c r="I3" s="27">
        <f t="shared" si="0"/>
        <v>2021</v>
      </c>
      <c r="J3" s="27">
        <f ca="1">YEAR(TODAY())-YEAR(Table_Final_Staff[[#This Row],[Date Joined]])</f>
        <v>2</v>
      </c>
      <c r="K3" s="35">
        <f ca="1">IF(Table_Final_Staff[[#This Row],[Tenure (Years)]]&gt;2,Table_Final_Staff[[#This Row],[Salary]]*1.1,Table_Final_Staff[[#This Row],[Salary]]*1.05)</f>
        <v>46032</v>
      </c>
    </row>
    <row r="4" spans="1:11" hidden="1" x14ac:dyDescent="0.3">
      <c r="A4" s="27" t="s">
        <v>143</v>
      </c>
      <c r="B4" s="27" t="s">
        <v>15</v>
      </c>
      <c r="C4" s="12">
        <v>31</v>
      </c>
      <c r="D4" s="27" t="s">
        <v>16</v>
      </c>
      <c r="E4" s="28">
        <v>44663</v>
      </c>
      <c r="F4" s="27" t="s">
        <v>9</v>
      </c>
      <c r="G4" s="35">
        <v>103550</v>
      </c>
      <c r="H4" s="27" t="s">
        <v>205</v>
      </c>
      <c r="I4" s="27">
        <f t="shared" si="0"/>
        <v>2022</v>
      </c>
      <c r="J4" s="27">
        <f ca="1">YEAR(TODAY())-YEAR(Table_Final_Staff[[#This Row],[Date Joined]])</f>
        <v>1</v>
      </c>
      <c r="K4" s="35">
        <f ca="1">IF(Table_Final_Staff[[#This Row],[Tenure (Years)]]&gt;2,Table_Final_Staff[[#This Row],[Salary]]*1.1,Table_Final_Staff[[#This Row],[Salary]]*1.05)</f>
        <v>108727.5</v>
      </c>
    </row>
    <row r="5" spans="1:11" hidden="1" x14ac:dyDescent="0.3">
      <c r="A5" s="27" t="s">
        <v>201</v>
      </c>
      <c r="B5" s="27" t="s">
        <v>8</v>
      </c>
      <c r="C5" s="12">
        <v>32</v>
      </c>
      <c r="D5" s="27" t="s">
        <v>16</v>
      </c>
      <c r="E5" s="28">
        <v>44339</v>
      </c>
      <c r="F5" s="27" t="s">
        <v>56</v>
      </c>
      <c r="G5" s="35">
        <v>45510</v>
      </c>
      <c r="H5" s="27" t="s">
        <v>205</v>
      </c>
      <c r="I5" s="27">
        <f t="shared" si="0"/>
        <v>2021</v>
      </c>
      <c r="J5" s="27">
        <f ca="1">YEAR(TODAY())-YEAR(Table_Final_Staff[[#This Row],[Date Joined]])</f>
        <v>2</v>
      </c>
      <c r="K5" s="35">
        <f ca="1">IF(Table_Final_Staff[[#This Row],[Tenure (Years)]]&gt;2,Table_Final_Staff[[#This Row],[Salary]]*1.1,Table_Final_Staff[[#This Row],[Salary]]*1.05)</f>
        <v>47785.5</v>
      </c>
    </row>
    <row r="6" spans="1:11" hidden="1" x14ac:dyDescent="0.3">
      <c r="A6" s="27" t="s">
        <v>142</v>
      </c>
      <c r="B6" s="27" t="s">
        <v>206</v>
      </c>
      <c r="C6" s="12">
        <v>37</v>
      </c>
      <c r="D6" s="27" t="s">
        <v>24</v>
      </c>
      <c r="E6" s="28">
        <v>44085</v>
      </c>
      <c r="F6" s="27" t="s">
        <v>21</v>
      </c>
      <c r="G6" s="35">
        <v>115440</v>
      </c>
      <c r="H6" s="27" t="s">
        <v>205</v>
      </c>
      <c r="I6" s="27">
        <f t="shared" si="0"/>
        <v>2020</v>
      </c>
      <c r="J6" s="27">
        <f ca="1">YEAR(TODAY())-YEAR(Table_Final_Staff[[#This Row],[Date Joined]])</f>
        <v>3</v>
      </c>
      <c r="K6" s="35">
        <f ca="1">IF(Table_Final_Staff[[#This Row],[Tenure (Years)]]&gt;2,Table_Final_Staff[[#This Row],[Salary]]*1.1,Table_Final_Staff[[#This Row],[Salary]]*1.05)</f>
        <v>126984.00000000001</v>
      </c>
    </row>
    <row r="7" spans="1:11" hidden="1" x14ac:dyDescent="0.3">
      <c r="A7" s="27" t="s">
        <v>202</v>
      </c>
      <c r="B7" s="27" t="s">
        <v>8</v>
      </c>
      <c r="C7" s="12">
        <v>38</v>
      </c>
      <c r="D7" s="27" t="s">
        <v>13</v>
      </c>
      <c r="E7" s="28">
        <v>44268</v>
      </c>
      <c r="F7" s="27" t="s">
        <v>19</v>
      </c>
      <c r="G7" s="35">
        <v>56870</v>
      </c>
      <c r="H7" s="27" t="s">
        <v>205</v>
      </c>
      <c r="I7" s="27">
        <f t="shared" si="0"/>
        <v>2021</v>
      </c>
      <c r="J7" s="27">
        <f ca="1">YEAR(TODAY())-YEAR(Table_Final_Staff[[#This Row],[Date Joined]])</f>
        <v>2</v>
      </c>
      <c r="K7" s="35">
        <f ca="1">IF(Table_Final_Staff[[#This Row],[Tenure (Years)]]&gt;2,Table_Final_Staff[[#This Row],[Salary]]*1.1,Table_Final_Staff[[#This Row],[Salary]]*1.05)</f>
        <v>59713.5</v>
      </c>
    </row>
    <row r="8" spans="1:11" hidden="1" x14ac:dyDescent="0.3">
      <c r="A8" s="27" t="s">
        <v>169</v>
      </c>
      <c r="B8" s="27" t="s">
        <v>8</v>
      </c>
      <c r="C8" s="12">
        <v>25</v>
      </c>
      <c r="D8" s="27" t="s">
        <v>16</v>
      </c>
      <c r="E8" s="28">
        <v>44144</v>
      </c>
      <c r="F8" s="27" t="s">
        <v>19</v>
      </c>
      <c r="G8" s="35">
        <v>92700</v>
      </c>
      <c r="H8" s="27" t="s">
        <v>205</v>
      </c>
      <c r="I8" s="27">
        <f t="shared" si="0"/>
        <v>2020</v>
      </c>
      <c r="J8" s="27">
        <f ca="1">YEAR(TODAY())-YEAR(Table_Final_Staff[[#This Row],[Date Joined]])</f>
        <v>3</v>
      </c>
      <c r="K8" s="35">
        <f ca="1">IF(Table_Final_Staff[[#This Row],[Tenure (Years)]]&gt;2,Table_Final_Staff[[#This Row],[Salary]]*1.1,Table_Final_Staff[[#This Row],[Salary]]*1.05)</f>
        <v>101970.00000000001</v>
      </c>
    </row>
    <row r="9" spans="1:11" hidden="1" x14ac:dyDescent="0.3">
      <c r="A9" s="27" t="s">
        <v>145</v>
      </c>
      <c r="B9" s="27" t="s">
        <v>206</v>
      </c>
      <c r="C9" s="12">
        <v>32</v>
      </c>
      <c r="D9" s="27" t="s">
        <v>16</v>
      </c>
      <c r="E9" s="28">
        <v>44713</v>
      </c>
      <c r="F9" s="27" t="s">
        <v>12</v>
      </c>
      <c r="G9" s="35">
        <v>91310</v>
      </c>
      <c r="H9" s="27" t="s">
        <v>205</v>
      </c>
      <c r="I9" s="27">
        <f t="shared" si="0"/>
        <v>2022</v>
      </c>
      <c r="J9" s="27">
        <f ca="1">YEAR(TODAY())-YEAR(Table_Final_Staff[[#This Row],[Date Joined]])</f>
        <v>1</v>
      </c>
      <c r="K9" s="35">
        <f ca="1">IF(Table_Final_Staff[[#This Row],[Tenure (Years)]]&gt;2,Table_Final_Staff[[#This Row],[Salary]]*1.1,Table_Final_Staff[[#This Row],[Salary]]*1.05)</f>
        <v>95875.5</v>
      </c>
    </row>
    <row r="10" spans="1:11" hidden="1" x14ac:dyDescent="0.3">
      <c r="A10" s="27" t="s">
        <v>115</v>
      </c>
      <c r="B10" s="27" t="s">
        <v>15</v>
      </c>
      <c r="C10" s="12">
        <v>33</v>
      </c>
      <c r="D10" s="27" t="s">
        <v>16</v>
      </c>
      <c r="E10" s="28">
        <v>44324</v>
      </c>
      <c r="F10" s="27" t="s">
        <v>19</v>
      </c>
      <c r="G10" s="35">
        <v>74550</v>
      </c>
      <c r="H10" s="27" t="s">
        <v>205</v>
      </c>
      <c r="I10" s="27">
        <f t="shared" si="0"/>
        <v>2021</v>
      </c>
      <c r="J10" s="27">
        <f ca="1">YEAR(TODAY())-YEAR(Table_Final_Staff[[#This Row],[Date Joined]])</f>
        <v>2</v>
      </c>
      <c r="K10" s="35">
        <f ca="1">IF(Table_Final_Staff[[#This Row],[Tenure (Years)]]&gt;2,Table_Final_Staff[[#This Row],[Salary]]*1.1,Table_Final_Staff[[#This Row],[Salary]]*1.05)</f>
        <v>78277.5</v>
      </c>
    </row>
    <row r="11" spans="1:11" hidden="1" x14ac:dyDescent="0.3">
      <c r="A11" s="27" t="s">
        <v>128</v>
      </c>
      <c r="B11" s="27" t="s">
        <v>15</v>
      </c>
      <c r="C11" s="12">
        <v>25</v>
      </c>
      <c r="D11" s="27" t="s">
        <v>13</v>
      </c>
      <c r="E11" s="28">
        <v>44665</v>
      </c>
      <c r="F11" s="27" t="s">
        <v>9</v>
      </c>
      <c r="G11" s="35">
        <v>109190</v>
      </c>
      <c r="H11" s="27" t="s">
        <v>205</v>
      </c>
      <c r="I11" s="27">
        <f t="shared" si="0"/>
        <v>2022</v>
      </c>
      <c r="J11" s="27">
        <f ca="1">YEAR(TODAY())-YEAR(Table_Final_Staff[[#This Row],[Date Joined]])</f>
        <v>1</v>
      </c>
      <c r="K11" s="35">
        <f ca="1">IF(Table_Final_Staff[[#This Row],[Tenure (Years)]]&gt;2,Table_Final_Staff[[#This Row],[Salary]]*1.1,Table_Final_Staff[[#This Row],[Salary]]*1.05)</f>
        <v>114649.5</v>
      </c>
    </row>
    <row r="12" spans="1:11" hidden="1" x14ac:dyDescent="0.3">
      <c r="A12" s="27" t="s">
        <v>194</v>
      </c>
      <c r="B12" s="27" t="s">
        <v>8</v>
      </c>
      <c r="C12" s="12">
        <v>40</v>
      </c>
      <c r="D12" s="27" t="s">
        <v>16</v>
      </c>
      <c r="E12" s="28">
        <v>44320</v>
      </c>
      <c r="F12" s="27" t="s">
        <v>12</v>
      </c>
      <c r="G12" s="35">
        <v>104410</v>
      </c>
      <c r="H12" s="27" t="s">
        <v>205</v>
      </c>
      <c r="I12" s="27">
        <f t="shared" si="0"/>
        <v>2021</v>
      </c>
      <c r="J12" s="27">
        <f ca="1">YEAR(TODAY())-YEAR(Table_Final_Staff[[#This Row],[Date Joined]])</f>
        <v>2</v>
      </c>
      <c r="K12" s="35">
        <f ca="1">IF(Table_Final_Staff[[#This Row],[Tenure (Years)]]&gt;2,Table_Final_Staff[[#This Row],[Salary]]*1.1,Table_Final_Staff[[#This Row],[Salary]]*1.05)</f>
        <v>109630.5</v>
      </c>
    </row>
    <row r="13" spans="1:11" hidden="1" x14ac:dyDescent="0.3">
      <c r="A13" s="27" t="s">
        <v>177</v>
      </c>
      <c r="B13" s="27" t="s">
        <v>15</v>
      </c>
      <c r="C13" s="12">
        <v>30</v>
      </c>
      <c r="D13" s="27" t="s">
        <v>16</v>
      </c>
      <c r="E13" s="28">
        <v>44544</v>
      </c>
      <c r="F13" s="27" t="s">
        <v>21</v>
      </c>
      <c r="G13" s="35">
        <v>96800</v>
      </c>
      <c r="H13" s="27" t="s">
        <v>205</v>
      </c>
      <c r="I13" s="27">
        <f t="shared" si="0"/>
        <v>2021</v>
      </c>
      <c r="J13" s="27">
        <f ca="1">YEAR(TODAY())-YEAR(Table_Final_Staff[[#This Row],[Date Joined]])</f>
        <v>2</v>
      </c>
      <c r="K13" s="35">
        <f ca="1">IF(Table_Final_Staff[[#This Row],[Tenure (Years)]]&gt;2,Table_Final_Staff[[#This Row],[Salary]]*1.1,Table_Final_Staff[[#This Row],[Salary]]*1.05)</f>
        <v>101640</v>
      </c>
    </row>
    <row r="14" spans="1:11" hidden="1" x14ac:dyDescent="0.3">
      <c r="A14" s="27" t="s">
        <v>123</v>
      </c>
      <c r="B14" s="27" t="s">
        <v>15</v>
      </c>
      <c r="C14" s="12">
        <v>28</v>
      </c>
      <c r="D14" s="27" t="s">
        <v>13</v>
      </c>
      <c r="E14" s="28">
        <v>43980</v>
      </c>
      <c r="F14" s="27" t="s">
        <v>21</v>
      </c>
      <c r="G14" s="35">
        <v>48170</v>
      </c>
      <c r="H14" s="27" t="s">
        <v>205</v>
      </c>
      <c r="I14" s="27">
        <f t="shared" si="0"/>
        <v>2020</v>
      </c>
      <c r="J14" s="27">
        <f ca="1">YEAR(TODAY())-YEAR(Table_Final_Staff[[#This Row],[Date Joined]])</f>
        <v>3</v>
      </c>
      <c r="K14" s="35">
        <f ca="1">IF(Table_Final_Staff[[#This Row],[Tenure (Years)]]&gt;2,Table_Final_Staff[[#This Row],[Salary]]*1.1,Table_Final_Staff[[#This Row],[Salary]]*1.05)</f>
        <v>52987.000000000007</v>
      </c>
    </row>
    <row r="15" spans="1:11" hidden="1" x14ac:dyDescent="0.3">
      <c r="A15" s="27" t="s">
        <v>140</v>
      </c>
      <c r="B15" s="27" t="s">
        <v>15</v>
      </c>
      <c r="C15" s="12">
        <v>21</v>
      </c>
      <c r="D15" s="27" t="s">
        <v>16</v>
      </c>
      <c r="E15" s="28">
        <v>44042</v>
      </c>
      <c r="F15" s="27" t="s">
        <v>9</v>
      </c>
      <c r="G15" s="35">
        <v>37920</v>
      </c>
      <c r="H15" s="27" t="s">
        <v>205</v>
      </c>
      <c r="I15" s="27">
        <f t="shared" si="0"/>
        <v>2020</v>
      </c>
      <c r="J15" s="27">
        <f ca="1">YEAR(TODAY())-YEAR(Table_Final_Staff[[#This Row],[Date Joined]])</f>
        <v>3</v>
      </c>
      <c r="K15" s="35">
        <f ca="1">IF(Table_Final_Staff[[#This Row],[Tenure (Years)]]&gt;2,Table_Final_Staff[[#This Row],[Salary]]*1.1,Table_Final_Staff[[#This Row],[Salary]]*1.05)</f>
        <v>41712</v>
      </c>
    </row>
    <row r="16" spans="1:11" hidden="1" x14ac:dyDescent="0.3">
      <c r="A16" s="27" t="s">
        <v>178</v>
      </c>
      <c r="B16" s="27" t="s">
        <v>15</v>
      </c>
      <c r="C16" s="12">
        <v>34</v>
      </c>
      <c r="D16" s="27" t="s">
        <v>16</v>
      </c>
      <c r="E16" s="28">
        <v>44642</v>
      </c>
      <c r="F16" s="27" t="s">
        <v>9</v>
      </c>
      <c r="G16" s="35">
        <v>112650</v>
      </c>
      <c r="H16" s="27" t="s">
        <v>205</v>
      </c>
      <c r="I16" s="27">
        <f t="shared" si="0"/>
        <v>2022</v>
      </c>
      <c r="J16" s="27">
        <f ca="1">YEAR(TODAY())-YEAR(Table_Final_Staff[[#This Row],[Date Joined]])</f>
        <v>1</v>
      </c>
      <c r="K16" s="35">
        <f ca="1">IF(Table_Final_Staff[[#This Row],[Tenure (Years)]]&gt;2,Table_Final_Staff[[#This Row],[Salary]]*1.1,Table_Final_Staff[[#This Row],[Salary]]*1.05)</f>
        <v>118282.5</v>
      </c>
    </row>
    <row r="17" spans="1:11" hidden="1" x14ac:dyDescent="0.3">
      <c r="A17" s="27" t="s">
        <v>165</v>
      </c>
      <c r="B17" s="27" t="s">
        <v>8</v>
      </c>
      <c r="C17" s="12">
        <v>34</v>
      </c>
      <c r="D17" s="27" t="s">
        <v>24</v>
      </c>
      <c r="E17" s="28">
        <v>44660</v>
      </c>
      <c r="F17" s="27" t="s">
        <v>19</v>
      </c>
      <c r="G17" s="35">
        <v>49630</v>
      </c>
      <c r="H17" s="27" t="s">
        <v>205</v>
      </c>
      <c r="I17" s="27">
        <f t="shared" si="0"/>
        <v>2022</v>
      </c>
      <c r="J17" s="27">
        <f ca="1">YEAR(TODAY())-YEAR(Table_Final_Staff[[#This Row],[Date Joined]])</f>
        <v>1</v>
      </c>
      <c r="K17" s="35">
        <f ca="1">IF(Table_Final_Staff[[#This Row],[Tenure (Years)]]&gt;2,Table_Final_Staff[[#This Row],[Salary]]*1.1,Table_Final_Staff[[#This Row],[Salary]]*1.05)</f>
        <v>52111.5</v>
      </c>
    </row>
    <row r="18" spans="1:11" hidden="1" x14ac:dyDescent="0.3">
      <c r="A18" s="27" t="s">
        <v>199</v>
      </c>
      <c r="B18" s="27" t="s">
        <v>15</v>
      </c>
      <c r="C18" s="12">
        <v>36</v>
      </c>
      <c r="D18" s="27" t="s">
        <v>16</v>
      </c>
      <c r="E18" s="28">
        <v>43958</v>
      </c>
      <c r="F18" s="27" t="s">
        <v>12</v>
      </c>
      <c r="G18" s="35">
        <v>118840</v>
      </c>
      <c r="H18" s="27" t="s">
        <v>205</v>
      </c>
      <c r="I18" s="27">
        <f t="shared" si="0"/>
        <v>2020</v>
      </c>
      <c r="J18" s="27">
        <f ca="1">YEAR(TODAY())-YEAR(Table_Final_Staff[[#This Row],[Date Joined]])</f>
        <v>3</v>
      </c>
      <c r="K18" s="35">
        <f ca="1">IF(Table_Final_Staff[[#This Row],[Tenure (Years)]]&gt;2,Table_Final_Staff[[#This Row],[Salary]]*1.1,Table_Final_Staff[[#This Row],[Salary]]*1.05)</f>
        <v>130724.00000000001</v>
      </c>
    </row>
    <row r="19" spans="1:11" hidden="1" x14ac:dyDescent="0.3">
      <c r="A19" s="27" t="s">
        <v>159</v>
      </c>
      <c r="B19" s="27" t="s">
        <v>15</v>
      </c>
      <c r="C19" s="12">
        <v>30</v>
      </c>
      <c r="D19" s="27" t="s">
        <v>16</v>
      </c>
      <c r="E19" s="28">
        <v>44789</v>
      </c>
      <c r="F19" s="27" t="s">
        <v>12</v>
      </c>
      <c r="G19" s="35">
        <v>69710</v>
      </c>
      <c r="H19" s="27" t="s">
        <v>205</v>
      </c>
      <c r="I19" s="27">
        <f t="shared" si="0"/>
        <v>2022</v>
      </c>
      <c r="J19" s="27">
        <f ca="1">YEAR(TODAY())-YEAR(Table_Final_Staff[[#This Row],[Date Joined]])</f>
        <v>1</v>
      </c>
      <c r="K19" s="35">
        <f ca="1">IF(Table_Final_Staff[[#This Row],[Tenure (Years)]]&gt;2,Table_Final_Staff[[#This Row],[Salary]]*1.1,Table_Final_Staff[[#This Row],[Salary]]*1.05)</f>
        <v>73195.5</v>
      </c>
    </row>
    <row r="20" spans="1:11" hidden="1" x14ac:dyDescent="0.3">
      <c r="A20" s="27" t="s">
        <v>197</v>
      </c>
      <c r="B20" s="27" t="s">
        <v>15</v>
      </c>
      <c r="C20" s="12">
        <v>20</v>
      </c>
      <c r="D20" s="27" t="s">
        <v>16</v>
      </c>
      <c r="E20" s="28">
        <v>44683</v>
      </c>
      <c r="F20" s="27" t="s">
        <v>9</v>
      </c>
      <c r="G20" s="35">
        <v>79570</v>
      </c>
      <c r="H20" s="27" t="s">
        <v>205</v>
      </c>
      <c r="I20" s="27">
        <f t="shared" si="0"/>
        <v>2022</v>
      </c>
      <c r="J20" s="27">
        <f ca="1">YEAR(TODAY())-YEAR(Table_Final_Staff[[#This Row],[Date Joined]])</f>
        <v>1</v>
      </c>
      <c r="K20" s="35">
        <f ca="1">IF(Table_Final_Staff[[#This Row],[Tenure (Years)]]&gt;2,Table_Final_Staff[[#This Row],[Salary]]*1.1,Table_Final_Staff[[#This Row],[Salary]]*1.05)</f>
        <v>83548.5</v>
      </c>
    </row>
    <row r="21" spans="1:11" hidden="1" x14ac:dyDescent="0.3">
      <c r="A21" s="27" t="s">
        <v>154</v>
      </c>
      <c r="B21" s="27" t="s">
        <v>8</v>
      </c>
      <c r="C21" s="12">
        <v>22</v>
      </c>
      <c r="D21" s="27" t="s">
        <v>13</v>
      </c>
      <c r="E21" s="28">
        <v>44388</v>
      </c>
      <c r="F21" s="27" t="s">
        <v>9</v>
      </c>
      <c r="G21" s="35">
        <v>76900</v>
      </c>
      <c r="H21" s="27" t="s">
        <v>205</v>
      </c>
      <c r="I21" s="27">
        <f t="shared" si="0"/>
        <v>2021</v>
      </c>
      <c r="J21" s="27">
        <f ca="1">YEAR(TODAY())-YEAR(Table_Final_Staff[[#This Row],[Date Joined]])</f>
        <v>2</v>
      </c>
      <c r="K21" s="35">
        <f ca="1">IF(Table_Final_Staff[[#This Row],[Tenure (Years)]]&gt;2,Table_Final_Staff[[#This Row],[Salary]]*1.1,Table_Final_Staff[[#This Row],[Salary]]*1.05)</f>
        <v>80745</v>
      </c>
    </row>
    <row r="22" spans="1:11" hidden="1" x14ac:dyDescent="0.3">
      <c r="A22" s="27" t="s">
        <v>182</v>
      </c>
      <c r="B22" s="27" t="s">
        <v>15</v>
      </c>
      <c r="C22" s="12">
        <v>27</v>
      </c>
      <c r="D22" s="27" t="s">
        <v>16</v>
      </c>
      <c r="E22" s="28">
        <v>44073</v>
      </c>
      <c r="F22" s="27" t="s">
        <v>19</v>
      </c>
      <c r="G22" s="35">
        <v>54970</v>
      </c>
      <c r="H22" s="27" t="s">
        <v>205</v>
      </c>
      <c r="I22" s="27">
        <f t="shared" si="0"/>
        <v>2020</v>
      </c>
      <c r="J22" s="27">
        <f ca="1">YEAR(TODAY())-YEAR(Table_Final_Staff[[#This Row],[Date Joined]])</f>
        <v>3</v>
      </c>
      <c r="K22" s="35">
        <f ca="1">IF(Table_Final_Staff[[#This Row],[Tenure (Years)]]&gt;2,Table_Final_Staff[[#This Row],[Salary]]*1.1,Table_Final_Staff[[#This Row],[Salary]]*1.05)</f>
        <v>60467.000000000007</v>
      </c>
    </row>
    <row r="23" spans="1:11" hidden="1" x14ac:dyDescent="0.3">
      <c r="A23" s="27" t="s">
        <v>118</v>
      </c>
      <c r="B23" s="27" t="s">
        <v>15</v>
      </c>
      <c r="C23" s="12">
        <v>37</v>
      </c>
      <c r="D23" s="27" t="s">
        <v>24</v>
      </c>
      <c r="E23" s="28">
        <v>44277</v>
      </c>
      <c r="F23" s="27" t="s">
        <v>12</v>
      </c>
      <c r="G23" s="35">
        <v>88050</v>
      </c>
      <c r="H23" s="27" t="s">
        <v>205</v>
      </c>
      <c r="I23" s="27">
        <f t="shared" si="0"/>
        <v>2021</v>
      </c>
      <c r="J23" s="27">
        <f ca="1">YEAR(TODAY())-YEAR(Table_Final_Staff[[#This Row],[Date Joined]])</f>
        <v>2</v>
      </c>
      <c r="K23" s="35">
        <f ca="1">IF(Table_Final_Staff[[#This Row],[Tenure (Years)]]&gt;2,Table_Final_Staff[[#This Row],[Salary]]*1.1,Table_Final_Staff[[#This Row],[Salary]]*1.05)</f>
        <v>92452.5</v>
      </c>
    </row>
    <row r="24" spans="1:11" hidden="1" x14ac:dyDescent="0.3">
      <c r="A24" s="27" t="s">
        <v>192</v>
      </c>
      <c r="B24" s="27" t="s">
        <v>15</v>
      </c>
      <c r="C24" s="12">
        <v>43</v>
      </c>
      <c r="D24" s="27" t="s">
        <v>16</v>
      </c>
      <c r="E24" s="28">
        <v>44558</v>
      </c>
      <c r="F24" s="27" t="s">
        <v>19</v>
      </c>
      <c r="G24" s="35">
        <v>36040</v>
      </c>
      <c r="H24" s="27" t="s">
        <v>205</v>
      </c>
      <c r="I24" s="27">
        <f t="shared" si="0"/>
        <v>2021</v>
      </c>
      <c r="J24" s="27">
        <f ca="1">YEAR(TODAY())-YEAR(Table_Final_Staff[[#This Row],[Date Joined]])</f>
        <v>2</v>
      </c>
      <c r="K24" s="35">
        <f ca="1">IF(Table_Final_Staff[[#This Row],[Tenure (Years)]]&gt;2,Table_Final_Staff[[#This Row],[Salary]]*1.1,Table_Final_Staff[[#This Row],[Salary]]*1.05)</f>
        <v>37842</v>
      </c>
    </row>
    <row r="25" spans="1:11" hidden="1" x14ac:dyDescent="0.3">
      <c r="A25" s="27" t="s">
        <v>111</v>
      </c>
      <c r="B25" s="27" t="s">
        <v>8</v>
      </c>
      <c r="C25" s="12">
        <v>42</v>
      </c>
      <c r="D25" s="27" t="s">
        <v>10</v>
      </c>
      <c r="E25" s="28">
        <v>44718</v>
      </c>
      <c r="F25" s="27" t="s">
        <v>9</v>
      </c>
      <c r="G25" s="35">
        <v>75000</v>
      </c>
      <c r="H25" s="27" t="s">
        <v>205</v>
      </c>
      <c r="I25" s="27">
        <f t="shared" si="0"/>
        <v>2022</v>
      </c>
      <c r="J25" s="27">
        <f ca="1">YEAR(TODAY())-YEAR(Table_Final_Staff[[#This Row],[Date Joined]])</f>
        <v>1</v>
      </c>
      <c r="K25" s="35">
        <f ca="1">IF(Table_Final_Staff[[#This Row],[Tenure (Years)]]&gt;2,Table_Final_Staff[[#This Row],[Salary]]*1.1,Table_Final_Staff[[#This Row],[Salary]]*1.05)</f>
        <v>78750</v>
      </c>
    </row>
    <row r="26" spans="1:11" hidden="1" x14ac:dyDescent="0.3">
      <c r="A26" s="27" t="s">
        <v>149</v>
      </c>
      <c r="B26" s="27" t="s">
        <v>15</v>
      </c>
      <c r="C26" s="12">
        <v>35</v>
      </c>
      <c r="D26" s="27" t="s">
        <v>16</v>
      </c>
      <c r="E26" s="28">
        <v>44666</v>
      </c>
      <c r="F26" s="27" t="s">
        <v>9</v>
      </c>
      <c r="G26" s="35">
        <v>40400</v>
      </c>
      <c r="H26" s="27" t="s">
        <v>205</v>
      </c>
      <c r="I26" s="27">
        <f t="shared" si="0"/>
        <v>2022</v>
      </c>
      <c r="J26" s="27">
        <f ca="1">YEAR(TODAY())-YEAR(Table_Final_Staff[[#This Row],[Date Joined]])</f>
        <v>1</v>
      </c>
      <c r="K26" s="35">
        <f ca="1">IF(Table_Final_Staff[[#This Row],[Tenure (Years)]]&gt;2,Table_Final_Staff[[#This Row],[Salary]]*1.1,Table_Final_Staff[[#This Row],[Salary]]*1.05)</f>
        <v>42420</v>
      </c>
    </row>
    <row r="27" spans="1:11" hidden="1" x14ac:dyDescent="0.3">
      <c r="A27" s="27" t="s">
        <v>196</v>
      </c>
      <c r="B27" s="27" t="s">
        <v>15</v>
      </c>
      <c r="C27" s="12">
        <v>24</v>
      </c>
      <c r="D27" s="27" t="s">
        <v>16</v>
      </c>
      <c r="E27" s="28">
        <v>44625</v>
      </c>
      <c r="F27" s="27" t="s">
        <v>12</v>
      </c>
      <c r="G27" s="35">
        <v>100420</v>
      </c>
      <c r="H27" s="27" t="s">
        <v>205</v>
      </c>
      <c r="I27" s="27">
        <f t="shared" si="0"/>
        <v>2022</v>
      </c>
      <c r="J27" s="27">
        <f ca="1">YEAR(TODAY())-YEAR(Table_Final_Staff[[#This Row],[Date Joined]])</f>
        <v>1</v>
      </c>
      <c r="K27" s="35">
        <f ca="1">IF(Table_Final_Staff[[#This Row],[Tenure (Years)]]&gt;2,Table_Final_Staff[[#This Row],[Salary]]*1.1,Table_Final_Staff[[#This Row],[Salary]]*1.05)</f>
        <v>105441</v>
      </c>
    </row>
    <row r="28" spans="1:11" hidden="1" x14ac:dyDescent="0.3">
      <c r="A28" s="27" t="s">
        <v>120</v>
      </c>
      <c r="B28" s="27" t="s">
        <v>8</v>
      </c>
      <c r="C28" s="12">
        <v>31</v>
      </c>
      <c r="D28" s="27" t="s">
        <v>16</v>
      </c>
      <c r="E28" s="28">
        <v>44604</v>
      </c>
      <c r="F28" s="27" t="s">
        <v>12</v>
      </c>
      <c r="G28" s="35">
        <v>58100</v>
      </c>
      <c r="H28" s="27" t="s">
        <v>205</v>
      </c>
      <c r="I28" s="27">
        <f t="shared" si="0"/>
        <v>2022</v>
      </c>
      <c r="J28" s="27">
        <f ca="1">YEAR(TODAY())-YEAR(Table_Final_Staff[[#This Row],[Date Joined]])</f>
        <v>1</v>
      </c>
      <c r="K28" s="35">
        <f ca="1">IF(Table_Final_Staff[[#This Row],[Tenure (Years)]]&gt;2,Table_Final_Staff[[#This Row],[Salary]]*1.1,Table_Final_Staff[[#This Row],[Salary]]*1.05)</f>
        <v>61005</v>
      </c>
    </row>
    <row r="29" spans="1:11" hidden="1" x14ac:dyDescent="0.3">
      <c r="A29" s="27" t="s">
        <v>114</v>
      </c>
      <c r="B29" s="27" t="s">
        <v>8</v>
      </c>
      <c r="C29" s="12">
        <v>44</v>
      </c>
      <c r="D29" s="27" t="s">
        <v>16</v>
      </c>
      <c r="E29" s="28">
        <v>44985</v>
      </c>
      <c r="F29" s="27" t="s">
        <v>12</v>
      </c>
      <c r="G29" s="35">
        <v>114870</v>
      </c>
      <c r="H29" s="27" t="s">
        <v>205</v>
      </c>
      <c r="I29" s="27">
        <f t="shared" si="0"/>
        <v>2023</v>
      </c>
      <c r="J29" s="27">
        <f ca="1">YEAR(TODAY())-YEAR(Table_Final_Staff[[#This Row],[Date Joined]])</f>
        <v>0</v>
      </c>
      <c r="K29" s="35">
        <f ca="1">IF(Table_Final_Staff[[#This Row],[Tenure (Years)]]&gt;2,Table_Final_Staff[[#This Row],[Salary]]*1.1,Table_Final_Staff[[#This Row],[Salary]]*1.05)</f>
        <v>120613.5</v>
      </c>
    </row>
    <row r="30" spans="1:11" hidden="1" x14ac:dyDescent="0.3">
      <c r="A30" s="27" t="s">
        <v>158</v>
      </c>
      <c r="B30" s="27" t="s">
        <v>8</v>
      </c>
      <c r="C30" s="12">
        <v>32</v>
      </c>
      <c r="D30" s="27" t="s">
        <v>16</v>
      </c>
      <c r="E30" s="28">
        <v>44549</v>
      </c>
      <c r="F30" s="27" t="s">
        <v>9</v>
      </c>
      <c r="G30" s="35">
        <v>41570</v>
      </c>
      <c r="H30" s="27" t="s">
        <v>205</v>
      </c>
      <c r="I30" s="27">
        <f t="shared" si="0"/>
        <v>2021</v>
      </c>
      <c r="J30" s="27">
        <f ca="1">YEAR(TODAY())-YEAR(Table_Final_Staff[[#This Row],[Date Joined]])</f>
        <v>2</v>
      </c>
      <c r="K30" s="35">
        <f ca="1">IF(Table_Final_Staff[[#This Row],[Tenure (Years)]]&gt;2,Table_Final_Staff[[#This Row],[Salary]]*1.1,Table_Final_Staff[[#This Row],[Salary]]*1.05)</f>
        <v>43648.5</v>
      </c>
    </row>
    <row r="31" spans="1:11" hidden="1" x14ac:dyDescent="0.3">
      <c r="A31" s="27" t="s">
        <v>173</v>
      </c>
      <c r="B31" s="27" t="s">
        <v>8</v>
      </c>
      <c r="C31" s="12">
        <v>30</v>
      </c>
      <c r="D31" s="27" t="s">
        <v>16</v>
      </c>
      <c r="E31" s="28">
        <v>44800</v>
      </c>
      <c r="F31" s="27" t="s">
        <v>9</v>
      </c>
      <c r="G31" s="35">
        <v>112570</v>
      </c>
      <c r="H31" s="27" t="s">
        <v>205</v>
      </c>
      <c r="I31" s="27">
        <f t="shared" si="0"/>
        <v>2022</v>
      </c>
      <c r="J31" s="27">
        <f ca="1">YEAR(TODAY())-YEAR(Table_Final_Staff[[#This Row],[Date Joined]])</f>
        <v>1</v>
      </c>
      <c r="K31" s="35">
        <f ca="1">IF(Table_Final_Staff[[#This Row],[Tenure (Years)]]&gt;2,Table_Final_Staff[[#This Row],[Salary]]*1.1,Table_Final_Staff[[#This Row],[Salary]]*1.05)</f>
        <v>118198.5</v>
      </c>
    </row>
    <row r="32" spans="1:11" hidden="1" x14ac:dyDescent="0.3">
      <c r="A32" s="27" t="s">
        <v>151</v>
      </c>
      <c r="B32" s="27" t="s">
        <v>15</v>
      </c>
      <c r="C32" s="12">
        <v>26</v>
      </c>
      <c r="D32" s="27" t="s">
        <v>16</v>
      </c>
      <c r="E32" s="28">
        <v>44164</v>
      </c>
      <c r="F32" s="27" t="s">
        <v>9</v>
      </c>
      <c r="G32" s="35">
        <v>47360</v>
      </c>
      <c r="H32" s="27" t="s">
        <v>205</v>
      </c>
      <c r="I32" s="27">
        <f t="shared" si="0"/>
        <v>2020</v>
      </c>
      <c r="J32" s="27">
        <f ca="1">YEAR(TODAY())-YEAR(Table_Final_Staff[[#This Row],[Date Joined]])</f>
        <v>3</v>
      </c>
      <c r="K32" s="35">
        <f ca="1">IF(Table_Final_Staff[[#This Row],[Tenure (Years)]]&gt;2,Table_Final_Staff[[#This Row],[Salary]]*1.1,Table_Final_Staff[[#This Row],[Salary]]*1.05)</f>
        <v>52096.000000000007</v>
      </c>
    </row>
    <row r="33" spans="1:11" hidden="1" x14ac:dyDescent="0.3">
      <c r="A33" s="27" t="s">
        <v>126</v>
      </c>
      <c r="B33" s="27" t="s">
        <v>8</v>
      </c>
      <c r="C33" s="12">
        <v>21</v>
      </c>
      <c r="D33" s="27" t="s">
        <v>16</v>
      </c>
      <c r="E33" s="28">
        <v>44256</v>
      </c>
      <c r="F33" s="27" t="s">
        <v>21</v>
      </c>
      <c r="G33" s="35">
        <v>65920</v>
      </c>
      <c r="H33" s="27" t="s">
        <v>205</v>
      </c>
      <c r="I33" s="27">
        <f t="shared" si="0"/>
        <v>2021</v>
      </c>
      <c r="J33" s="27">
        <f ca="1">YEAR(TODAY())-YEAR(Table_Final_Staff[[#This Row],[Date Joined]])</f>
        <v>2</v>
      </c>
      <c r="K33" s="35">
        <f ca="1">IF(Table_Final_Staff[[#This Row],[Tenure (Years)]]&gt;2,Table_Final_Staff[[#This Row],[Salary]]*1.1,Table_Final_Staff[[#This Row],[Salary]]*1.05)</f>
        <v>69216</v>
      </c>
    </row>
    <row r="34" spans="1:11" hidden="1" x14ac:dyDescent="0.3">
      <c r="A34" s="27" t="s">
        <v>200</v>
      </c>
      <c r="B34" s="27" t="s">
        <v>8</v>
      </c>
      <c r="C34" s="12">
        <v>28</v>
      </c>
      <c r="D34" s="27" t="s">
        <v>16</v>
      </c>
      <c r="E34" s="28">
        <v>44571</v>
      </c>
      <c r="F34" s="27" t="s">
        <v>9</v>
      </c>
      <c r="G34" s="35">
        <v>99970</v>
      </c>
      <c r="H34" s="27" t="s">
        <v>205</v>
      </c>
      <c r="I34" s="27">
        <f t="shared" ref="I34:I65" si="1">YEAR(E34)</f>
        <v>2022</v>
      </c>
      <c r="J34" s="27">
        <f ca="1">YEAR(TODAY())-YEAR(Table_Final_Staff[[#This Row],[Date Joined]])</f>
        <v>1</v>
      </c>
      <c r="K34" s="35">
        <f ca="1">IF(Table_Final_Staff[[#This Row],[Tenure (Years)]]&gt;2,Table_Final_Staff[[#This Row],[Salary]]*1.1,Table_Final_Staff[[#This Row],[Salary]]*1.05)</f>
        <v>104968.5</v>
      </c>
    </row>
    <row r="35" spans="1:11" hidden="1" x14ac:dyDescent="0.3">
      <c r="A35" s="27" t="s">
        <v>133</v>
      </c>
      <c r="B35" s="27" t="s">
        <v>8</v>
      </c>
      <c r="C35" s="12">
        <v>25</v>
      </c>
      <c r="D35" s="27" t="s">
        <v>13</v>
      </c>
      <c r="E35" s="28">
        <v>44633</v>
      </c>
      <c r="F35" s="27" t="s">
        <v>12</v>
      </c>
      <c r="G35" s="35">
        <v>80700</v>
      </c>
      <c r="H35" s="27" t="s">
        <v>205</v>
      </c>
      <c r="I35" s="27">
        <f t="shared" si="1"/>
        <v>2022</v>
      </c>
      <c r="J35" s="27">
        <f ca="1">YEAR(TODAY())-YEAR(Table_Final_Staff[[#This Row],[Date Joined]])</f>
        <v>1</v>
      </c>
      <c r="K35" s="35">
        <f ca="1">IF(Table_Final_Staff[[#This Row],[Tenure (Years)]]&gt;2,Table_Final_Staff[[#This Row],[Salary]]*1.1,Table_Final_Staff[[#This Row],[Salary]]*1.05)</f>
        <v>84735</v>
      </c>
    </row>
    <row r="36" spans="1:11" hidden="1" x14ac:dyDescent="0.3">
      <c r="A36" s="27" t="s">
        <v>155</v>
      </c>
      <c r="B36" s="27" t="s">
        <v>15</v>
      </c>
      <c r="C36" s="12">
        <v>24</v>
      </c>
      <c r="D36" s="27" t="s">
        <v>24</v>
      </c>
      <c r="E36" s="28">
        <v>44375</v>
      </c>
      <c r="F36" s="27" t="s">
        <v>21</v>
      </c>
      <c r="G36" s="35">
        <v>52610</v>
      </c>
      <c r="H36" s="27" t="s">
        <v>205</v>
      </c>
      <c r="I36" s="27">
        <f t="shared" si="1"/>
        <v>2021</v>
      </c>
      <c r="J36" s="27">
        <f ca="1">YEAR(TODAY())-YEAR(Table_Final_Staff[[#This Row],[Date Joined]])</f>
        <v>2</v>
      </c>
      <c r="K36" s="35">
        <f ca="1">IF(Table_Final_Staff[[#This Row],[Tenure (Years)]]&gt;2,Table_Final_Staff[[#This Row],[Salary]]*1.1,Table_Final_Staff[[#This Row],[Salary]]*1.05)</f>
        <v>55240.5</v>
      </c>
    </row>
    <row r="37" spans="1:11" hidden="1" x14ac:dyDescent="0.3">
      <c r="A37" s="27" t="s">
        <v>180</v>
      </c>
      <c r="B37" s="27" t="s">
        <v>15</v>
      </c>
      <c r="C37" s="12">
        <v>29</v>
      </c>
      <c r="D37" s="27" t="s">
        <v>24</v>
      </c>
      <c r="E37" s="28">
        <v>44119</v>
      </c>
      <c r="F37" s="27" t="s">
        <v>12</v>
      </c>
      <c r="G37" s="35">
        <v>112110</v>
      </c>
      <c r="H37" s="27" t="s">
        <v>205</v>
      </c>
      <c r="I37" s="27">
        <f t="shared" si="1"/>
        <v>2020</v>
      </c>
      <c r="J37" s="27">
        <f ca="1">YEAR(TODAY())-YEAR(Table_Final_Staff[[#This Row],[Date Joined]])</f>
        <v>3</v>
      </c>
      <c r="K37" s="35">
        <f ca="1">IF(Table_Final_Staff[[#This Row],[Tenure (Years)]]&gt;2,Table_Final_Staff[[#This Row],[Salary]]*1.1,Table_Final_Staff[[#This Row],[Salary]]*1.05)</f>
        <v>123321.00000000001</v>
      </c>
    </row>
    <row r="38" spans="1:11" hidden="1" x14ac:dyDescent="0.3">
      <c r="A38" s="27" t="s">
        <v>152</v>
      </c>
      <c r="B38" s="27" t="s">
        <v>8</v>
      </c>
      <c r="C38" s="12">
        <v>27</v>
      </c>
      <c r="D38" s="27" t="s">
        <v>16</v>
      </c>
      <c r="E38" s="28">
        <v>44061</v>
      </c>
      <c r="F38" s="27" t="s">
        <v>56</v>
      </c>
      <c r="G38" s="35">
        <v>119110</v>
      </c>
      <c r="H38" s="27" t="s">
        <v>205</v>
      </c>
      <c r="I38" s="27">
        <f t="shared" si="1"/>
        <v>2020</v>
      </c>
      <c r="J38" s="27">
        <f ca="1">YEAR(TODAY())-YEAR(Table_Final_Staff[[#This Row],[Date Joined]])</f>
        <v>3</v>
      </c>
      <c r="K38" s="35">
        <f ca="1">IF(Table_Final_Staff[[#This Row],[Tenure (Years)]]&gt;2,Table_Final_Staff[[#This Row],[Salary]]*1.1,Table_Final_Staff[[#This Row],[Salary]]*1.05)</f>
        <v>131021.00000000001</v>
      </c>
    </row>
    <row r="39" spans="1:11" hidden="1" x14ac:dyDescent="0.3">
      <c r="A39" s="27" t="s">
        <v>150</v>
      </c>
      <c r="B39" s="27" t="s">
        <v>15</v>
      </c>
      <c r="C39" s="12">
        <v>22</v>
      </c>
      <c r="D39" s="27" t="s">
        <v>13</v>
      </c>
      <c r="E39" s="28">
        <v>44384</v>
      </c>
      <c r="F39" s="27" t="s">
        <v>19</v>
      </c>
      <c r="G39" s="35">
        <v>112780</v>
      </c>
      <c r="H39" s="27" t="s">
        <v>205</v>
      </c>
      <c r="I39" s="27">
        <f t="shared" si="1"/>
        <v>2021</v>
      </c>
      <c r="J39" s="27">
        <f ca="1">YEAR(TODAY())-YEAR(Table_Final_Staff[[#This Row],[Date Joined]])</f>
        <v>2</v>
      </c>
      <c r="K39" s="35">
        <f ca="1">IF(Table_Final_Staff[[#This Row],[Tenure (Years)]]&gt;2,Table_Final_Staff[[#This Row],[Salary]]*1.1,Table_Final_Staff[[#This Row],[Salary]]*1.05)</f>
        <v>118419</v>
      </c>
    </row>
    <row r="40" spans="1:11" hidden="1" x14ac:dyDescent="0.3">
      <c r="A40" s="27" t="s">
        <v>175</v>
      </c>
      <c r="B40" s="27" t="s">
        <v>8</v>
      </c>
      <c r="C40" s="12">
        <v>36</v>
      </c>
      <c r="D40" s="27" t="s">
        <v>16</v>
      </c>
      <c r="E40" s="28">
        <v>44023</v>
      </c>
      <c r="F40" s="27" t="s">
        <v>9</v>
      </c>
      <c r="G40" s="35">
        <v>114890</v>
      </c>
      <c r="H40" s="27" t="s">
        <v>205</v>
      </c>
      <c r="I40" s="27">
        <f t="shared" si="1"/>
        <v>2020</v>
      </c>
      <c r="J40" s="27">
        <f ca="1">YEAR(TODAY())-YEAR(Table_Final_Staff[[#This Row],[Date Joined]])</f>
        <v>3</v>
      </c>
      <c r="K40" s="35">
        <f ca="1">IF(Table_Final_Staff[[#This Row],[Tenure (Years)]]&gt;2,Table_Final_Staff[[#This Row],[Salary]]*1.1,Table_Final_Staff[[#This Row],[Salary]]*1.05)</f>
        <v>126379.00000000001</v>
      </c>
    </row>
    <row r="41" spans="1:11" hidden="1" x14ac:dyDescent="0.3">
      <c r="A41" s="27" t="s">
        <v>146</v>
      </c>
      <c r="B41" s="27" t="s">
        <v>15</v>
      </c>
      <c r="C41" s="12">
        <v>27</v>
      </c>
      <c r="D41" s="27" t="s">
        <v>16</v>
      </c>
      <c r="E41" s="28">
        <v>44506</v>
      </c>
      <c r="F41" s="27" t="s">
        <v>21</v>
      </c>
      <c r="G41" s="35">
        <v>48980</v>
      </c>
      <c r="H41" s="27" t="s">
        <v>205</v>
      </c>
      <c r="I41" s="27">
        <f t="shared" si="1"/>
        <v>2021</v>
      </c>
      <c r="J41" s="27">
        <f ca="1">YEAR(TODAY())-YEAR(Table_Final_Staff[[#This Row],[Date Joined]])</f>
        <v>2</v>
      </c>
      <c r="K41" s="35">
        <f ca="1">IF(Table_Final_Staff[[#This Row],[Tenure (Years)]]&gt;2,Table_Final_Staff[[#This Row],[Salary]]*1.1,Table_Final_Staff[[#This Row],[Salary]]*1.05)</f>
        <v>51429</v>
      </c>
    </row>
    <row r="42" spans="1:11" hidden="1" x14ac:dyDescent="0.3">
      <c r="A42" s="27" t="s">
        <v>170</v>
      </c>
      <c r="B42" s="27" t="s">
        <v>15</v>
      </c>
      <c r="C42" s="12">
        <v>21</v>
      </c>
      <c r="D42" s="27" t="s">
        <v>16</v>
      </c>
      <c r="E42" s="28">
        <v>44180</v>
      </c>
      <c r="F42" s="27" t="s">
        <v>56</v>
      </c>
      <c r="G42" s="35">
        <v>75880</v>
      </c>
      <c r="H42" s="27" t="s">
        <v>205</v>
      </c>
      <c r="I42" s="27">
        <f t="shared" si="1"/>
        <v>2020</v>
      </c>
      <c r="J42" s="27">
        <f ca="1">YEAR(TODAY())-YEAR(Table_Final_Staff[[#This Row],[Date Joined]])</f>
        <v>3</v>
      </c>
      <c r="K42" s="35">
        <f ca="1">IF(Table_Final_Staff[[#This Row],[Tenure (Years)]]&gt;2,Table_Final_Staff[[#This Row],[Salary]]*1.1,Table_Final_Staff[[#This Row],[Salary]]*1.05)</f>
        <v>83468</v>
      </c>
    </row>
    <row r="43" spans="1:11" hidden="1" x14ac:dyDescent="0.3">
      <c r="A43" s="27" t="s">
        <v>167</v>
      </c>
      <c r="B43" s="27" t="s">
        <v>8</v>
      </c>
      <c r="C43" s="12">
        <v>28</v>
      </c>
      <c r="D43" s="27" t="s">
        <v>16</v>
      </c>
      <c r="E43" s="28">
        <v>44296</v>
      </c>
      <c r="F43" s="27" t="s">
        <v>19</v>
      </c>
      <c r="G43" s="35">
        <v>53240</v>
      </c>
      <c r="H43" s="27" t="s">
        <v>205</v>
      </c>
      <c r="I43" s="27">
        <f t="shared" si="1"/>
        <v>2021</v>
      </c>
      <c r="J43" s="27">
        <f ca="1">YEAR(TODAY())-YEAR(Table_Final_Staff[[#This Row],[Date Joined]])</f>
        <v>2</v>
      </c>
      <c r="K43" s="35">
        <f ca="1">IF(Table_Final_Staff[[#This Row],[Tenure (Years)]]&gt;2,Table_Final_Staff[[#This Row],[Salary]]*1.1,Table_Final_Staff[[#This Row],[Salary]]*1.05)</f>
        <v>55902</v>
      </c>
    </row>
    <row r="44" spans="1:11" hidden="1" x14ac:dyDescent="0.3">
      <c r="A44" s="27" t="s">
        <v>122</v>
      </c>
      <c r="B44" s="27" t="s">
        <v>8</v>
      </c>
      <c r="C44" s="12">
        <v>34</v>
      </c>
      <c r="D44" s="27" t="s">
        <v>16</v>
      </c>
      <c r="E44" s="28">
        <v>44397</v>
      </c>
      <c r="F44" s="27" t="s">
        <v>21</v>
      </c>
      <c r="G44" s="35">
        <v>85000</v>
      </c>
      <c r="H44" s="27" t="s">
        <v>205</v>
      </c>
      <c r="I44" s="27">
        <f t="shared" si="1"/>
        <v>2021</v>
      </c>
      <c r="J44" s="27">
        <f ca="1">YEAR(TODAY())-YEAR(Table_Final_Staff[[#This Row],[Date Joined]])</f>
        <v>2</v>
      </c>
      <c r="K44" s="35">
        <f ca="1">IF(Table_Final_Staff[[#This Row],[Tenure (Years)]]&gt;2,Table_Final_Staff[[#This Row],[Salary]]*1.1,Table_Final_Staff[[#This Row],[Salary]]*1.05)</f>
        <v>89250</v>
      </c>
    </row>
    <row r="45" spans="1:11" hidden="1" x14ac:dyDescent="0.3">
      <c r="A45" s="27" t="s">
        <v>179</v>
      </c>
      <c r="B45" s="27" t="s">
        <v>8</v>
      </c>
      <c r="C45" s="12">
        <v>21</v>
      </c>
      <c r="D45" s="27" t="s">
        <v>16</v>
      </c>
      <c r="E45" s="28">
        <v>44619</v>
      </c>
      <c r="F45" s="27" t="s">
        <v>12</v>
      </c>
      <c r="G45" s="35">
        <v>33920</v>
      </c>
      <c r="H45" s="27" t="s">
        <v>205</v>
      </c>
      <c r="I45" s="27">
        <f t="shared" si="1"/>
        <v>2022</v>
      </c>
      <c r="J45" s="27">
        <f ca="1">YEAR(TODAY())-YEAR(Table_Final_Staff[[#This Row],[Date Joined]])</f>
        <v>1</v>
      </c>
      <c r="K45" s="35">
        <f ca="1">IF(Table_Final_Staff[[#This Row],[Tenure (Years)]]&gt;2,Table_Final_Staff[[#This Row],[Salary]]*1.1,Table_Final_Staff[[#This Row],[Salary]]*1.05)</f>
        <v>35616</v>
      </c>
    </row>
    <row r="46" spans="1:11" hidden="1" x14ac:dyDescent="0.3">
      <c r="A46" s="27" t="s">
        <v>188</v>
      </c>
      <c r="B46" s="27" t="s">
        <v>8</v>
      </c>
      <c r="C46" s="12">
        <v>33</v>
      </c>
      <c r="D46" s="27" t="s">
        <v>16</v>
      </c>
      <c r="E46" s="28">
        <v>44253</v>
      </c>
      <c r="F46" s="27" t="s">
        <v>12</v>
      </c>
      <c r="G46" s="35">
        <v>75280</v>
      </c>
      <c r="H46" s="27" t="s">
        <v>205</v>
      </c>
      <c r="I46" s="27">
        <f t="shared" si="1"/>
        <v>2021</v>
      </c>
      <c r="J46" s="27">
        <f ca="1">YEAR(TODAY())-YEAR(Table_Final_Staff[[#This Row],[Date Joined]])</f>
        <v>2</v>
      </c>
      <c r="K46" s="35">
        <f ca="1">IF(Table_Final_Staff[[#This Row],[Tenure (Years)]]&gt;2,Table_Final_Staff[[#This Row],[Salary]]*1.1,Table_Final_Staff[[#This Row],[Salary]]*1.05)</f>
        <v>79044</v>
      </c>
    </row>
    <row r="47" spans="1:11" hidden="1" x14ac:dyDescent="0.3">
      <c r="A47" s="27" t="s">
        <v>130</v>
      </c>
      <c r="B47" s="27" t="s">
        <v>8</v>
      </c>
      <c r="C47" s="12">
        <v>34</v>
      </c>
      <c r="D47" s="27" t="s">
        <v>16</v>
      </c>
      <c r="E47" s="28">
        <v>44594</v>
      </c>
      <c r="F47" s="27" t="s">
        <v>21</v>
      </c>
      <c r="G47" s="35">
        <v>58940</v>
      </c>
      <c r="H47" s="27" t="s">
        <v>205</v>
      </c>
      <c r="I47" s="27">
        <f t="shared" si="1"/>
        <v>2022</v>
      </c>
      <c r="J47" s="27">
        <f ca="1">YEAR(TODAY())-YEAR(Table_Final_Staff[[#This Row],[Date Joined]])</f>
        <v>1</v>
      </c>
      <c r="K47" s="35">
        <f ca="1">IF(Table_Final_Staff[[#This Row],[Tenure (Years)]]&gt;2,Table_Final_Staff[[#This Row],[Salary]]*1.1,Table_Final_Staff[[#This Row],[Salary]]*1.05)</f>
        <v>61887</v>
      </c>
    </row>
    <row r="48" spans="1:11" hidden="1" x14ac:dyDescent="0.3">
      <c r="A48" s="27" t="s">
        <v>136</v>
      </c>
      <c r="B48" s="27" t="s">
        <v>8</v>
      </c>
      <c r="C48" s="12">
        <v>28</v>
      </c>
      <c r="D48" s="27" t="s">
        <v>16</v>
      </c>
      <c r="E48" s="28">
        <v>44425</v>
      </c>
      <c r="F48" s="27" t="s">
        <v>9</v>
      </c>
      <c r="G48" s="35">
        <v>104770</v>
      </c>
      <c r="H48" s="27" t="s">
        <v>205</v>
      </c>
      <c r="I48" s="27">
        <f t="shared" si="1"/>
        <v>2021</v>
      </c>
      <c r="J48" s="27">
        <f ca="1">YEAR(TODAY())-YEAR(Table_Final_Staff[[#This Row],[Date Joined]])</f>
        <v>2</v>
      </c>
      <c r="K48" s="35">
        <f ca="1">IF(Table_Final_Staff[[#This Row],[Tenure (Years)]]&gt;2,Table_Final_Staff[[#This Row],[Salary]]*1.1,Table_Final_Staff[[#This Row],[Salary]]*1.05)</f>
        <v>110008.5</v>
      </c>
    </row>
    <row r="49" spans="1:11" hidden="1" x14ac:dyDescent="0.3">
      <c r="A49" s="27" t="s">
        <v>125</v>
      </c>
      <c r="B49" s="27" t="s">
        <v>15</v>
      </c>
      <c r="C49" s="12">
        <v>21</v>
      </c>
      <c r="D49" s="27" t="s">
        <v>16</v>
      </c>
      <c r="E49" s="28">
        <v>44701</v>
      </c>
      <c r="F49" s="27" t="s">
        <v>9</v>
      </c>
      <c r="G49" s="35">
        <v>57090</v>
      </c>
      <c r="H49" s="27" t="s">
        <v>205</v>
      </c>
      <c r="I49" s="27">
        <f t="shared" si="1"/>
        <v>2022</v>
      </c>
      <c r="J49" s="27">
        <f ca="1">YEAR(TODAY())-YEAR(Table_Final_Staff[[#This Row],[Date Joined]])</f>
        <v>1</v>
      </c>
      <c r="K49" s="35">
        <f ca="1">IF(Table_Final_Staff[[#This Row],[Tenure (Years)]]&gt;2,Table_Final_Staff[[#This Row],[Salary]]*1.1,Table_Final_Staff[[#This Row],[Salary]]*1.05)</f>
        <v>59944.5</v>
      </c>
    </row>
    <row r="50" spans="1:11" hidden="1" x14ac:dyDescent="0.3">
      <c r="A50" s="27" t="s">
        <v>160</v>
      </c>
      <c r="B50" s="27" t="s">
        <v>15</v>
      </c>
      <c r="C50" s="12">
        <v>27</v>
      </c>
      <c r="D50" s="27" t="s">
        <v>13</v>
      </c>
      <c r="E50" s="28">
        <v>44174</v>
      </c>
      <c r="F50" s="27" t="s">
        <v>21</v>
      </c>
      <c r="G50" s="35">
        <v>91650</v>
      </c>
      <c r="H50" s="27" t="s">
        <v>205</v>
      </c>
      <c r="I50" s="27">
        <f t="shared" si="1"/>
        <v>2020</v>
      </c>
      <c r="J50" s="27">
        <f ca="1">YEAR(TODAY())-YEAR(Table_Final_Staff[[#This Row],[Date Joined]])</f>
        <v>3</v>
      </c>
      <c r="K50" s="35">
        <f ca="1">IF(Table_Final_Staff[[#This Row],[Tenure (Years)]]&gt;2,Table_Final_Staff[[#This Row],[Salary]]*1.1,Table_Final_Staff[[#This Row],[Salary]]*1.05)</f>
        <v>100815.00000000001</v>
      </c>
    </row>
    <row r="51" spans="1:11" hidden="1" x14ac:dyDescent="0.3">
      <c r="A51" s="27" t="s">
        <v>183</v>
      </c>
      <c r="B51" s="27" t="s">
        <v>15</v>
      </c>
      <c r="C51" s="12">
        <v>42</v>
      </c>
      <c r="D51" s="27" t="s">
        <v>24</v>
      </c>
      <c r="E51" s="28">
        <v>44670</v>
      </c>
      <c r="F51" s="27" t="s">
        <v>21</v>
      </c>
      <c r="G51" s="35">
        <v>70270</v>
      </c>
      <c r="H51" s="27" t="s">
        <v>205</v>
      </c>
      <c r="I51" s="27">
        <f t="shared" si="1"/>
        <v>2022</v>
      </c>
      <c r="J51" s="27">
        <f ca="1">YEAR(TODAY())-YEAR(Table_Final_Staff[[#This Row],[Date Joined]])</f>
        <v>1</v>
      </c>
      <c r="K51" s="35">
        <f ca="1">IF(Table_Final_Staff[[#This Row],[Tenure (Years)]]&gt;2,Table_Final_Staff[[#This Row],[Salary]]*1.1,Table_Final_Staff[[#This Row],[Salary]]*1.05)</f>
        <v>73783.5</v>
      </c>
    </row>
    <row r="52" spans="1:11" hidden="1" x14ac:dyDescent="0.3">
      <c r="A52" s="27" t="s">
        <v>129</v>
      </c>
      <c r="B52" s="27" t="s">
        <v>8</v>
      </c>
      <c r="C52" s="12">
        <v>28</v>
      </c>
      <c r="D52" s="27" t="s">
        <v>16</v>
      </c>
      <c r="E52" s="28">
        <v>44124</v>
      </c>
      <c r="F52" s="27" t="s">
        <v>21</v>
      </c>
      <c r="G52" s="35">
        <v>75970</v>
      </c>
      <c r="H52" s="27" t="s">
        <v>205</v>
      </c>
      <c r="I52" s="27">
        <f t="shared" si="1"/>
        <v>2020</v>
      </c>
      <c r="J52" s="27">
        <f ca="1">YEAR(TODAY())-YEAR(Table_Final_Staff[[#This Row],[Date Joined]])</f>
        <v>3</v>
      </c>
      <c r="K52" s="35">
        <f ca="1">IF(Table_Final_Staff[[#This Row],[Tenure (Years)]]&gt;2,Table_Final_Staff[[#This Row],[Salary]]*1.1,Table_Final_Staff[[#This Row],[Salary]]*1.05)</f>
        <v>83567</v>
      </c>
    </row>
    <row r="53" spans="1:11" hidden="1" x14ac:dyDescent="0.3">
      <c r="A53" s="27" t="s">
        <v>112</v>
      </c>
      <c r="B53" s="27" t="s">
        <v>206</v>
      </c>
      <c r="C53" s="12">
        <v>27</v>
      </c>
      <c r="D53" s="27" t="s">
        <v>13</v>
      </c>
      <c r="E53" s="28">
        <v>44212</v>
      </c>
      <c r="F53" s="27" t="s">
        <v>12</v>
      </c>
      <c r="G53" s="35">
        <v>90700</v>
      </c>
      <c r="H53" s="27" t="s">
        <v>205</v>
      </c>
      <c r="I53" s="27">
        <f t="shared" si="1"/>
        <v>2021</v>
      </c>
      <c r="J53" s="27">
        <f ca="1">YEAR(TODAY())-YEAR(Table_Final_Staff[[#This Row],[Date Joined]])</f>
        <v>2</v>
      </c>
      <c r="K53" s="35">
        <f ca="1">IF(Table_Final_Staff[[#This Row],[Tenure (Years)]]&gt;2,Table_Final_Staff[[#This Row],[Salary]]*1.1,Table_Final_Staff[[#This Row],[Salary]]*1.05)</f>
        <v>95235</v>
      </c>
    </row>
    <row r="54" spans="1:11" hidden="1" x14ac:dyDescent="0.3">
      <c r="A54" s="27" t="s">
        <v>131</v>
      </c>
      <c r="B54" s="27" t="s">
        <v>15</v>
      </c>
      <c r="C54" s="12">
        <v>30</v>
      </c>
      <c r="D54" s="27" t="s">
        <v>16</v>
      </c>
      <c r="E54" s="28">
        <v>44607</v>
      </c>
      <c r="F54" s="27" t="s">
        <v>9</v>
      </c>
      <c r="G54" s="35">
        <v>60570</v>
      </c>
      <c r="H54" s="27" t="s">
        <v>205</v>
      </c>
      <c r="I54" s="27">
        <f t="shared" si="1"/>
        <v>2022</v>
      </c>
      <c r="J54" s="27">
        <f ca="1">YEAR(TODAY())-YEAR(Table_Final_Staff[[#This Row],[Date Joined]])</f>
        <v>1</v>
      </c>
      <c r="K54" s="35">
        <f ca="1">IF(Table_Final_Staff[[#This Row],[Tenure (Years)]]&gt;2,Table_Final_Staff[[#This Row],[Salary]]*1.1,Table_Final_Staff[[#This Row],[Salary]]*1.05)</f>
        <v>63598.5</v>
      </c>
    </row>
    <row r="55" spans="1:11" hidden="1" x14ac:dyDescent="0.3">
      <c r="A55" s="27" t="s">
        <v>134</v>
      </c>
      <c r="B55" s="27" t="s">
        <v>15</v>
      </c>
      <c r="C55" s="12">
        <v>33</v>
      </c>
      <c r="D55" s="27" t="s">
        <v>16</v>
      </c>
      <c r="E55" s="28">
        <v>44103</v>
      </c>
      <c r="F55" s="27" t="s">
        <v>9</v>
      </c>
      <c r="G55" s="35">
        <v>115920</v>
      </c>
      <c r="H55" s="27" t="s">
        <v>205</v>
      </c>
      <c r="I55" s="27">
        <f t="shared" si="1"/>
        <v>2020</v>
      </c>
      <c r="J55" s="27">
        <f ca="1">YEAR(TODAY())-YEAR(Table_Final_Staff[[#This Row],[Date Joined]])</f>
        <v>3</v>
      </c>
      <c r="K55" s="35">
        <f ca="1">IF(Table_Final_Staff[[#This Row],[Tenure (Years)]]&gt;2,Table_Final_Staff[[#This Row],[Salary]]*1.1,Table_Final_Staff[[#This Row],[Salary]]*1.05)</f>
        <v>127512.00000000001</v>
      </c>
    </row>
    <row r="56" spans="1:11" hidden="1" x14ac:dyDescent="0.3">
      <c r="A56" s="27" t="s">
        <v>186</v>
      </c>
      <c r="B56" s="27" t="s">
        <v>8</v>
      </c>
      <c r="C56" s="12">
        <v>33</v>
      </c>
      <c r="D56" s="27" t="s">
        <v>16</v>
      </c>
      <c r="E56" s="28">
        <v>44006</v>
      </c>
      <c r="F56" s="27" t="s">
        <v>21</v>
      </c>
      <c r="G56" s="35">
        <v>65360</v>
      </c>
      <c r="H56" s="27" t="s">
        <v>205</v>
      </c>
      <c r="I56" s="27">
        <f t="shared" si="1"/>
        <v>2020</v>
      </c>
      <c r="J56" s="27">
        <f ca="1">YEAR(TODAY())-YEAR(Table_Final_Staff[[#This Row],[Date Joined]])</f>
        <v>3</v>
      </c>
      <c r="K56" s="35">
        <f ca="1">IF(Table_Final_Staff[[#This Row],[Tenure (Years)]]&gt;2,Table_Final_Staff[[#This Row],[Salary]]*1.1,Table_Final_Staff[[#This Row],[Salary]]*1.05)</f>
        <v>71896</v>
      </c>
    </row>
    <row r="57" spans="1:11" hidden="1" x14ac:dyDescent="0.3">
      <c r="A57" s="27" t="s">
        <v>116</v>
      </c>
      <c r="B57" s="27" t="s">
        <v>206</v>
      </c>
      <c r="C57" s="12">
        <v>30</v>
      </c>
      <c r="D57" s="27" t="s">
        <v>16</v>
      </c>
      <c r="E57" s="28">
        <v>44535</v>
      </c>
      <c r="F57" s="27" t="s">
        <v>21</v>
      </c>
      <c r="G57" s="35">
        <v>64000</v>
      </c>
      <c r="H57" s="27" t="s">
        <v>205</v>
      </c>
      <c r="I57" s="27">
        <f t="shared" si="1"/>
        <v>2021</v>
      </c>
      <c r="J57" s="27">
        <f ca="1">YEAR(TODAY())-YEAR(Table_Final_Staff[[#This Row],[Date Joined]])</f>
        <v>2</v>
      </c>
      <c r="K57" s="35">
        <f ca="1">IF(Table_Final_Staff[[#This Row],[Tenure (Years)]]&gt;2,Table_Final_Staff[[#This Row],[Salary]]*1.1,Table_Final_Staff[[#This Row],[Salary]]*1.05)</f>
        <v>67200</v>
      </c>
    </row>
    <row r="58" spans="1:11" hidden="1" x14ac:dyDescent="0.3">
      <c r="A58" s="27" t="s">
        <v>195</v>
      </c>
      <c r="B58" s="27" t="s">
        <v>8</v>
      </c>
      <c r="C58" s="12">
        <v>34</v>
      </c>
      <c r="D58" s="27" t="s">
        <v>16</v>
      </c>
      <c r="E58" s="28">
        <v>44383</v>
      </c>
      <c r="F58" s="27" t="s">
        <v>21</v>
      </c>
      <c r="G58" s="35">
        <v>92450</v>
      </c>
      <c r="H58" s="27" t="s">
        <v>205</v>
      </c>
      <c r="I58" s="27">
        <f t="shared" si="1"/>
        <v>2021</v>
      </c>
      <c r="J58" s="27">
        <f ca="1">YEAR(TODAY())-YEAR(Table_Final_Staff[[#This Row],[Date Joined]])</f>
        <v>2</v>
      </c>
      <c r="K58" s="35">
        <f ca="1">IF(Table_Final_Staff[[#This Row],[Tenure (Years)]]&gt;2,Table_Final_Staff[[#This Row],[Salary]]*1.1,Table_Final_Staff[[#This Row],[Salary]]*1.05)</f>
        <v>97072.5</v>
      </c>
    </row>
    <row r="59" spans="1:11" hidden="1" x14ac:dyDescent="0.3">
      <c r="A59" s="27" t="s">
        <v>113</v>
      </c>
      <c r="B59" s="27" t="s">
        <v>15</v>
      </c>
      <c r="C59" s="12">
        <v>31</v>
      </c>
      <c r="D59" s="27" t="s">
        <v>16</v>
      </c>
      <c r="E59" s="28">
        <v>44450</v>
      </c>
      <c r="F59" s="27" t="s">
        <v>12</v>
      </c>
      <c r="G59" s="35">
        <v>48950</v>
      </c>
      <c r="H59" s="27" t="s">
        <v>205</v>
      </c>
      <c r="I59" s="27">
        <f t="shared" si="1"/>
        <v>2021</v>
      </c>
      <c r="J59" s="27">
        <f ca="1">YEAR(TODAY())-YEAR(Table_Final_Staff[[#This Row],[Date Joined]])</f>
        <v>2</v>
      </c>
      <c r="K59" s="35">
        <f ca="1">IF(Table_Final_Staff[[#This Row],[Tenure (Years)]]&gt;2,Table_Final_Staff[[#This Row],[Salary]]*1.1,Table_Final_Staff[[#This Row],[Salary]]*1.05)</f>
        <v>51397.5</v>
      </c>
    </row>
    <row r="60" spans="1:11" hidden="1" x14ac:dyDescent="0.3">
      <c r="A60" s="27" t="s">
        <v>185</v>
      </c>
      <c r="B60" s="27" t="s">
        <v>8</v>
      </c>
      <c r="C60" s="12">
        <v>27</v>
      </c>
      <c r="D60" s="27" t="s">
        <v>16</v>
      </c>
      <c r="E60" s="28">
        <v>44625</v>
      </c>
      <c r="F60" s="27" t="s">
        <v>12</v>
      </c>
      <c r="G60" s="35">
        <v>83750</v>
      </c>
      <c r="H60" s="27" t="s">
        <v>205</v>
      </c>
      <c r="I60" s="27">
        <f t="shared" si="1"/>
        <v>2022</v>
      </c>
      <c r="J60" s="27">
        <f ca="1">YEAR(TODAY())-YEAR(Table_Final_Staff[[#This Row],[Date Joined]])</f>
        <v>1</v>
      </c>
      <c r="K60" s="35">
        <f ca="1">IF(Table_Final_Staff[[#This Row],[Tenure (Years)]]&gt;2,Table_Final_Staff[[#This Row],[Salary]]*1.1,Table_Final_Staff[[#This Row],[Salary]]*1.05)</f>
        <v>87937.5</v>
      </c>
    </row>
    <row r="61" spans="1:11" hidden="1" x14ac:dyDescent="0.3">
      <c r="A61" s="27" t="s">
        <v>166</v>
      </c>
      <c r="B61" s="27" t="s">
        <v>8</v>
      </c>
      <c r="C61" s="12">
        <v>40</v>
      </c>
      <c r="D61" s="27" t="s">
        <v>16</v>
      </c>
      <c r="E61" s="28">
        <v>44276</v>
      </c>
      <c r="F61" s="27" t="s">
        <v>12</v>
      </c>
      <c r="G61" s="35">
        <v>87620</v>
      </c>
      <c r="H61" s="27" t="s">
        <v>205</v>
      </c>
      <c r="I61" s="27">
        <f t="shared" si="1"/>
        <v>2021</v>
      </c>
      <c r="J61" s="27">
        <f ca="1">YEAR(TODAY())-YEAR(Table_Final_Staff[[#This Row],[Date Joined]])</f>
        <v>2</v>
      </c>
      <c r="K61" s="35">
        <f ca="1">IF(Table_Final_Staff[[#This Row],[Tenure (Years)]]&gt;2,Table_Final_Staff[[#This Row],[Salary]]*1.1,Table_Final_Staff[[#This Row],[Salary]]*1.05)</f>
        <v>92001</v>
      </c>
    </row>
    <row r="62" spans="1:11" hidden="1" x14ac:dyDescent="0.3">
      <c r="A62" s="27" t="s">
        <v>184</v>
      </c>
      <c r="B62" s="27" t="s">
        <v>8</v>
      </c>
      <c r="C62" s="12">
        <v>20</v>
      </c>
      <c r="D62" s="27" t="s">
        <v>24</v>
      </c>
      <c r="E62" s="28">
        <v>44476</v>
      </c>
      <c r="F62" s="27" t="s">
        <v>19</v>
      </c>
      <c r="G62" s="35">
        <v>68900</v>
      </c>
      <c r="H62" s="27" t="s">
        <v>205</v>
      </c>
      <c r="I62" s="27">
        <f t="shared" si="1"/>
        <v>2021</v>
      </c>
      <c r="J62" s="27">
        <f ca="1">YEAR(TODAY())-YEAR(Table_Final_Staff[[#This Row],[Date Joined]])</f>
        <v>2</v>
      </c>
      <c r="K62" s="35">
        <f ca="1">IF(Table_Final_Staff[[#This Row],[Tenure (Years)]]&gt;2,Table_Final_Staff[[#This Row],[Salary]]*1.1,Table_Final_Staff[[#This Row],[Salary]]*1.05)</f>
        <v>72345</v>
      </c>
    </row>
    <row r="63" spans="1:11" hidden="1" x14ac:dyDescent="0.3">
      <c r="A63" s="27" t="s">
        <v>157</v>
      </c>
      <c r="B63" s="27" t="s">
        <v>15</v>
      </c>
      <c r="C63" s="12">
        <v>32</v>
      </c>
      <c r="D63" s="27" t="s">
        <v>16</v>
      </c>
      <c r="E63" s="28">
        <v>44403</v>
      </c>
      <c r="F63" s="27" t="s">
        <v>19</v>
      </c>
      <c r="G63" s="35">
        <v>53540</v>
      </c>
      <c r="H63" s="27" t="s">
        <v>205</v>
      </c>
      <c r="I63" s="27">
        <f t="shared" si="1"/>
        <v>2021</v>
      </c>
      <c r="J63" s="27">
        <f ca="1">YEAR(TODAY())-YEAR(Table_Final_Staff[[#This Row],[Date Joined]])</f>
        <v>2</v>
      </c>
      <c r="K63" s="35">
        <f ca="1">IF(Table_Final_Staff[[#This Row],[Tenure (Years)]]&gt;2,Table_Final_Staff[[#This Row],[Salary]]*1.1,Table_Final_Staff[[#This Row],[Salary]]*1.05)</f>
        <v>56217</v>
      </c>
    </row>
    <row r="64" spans="1:11" hidden="1" x14ac:dyDescent="0.3">
      <c r="A64" s="27" t="s">
        <v>172</v>
      </c>
      <c r="B64" s="27" t="s">
        <v>15</v>
      </c>
      <c r="C64" s="12">
        <v>28</v>
      </c>
      <c r="D64" s="27" t="s">
        <v>42</v>
      </c>
      <c r="E64" s="28">
        <v>44758</v>
      </c>
      <c r="F64" s="27" t="s">
        <v>19</v>
      </c>
      <c r="G64" s="35">
        <v>43510</v>
      </c>
      <c r="H64" s="27" t="s">
        <v>205</v>
      </c>
      <c r="I64" s="27">
        <f t="shared" si="1"/>
        <v>2022</v>
      </c>
      <c r="J64" s="27">
        <f ca="1">YEAR(TODAY())-YEAR(Table_Final_Staff[[#This Row],[Date Joined]])</f>
        <v>1</v>
      </c>
      <c r="K64" s="35">
        <f ca="1">IF(Table_Final_Staff[[#This Row],[Tenure (Years)]]&gt;2,Table_Final_Staff[[#This Row],[Salary]]*1.1,Table_Final_Staff[[#This Row],[Salary]]*1.05)</f>
        <v>45685.5</v>
      </c>
    </row>
    <row r="65" spans="1:11" hidden="1" x14ac:dyDescent="0.3">
      <c r="A65" s="27" t="s">
        <v>127</v>
      </c>
      <c r="B65" s="27" t="s">
        <v>8</v>
      </c>
      <c r="C65" s="12">
        <v>38</v>
      </c>
      <c r="D65" s="27" t="s">
        <v>10</v>
      </c>
      <c r="E65" s="28">
        <v>44316</v>
      </c>
      <c r="F65" s="27" t="s">
        <v>19</v>
      </c>
      <c r="G65" s="35">
        <v>109160</v>
      </c>
      <c r="H65" s="27" t="s">
        <v>205</v>
      </c>
      <c r="I65" s="27">
        <f t="shared" si="1"/>
        <v>2021</v>
      </c>
      <c r="J65" s="27">
        <f ca="1">YEAR(TODAY())-YEAR(Table_Final_Staff[[#This Row],[Date Joined]])</f>
        <v>2</v>
      </c>
      <c r="K65" s="35">
        <f ca="1">IF(Table_Final_Staff[[#This Row],[Tenure (Years)]]&gt;2,Table_Final_Staff[[#This Row],[Salary]]*1.1,Table_Final_Staff[[#This Row],[Salary]]*1.05)</f>
        <v>114618</v>
      </c>
    </row>
    <row r="66" spans="1:11" hidden="1" x14ac:dyDescent="0.3">
      <c r="A66" s="27" t="s">
        <v>198</v>
      </c>
      <c r="B66" s="27" t="s">
        <v>15</v>
      </c>
      <c r="C66" s="12">
        <v>40</v>
      </c>
      <c r="D66" s="27" t="s">
        <v>16</v>
      </c>
      <c r="E66" s="28">
        <v>44204</v>
      </c>
      <c r="F66" s="27" t="s">
        <v>9</v>
      </c>
      <c r="G66" s="35">
        <v>99750</v>
      </c>
      <c r="H66" s="27" t="s">
        <v>205</v>
      </c>
      <c r="I66" s="27">
        <f t="shared" ref="I66:I97" si="2">YEAR(E66)</f>
        <v>2021</v>
      </c>
      <c r="J66" s="27">
        <f ca="1">YEAR(TODAY())-YEAR(Table_Final_Staff[[#This Row],[Date Joined]])</f>
        <v>2</v>
      </c>
      <c r="K66" s="35">
        <f ca="1">IF(Table_Final_Staff[[#This Row],[Tenure (Years)]]&gt;2,Table_Final_Staff[[#This Row],[Salary]]*1.1,Table_Final_Staff[[#This Row],[Salary]]*1.05)</f>
        <v>104737.5</v>
      </c>
    </row>
    <row r="67" spans="1:11" hidden="1" x14ac:dyDescent="0.3">
      <c r="A67" s="27" t="s">
        <v>124</v>
      </c>
      <c r="B67" s="27" t="s">
        <v>8</v>
      </c>
      <c r="C67" s="12">
        <v>31</v>
      </c>
      <c r="D67" s="27" t="s">
        <v>16</v>
      </c>
      <c r="E67" s="28">
        <v>44084</v>
      </c>
      <c r="F67" s="27" t="s">
        <v>12</v>
      </c>
      <c r="G67" s="35">
        <v>41980</v>
      </c>
      <c r="H67" s="27" t="s">
        <v>205</v>
      </c>
      <c r="I67" s="27">
        <f t="shared" si="2"/>
        <v>2020</v>
      </c>
      <c r="J67" s="27">
        <f ca="1">YEAR(TODAY())-YEAR(Table_Final_Staff[[#This Row],[Date Joined]])</f>
        <v>3</v>
      </c>
      <c r="K67" s="35">
        <f ca="1">IF(Table_Final_Staff[[#This Row],[Tenure (Years)]]&gt;2,Table_Final_Staff[[#This Row],[Salary]]*1.1,Table_Final_Staff[[#This Row],[Salary]]*1.05)</f>
        <v>46178.000000000007</v>
      </c>
    </row>
    <row r="68" spans="1:11" hidden="1" x14ac:dyDescent="0.3">
      <c r="A68" s="27" t="s">
        <v>187</v>
      </c>
      <c r="B68" s="27" t="s">
        <v>15</v>
      </c>
      <c r="C68" s="12">
        <v>36</v>
      </c>
      <c r="D68" s="27" t="s">
        <v>16</v>
      </c>
      <c r="E68" s="28">
        <v>44272</v>
      </c>
      <c r="F68" s="27" t="s">
        <v>21</v>
      </c>
      <c r="G68" s="35">
        <v>71380</v>
      </c>
      <c r="H68" s="27" t="s">
        <v>205</v>
      </c>
      <c r="I68" s="27">
        <f t="shared" si="2"/>
        <v>2021</v>
      </c>
      <c r="J68" s="27">
        <f ca="1">YEAR(TODAY())-YEAR(Table_Final_Staff[[#This Row],[Date Joined]])</f>
        <v>2</v>
      </c>
      <c r="K68" s="35">
        <f ca="1">IF(Table_Final_Staff[[#This Row],[Tenure (Years)]]&gt;2,Table_Final_Staff[[#This Row],[Salary]]*1.1,Table_Final_Staff[[#This Row],[Salary]]*1.05)</f>
        <v>74949</v>
      </c>
    </row>
    <row r="69" spans="1:11" hidden="1" x14ac:dyDescent="0.3">
      <c r="A69" s="27" t="s">
        <v>191</v>
      </c>
      <c r="B69" s="27" t="s">
        <v>15</v>
      </c>
      <c r="C69" s="12">
        <v>27</v>
      </c>
      <c r="D69" s="27" t="s">
        <v>42</v>
      </c>
      <c r="E69" s="28">
        <v>44547</v>
      </c>
      <c r="F69" s="27" t="s">
        <v>9</v>
      </c>
      <c r="G69" s="35">
        <v>113280</v>
      </c>
      <c r="H69" s="27" t="s">
        <v>205</v>
      </c>
      <c r="I69" s="27">
        <f t="shared" si="2"/>
        <v>2021</v>
      </c>
      <c r="J69" s="27">
        <f ca="1">YEAR(TODAY())-YEAR(Table_Final_Staff[[#This Row],[Date Joined]])</f>
        <v>2</v>
      </c>
      <c r="K69" s="35">
        <f ca="1">IF(Table_Final_Staff[[#This Row],[Tenure (Years)]]&gt;2,Table_Final_Staff[[#This Row],[Salary]]*1.1,Table_Final_Staff[[#This Row],[Salary]]*1.05)</f>
        <v>118944</v>
      </c>
    </row>
    <row r="70" spans="1:11" hidden="1" x14ac:dyDescent="0.3">
      <c r="A70" s="27" t="s">
        <v>181</v>
      </c>
      <c r="B70" s="27" t="s">
        <v>8</v>
      </c>
      <c r="C70" s="12">
        <v>33</v>
      </c>
      <c r="D70" s="27" t="s">
        <v>16</v>
      </c>
      <c r="E70" s="28">
        <v>44747</v>
      </c>
      <c r="F70" s="27" t="s">
        <v>21</v>
      </c>
      <c r="G70" s="35">
        <v>86570</v>
      </c>
      <c r="H70" s="27" t="s">
        <v>205</v>
      </c>
      <c r="I70" s="27">
        <f t="shared" si="2"/>
        <v>2022</v>
      </c>
      <c r="J70" s="27">
        <f ca="1">YEAR(TODAY())-YEAR(Table_Final_Staff[[#This Row],[Date Joined]])</f>
        <v>1</v>
      </c>
      <c r="K70" s="35">
        <f ca="1">IF(Table_Final_Staff[[#This Row],[Tenure (Years)]]&gt;2,Table_Final_Staff[[#This Row],[Salary]]*1.1,Table_Final_Staff[[#This Row],[Salary]]*1.05)</f>
        <v>90898.5</v>
      </c>
    </row>
    <row r="71" spans="1:11" hidden="1" x14ac:dyDescent="0.3">
      <c r="A71" s="27" t="s">
        <v>139</v>
      </c>
      <c r="B71" s="27" t="s">
        <v>15</v>
      </c>
      <c r="C71" s="12">
        <v>26</v>
      </c>
      <c r="D71" s="27" t="s">
        <v>16</v>
      </c>
      <c r="E71" s="28">
        <v>44350</v>
      </c>
      <c r="F71" s="27" t="s">
        <v>9</v>
      </c>
      <c r="G71" s="35">
        <v>53540</v>
      </c>
      <c r="H71" s="27" t="s">
        <v>205</v>
      </c>
      <c r="I71" s="27">
        <f t="shared" si="2"/>
        <v>2021</v>
      </c>
      <c r="J71" s="27">
        <f ca="1">YEAR(TODAY())-YEAR(Table_Final_Staff[[#This Row],[Date Joined]])</f>
        <v>2</v>
      </c>
      <c r="K71" s="35">
        <f ca="1">IF(Table_Final_Staff[[#This Row],[Tenure (Years)]]&gt;2,Table_Final_Staff[[#This Row],[Salary]]*1.1,Table_Final_Staff[[#This Row],[Salary]]*1.05)</f>
        <v>56217</v>
      </c>
    </row>
    <row r="72" spans="1:11" hidden="1" x14ac:dyDescent="0.3">
      <c r="A72" s="27" t="s">
        <v>190</v>
      </c>
      <c r="B72" s="27" t="s">
        <v>15</v>
      </c>
      <c r="C72" s="12">
        <v>37</v>
      </c>
      <c r="D72" s="27" t="s">
        <v>16</v>
      </c>
      <c r="E72" s="28">
        <v>44640</v>
      </c>
      <c r="F72" s="27" t="s">
        <v>12</v>
      </c>
      <c r="G72" s="35">
        <v>69070</v>
      </c>
      <c r="H72" s="27" t="s">
        <v>205</v>
      </c>
      <c r="I72" s="27">
        <f t="shared" si="2"/>
        <v>2022</v>
      </c>
      <c r="J72" s="27">
        <f ca="1">YEAR(TODAY())-YEAR(Table_Final_Staff[[#This Row],[Date Joined]])</f>
        <v>1</v>
      </c>
      <c r="K72" s="35">
        <f ca="1">IF(Table_Final_Staff[[#This Row],[Tenure (Years)]]&gt;2,Table_Final_Staff[[#This Row],[Salary]]*1.1,Table_Final_Staff[[#This Row],[Salary]]*1.05)</f>
        <v>72523.5</v>
      </c>
    </row>
    <row r="73" spans="1:11" hidden="1" x14ac:dyDescent="0.3">
      <c r="A73" s="27" t="s">
        <v>121</v>
      </c>
      <c r="B73" s="27" t="s">
        <v>8</v>
      </c>
      <c r="C73" s="12">
        <v>30</v>
      </c>
      <c r="D73" s="27" t="s">
        <v>24</v>
      </c>
      <c r="E73" s="28">
        <v>44328</v>
      </c>
      <c r="F73" s="27" t="s">
        <v>21</v>
      </c>
      <c r="G73" s="35">
        <v>67910</v>
      </c>
      <c r="H73" s="27" t="s">
        <v>205</v>
      </c>
      <c r="I73" s="27">
        <f t="shared" si="2"/>
        <v>2021</v>
      </c>
      <c r="J73" s="27">
        <f ca="1">YEAR(TODAY())-YEAR(Table_Final_Staff[[#This Row],[Date Joined]])</f>
        <v>2</v>
      </c>
      <c r="K73" s="35">
        <f ca="1">IF(Table_Final_Staff[[#This Row],[Tenure (Years)]]&gt;2,Table_Final_Staff[[#This Row],[Salary]]*1.1,Table_Final_Staff[[#This Row],[Salary]]*1.05)</f>
        <v>71305.5</v>
      </c>
    </row>
    <row r="74" spans="1:11" hidden="1" x14ac:dyDescent="0.3">
      <c r="A74" s="27" t="s">
        <v>119</v>
      </c>
      <c r="B74" s="27" t="s">
        <v>15</v>
      </c>
      <c r="C74" s="12">
        <v>30</v>
      </c>
      <c r="D74" s="27" t="s">
        <v>16</v>
      </c>
      <c r="E74" s="28">
        <v>44214</v>
      </c>
      <c r="F74" s="27" t="s">
        <v>12</v>
      </c>
      <c r="G74" s="35">
        <v>69120</v>
      </c>
      <c r="H74" s="27" t="s">
        <v>205</v>
      </c>
      <c r="I74" s="27">
        <f t="shared" si="2"/>
        <v>2021</v>
      </c>
      <c r="J74" s="27">
        <f ca="1">YEAR(TODAY())-YEAR(Table_Final_Staff[[#This Row],[Date Joined]])</f>
        <v>2</v>
      </c>
      <c r="K74" s="35">
        <f ca="1">IF(Table_Final_Staff[[#This Row],[Tenure (Years)]]&gt;2,Table_Final_Staff[[#This Row],[Salary]]*1.1,Table_Final_Staff[[#This Row],[Salary]]*1.05)</f>
        <v>72576</v>
      </c>
    </row>
    <row r="75" spans="1:11" hidden="1" x14ac:dyDescent="0.3">
      <c r="A75" s="27" t="s">
        <v>132</v>
      </c>
      <c r="B75" s="27" t="s">
        <v>8</v>
      </c>
      <c r="C75" s="12">
        <v>34</v>
      </c>
      <c r="D75" s="27" t="s">
        <v>16</v>
      </c>
      <c r="E75" s="28">
        <v>44550</v>
      </c>
      <c r="F75" s="27" t="s">
        <v>21</v>
      </c>
      <c r="G75" s="35">
        <v>60130</v>
      </c>
      <c r="H75" s="27" t="s">
        <v>205</v>
      </c>
      <c r="I75" s="27">
        <f t="shared" si="2"/>
        <v>2021</v>
      </c>
      <c r="J75" s="27">
        <f ca="1">YEAR(TODAY())-YEAR(Table_Final_Staff[[#This Row],[Date Joined]])</f>
        <v>2</v>
      </c>
      <c r="K75" s="35">
        <f ca="1">IF(Table_Final_Staff[[#This Row],[Tenure (Years)]]&gt;2,Table_Final_Staff[[#This Row],[Salary]]*1.1,Table_Final_Staff[[#This Row],[Salary]]*1.05)</f>
        <v>63136.5</v>
      </c>
    </row>
    <row r="76" spans="1:11" hidden="1" x14ac:dyDescent="0.3">
      <c r="A76" s="27" t="s">
        <v>161</v>
      </c>
      <c r="B76" s="27" t="s">
        <v>15</v>
      </c>
      <c r="C76" s="12">
        <v>23</v>
      </c>
      <c r="D76" s="27" t="s">
        <v>16</v>
      </c>
      <c r="E76" s="28">
        <v>44378</v>
      </c>
      <c r="F76" s="27" t="s">
        <v>9</v>
      </c>
      <c r="G76" s="35">
        <v>106460</v>
      </c>
      <c r="H76" s="27" t="s">
        <v>205</v>
      </c>
      <c r="I76" s="27">
        <f t="shared" si="2"/>
        <v>2021</v>
      </c>
      <c r="J76" s="27">
        <f ca="1">YEAR(TODAY())-YEAR(Table_Final_Staff[[#This Row],[Date Joined]])</f>
        <v>2</v>
      </c>
      <c r="K76" s="35">
        <f ca="1">IF(Table_Final_Staff[[#This Row],[Tenure (Years)]]&gt;2,Table_Final_Staff[[#This Row],[Salary]]*1.1,Table_Final_Staff[[#This Row],[Salary]]*1.05)</f>
        <v>111783</v>
      </c>
    </row>
    <row r="77" spans="1:11" hidden="1" x14ac:dyDescent="0.3">
      <c r="A77" s="27" t="s">
        <v>148</v>
      </c>
      <c r="B77" s="27" t="s">
        <v>8</v>
      </c>
      <c r="C77" s="12">
        <v>37</v>
      </c>
      <c r="D77" s="27" t="s">
        <v>16</v>
      </c>
      <c r="E77" s="28">
        <v>44389</v>
      </c>
      <c r="F77" s="27" t="s">
        <v>56</v>
      </c>
      <c r="G77" s="35">
        <v>118100</v>
      </c>
      <c r="H77" s="27" t="s">
        <v>205</v>
      </c>
      <c r="I77" s="27">
        <f t="shared" si="2"/>
        <v>2021</v>
      </c>
      <c r="J77" s="27">
        <f ca="1">YEAR(TODAY())-YEAR(Table_Final_Staff[[#This Row],[Date Joined]])</f>
        <v>2</v>
      </c>
      <c r="K77" s="35">
        <f ca="1">IF(Table_Final_Staff[[#This Row],[Tenure (Years)]]&gt;2,Table_Final_Staff[[#This Row],[Salary]]*1.1,Table_Final_Staff[[#This Row],[Salary]]*1.05)</f>
        <v>124005</v>
      </c>
    </row>
    <row r="78" spans="1:11" hidden="1" x14ac:dyDescent="0.3">
      <c r="A78" s="27" t="s">
        <v>164</v>
      </c>
      <c r="B78" s="27" t="s">
        <v>8</v>
      </c>
      <c r="C78" s="12">
        <v>36</v>
      </c>
      <c r="D78" s="27" t="s">
        <v>16</v>
      </c>
      <c r="E78" s="28">
        <v>44468</v>
      </c>
      <c r="F78" s="27" t="s">
        <v>9</v>
      </c>
      <c r="G78" s="35">
        <v>78390</v>
      </c>
      <c r="H78" s="27" t="s">
        <v>205</v>
      </c>
      <c r="I78" s="27">
        <f t="shared" si="2"/>
        <v>2021</v>
      </c>
      <c r="J78" s="27">
        <f ca="1">YEAR(TODAY())-YEAR(Table_Final_Staff[[#This Row],[Date Joined]])</f>
        <v>2</v>
      </c>
      <c r="K78" s="35">
        <f ca="1">IF(Table_Final_Staff[[#This Row],[Tenure (Years)]]&gt;2,Table_Final_Staff[[#This Row],[Salary]]*1.1,Table_Final_Staff[[#This Row],[Salary]]*1.05)</f>
        <v>82309.5</v>
      </c>
    </row>
    <row r="79" spans="1:11" hidden="1" x14ac:dyDescent="0.3">
      <c r="A79" s="27" t="s">
        <v>147</v>
      </c>
      <c r="B79" s="27" t="s">
        <v>8</v>
      </c>
      <c r="C79" s="12">
        <v>30</v>
      </c>
      <c r="D79" s="27" t="s">
        <v>16</v>
      </c>
      <c r="E79" s="28">
        <v>44789</v>
      </c>
      <c r="F79" s="27" t="s">
        <v>9</v>
      </c>
      <c r="G79" s="35">
        <v>114180</v>
      </c>
      <c r="H79" s="27" t="s">
        <v>205</v>
      </c>
      <c r="I79" s="27">
        <f t="shared" si="2"/>
        <v>2022</v>
      </c>
      <c r="J79" s="27">
        <f ca="1">YEAR(TODAY())-YEAR(Table_Final_Staff[[#This Row],[Date Joined]])</f>
        <v>1</v>
      </c>
      <c r="K79" s="35">
        <f ca="1">IF(Table_Final_Staff[[#This Row],[Tenure (Years)]]&gt;2,Table_Final_Staff[[#This Row],[Salary]]*1.1,Table_Final_Staff[[#This Row],[Salary]]*1.05)</f>
        <v>119889</v>
      </c>
    </row>
    <row r="80" spans="1:11" hidden="1" x14ac:dyDescent="0.3">
      <c r="A80" s="27" t="s">
        <v>189</v>
      </c>
      <c r="B80" s="27" t="s">
        <v>8</v>
      </c>
      <c r="C80" s="12">
        <v>28</v>
      </c>
      <c r="D80" s="27" t="s">
        <v>16</v>
      </c>
      <c r="E80" s="28">
        <v>44590</v>
      </c>
      <c r="F80" s="27" t="s">
        <v>9</v>
      </c>
      <c r="G80" s="35">
        <v>104120</v>
      </c>
      <c r="H80" s="27" t="s">
        <v>205</v>
      </c>
      <c r="I80" s="27">
        <f t="shared" si="2"/>
        <v>2022</v>
      </c>
      <c r="J80" s="27">
        <f ca="1">YEAR(TODAY())-YEAR(Table_Final_Staff[[#This Row],[Date Joined]])</f>
        <v>1</v>
      </c>
      <c r="K80" s="35">
        <f ca="1">IF(Table_Final_Staff[[#This Row],[Tenure (Years)]]&gt;2,Table_Final_Staff[[#This Row],[Salary]]*1.1,Table_Final_Staff[[#This Row],[Salary]]*1.05)</f>
        <v>109326</v>
      </c>
    </row>
    <row r="81" spans="1:11" hidden="1" x14ac:dyDescent="0.3">
      <c r="A81" s="27" t="s">
        <v>138</v>
      </c>
      <c r="B81" s="27" t="s">
        <v>15</v>
      </c>
      <c r="C81" s="12">
        <v>30</v>
      </c>
      <c r="D81" s="27" t="s">
        <v>16</v>
      </c>
      <c r="E81" s="28">
        <v>44640</v>
      </c>
      <c r="F81" s="27" t="s">
        <v>9</v>
      </c>
      <c r="G81" s="35">
        <v>67950</v>
      </c>
      <c r="H81" s="27" t="s">
        <v>205</v>
      </c>
      <c r="I81" s="27">
        <f t="shared" si="2"/>
        <v>2022</v>
      </c>
      <c r="J81" s="27">
        <f ca="1">YEAR(TODAY())-YEAR(Table_Final_Staff[[#This Row],[Date Joined]])</f>
        <v>1</v>
      </c>
      <c r="K81" s="35">
        <f ca="1">IF(Table_Final_Staff[[#This Row],[Tenure (Years)]]&gt;2,Table_Final_Staff[[#This Row],[Salary]]*1.1,Table_Final_Staff[[#This Row],[Salary]]*1.05)</f>
        <v>71347.5</v>
      </c>
    </row>
    <row r="82" spans="1:11" hidden="1" x14ac:dyDescent="0.3">
      <c r="A82" s="27" t="s">
        <v>137</v>
      </c>
      <c r="B82" s="27" t="s">
        <v>8</v>
      </c>
      <c r="C82" s="12">
        <v>29</v>
      </c>
      <c r="D82" s="27" t="s">
        <v>16</v>
      </c>
      <c r="E82" s="28">
        <v>43962</v>
      </c>
      <c r="F82" s="27" t="s">
        <v>12</v>
      </c>
      <c r="G82" s="35">
        <v>34980</v>
      </c>
      <c r="H82" s="27" t="s">
        <v>205</v>
      </c>
      <c r="I82" s="27">
        <f t="shared" si="2"/>
        <v>2020</v>
      </c>
      <c r="J82" s="27">
        <f ca="1">YEAR(TODAY())-YEAR(Table_Final_Staff[[#This Row],[Date Joined]])</f>
        <v>3</v>
      </c>
      <c r="K82" s="35">
        <f ca="1">IF(Table_Final_Staff[[#This Row],[Tenure (Years)]]&gt;2,Table_Final_Staff[[#This Row],[Salary]]*1.1,Table_Final_Staff[[#This Row],[Salary]]*1.05)</f>
        <v>38478</v>
      </c>
    </row>
    <row r="83" spans="1:11" hidden="1" x14ac:dyDescent="0.3">
      <c r="A83" s="27" t="s">
        <v>153</v>
      </c>
      <c r="B83" s="27" t="s">
        <v>8</v>
      </c>
      <c r="C83" s="12">
        <v>24</v>
      </c>
      <c r="D83" s="27" t="s">
        <v>16</v>
      </c>
      <c r="E83" s="28">
        <v>44087</v>
      </c>
      <c r="F83" s="27" t="s">
        <v>12</v>
      </c>
      <c r="G83" s="35">
        <v>62780</v>
      </c>
      <c r="H83" s="27" t="s">
        <v>205</v>
      </c>
      <c r="I83" s="27">
        <f t="shared" si="2"/>
        <v>2020</v>
      </c>
      <c r="J83" s="27">
        <f ca="1">YEAR(TODAY())-YEAR(Table_Final_Staff[[#This Row],[Date Joined]])</f>
        <v>3</v>
      </c>
      <c r="K83" s="35">
        <f ca="1">IF(Table_Final_Staff[[#This Row],[Tenure (Years)]]&gt;2,Table_Final_Staff[[#This Row],[Salary]]*1.1,Table_Final_Staff[[#This Row],[Salary]]*1.05)</f>
        <v>69058</v>
      </c>
    </row>
    <row r="84" spans="1:11" hidden="1" x14ac:dyDescent="0.3">
      <c r="A84" s="27" t="s">
        <v>117</v>
      </c>
      <c r="B84" s="27" t="s">
        <v>15</v>
      </c>
      <c r="C84" s="12">
        <v>20</v>
      </c>
      <c r="D84" s="27" t="s">
        <v>16</v>
      </c>
      <c r="E84" s="28">
        <v>44397</v>
      </c>
      <c r="F84" s="27" t="s">
        <v>12</v>
      </c>
      <c r="G84" s="35">
        <v>107700</v>
      </c>
      <c r="H84" s="27" t="s">
        <v>205</v>
      </c>
      <c r="I84" s="27">
        <f t="shared" si="2"/>
        <v>2021</v>
      </c>
      <c r="J84" s="27">
        <f ca="1">YEAR(TODAY())-YEAR(Table_Final_Staff[[#This Row],[Date Joined]])</f>
        <v>2</v>
      </c>
      <c r="K84" s="35">
        <f ca="1">IF(Table_Final_Staff[[#This Row],[Tenure (Years)]]&gt;2,Table_Final_Staff[[#This Row],[Salary]]*1.1,Table_Final_Staff[[#This Row],[Salary]]*1.05)</f>
        <v>113085</v>
      </c>
    </row>
    <row r="85" spans="1:11" hidden="1" x14ac:dyDescent="0.3">
      <c r="A85" s="27" t="s">
        <v>168</v>
      </c>
      <c r="B85" s="27" t="s">
        <v>15</v>
      </c>
      <c r="C85" s="12">
        <v>25</v>
      </c>
      <c r="D85" s="27" t="s">
        <v>16</v>
      </c>
      <c r="E85" s="28">
        <v>44322</v>
      </c>
      <c r="F85" s="27" t="s">
        <v>19</v>
      </c>
      <c r="G85" s="35">
        <v>65700</v>
      </c>
      <c r="H85" s="27" t="s">
        <v>205</v>
      </c>
      <c r="I85" s="27">
        <f t="shared" si="2"/>
        <v>2021</v>
      </c>
      <c r="J85" s="27">
        <f ca="1">YEAR(TODAY())-YEAR(Table_Final_Staff[[#This Row],[Date Joined]])</f>
        <v>2</v>
      </c>
      <c r="K85" s="35">
        <f ca="1">IF(Table_Final_Staff[[#This Row],[Tenure (Years)]]&gt;2,Table_Final_Staff[[#This Row],[Salary]]*1.1,Table_Final_Staff[[#This Row],[Salary]]*1.05)</f>
        <v>68985</v>
      </c>
    </row>
    <row r="86" spans="1:11" hidden="1" x14ac:dyDescent="0.3">
      <c r="A86" s="27" t="s">
        <v>135</v>
      </c>
      <c r="B86" s="27" t="s">
        <v>8</v>
      </c>
      <c r="C86" s="12">
        <v>33</v>
      </c>
      <c r="D86" s="27" t="s">
        <v>42</v>
      </c>
      <c r="E86" s="28">
        <v>44313</v>
      </c>
      <c r="F86" s="27" t="s">
        <v>12</v>
      </c>
      <c r="G86" s="35">
        <v>75480</v>
      </c>
      <c r="H86" s="27" t="s">
        <v>205</v>
      </c>
      <c r="I86" s="27">
        <f t="shared" si="2"/>
        <v>2021</v>
      </c>
      <c r="J86" s="27">
        <f ca="1">YEAR(TODAY())-YEAR(Table_Final_Staff[[#This Row],[Date Joined]])</f>
        <v>2</v>
      </c>
      <c r="K86" s="35">
        <f ca="1">IF(Table_Final_Staff[[#This Row],[Tenure (Years)]]&gt;2,Table_Final_Staff[[#This Row],[Salary]]*1.1,Table_Final_Staff[[#This Row],[Salary]]*1.05)</f>
        <v>79254</v>
      </c>
    </row>
    <row r="87" spans="1:11" hidden="1" x14ac:dyDescent="0.3">
      <c r="A87" s="27" t="s">
        <v>174</v>
      </c>
      <c r="B87" s="27" t="s">
        <v>15</v>
      </c>
      <c r="C87" s="12">
        <v>33</v>
      </c>
      <c r="D87" s="27" t="s">
        <v>16</v>
      </c>
      <c r="E87" s="28">
        <v>44448</v>
      </c>
      <c r="F87" s="27" t="s">
        <v>12</v>
      </c>
      <c r="G87" s="35">
        <v>53870</v>
      </c>
      <c r="H87" s="27" t="s">
        <v>205</v>
      </c>
      <c r="I87" s="27">
        <f t="shared" si="2"/>
        <v>2021</v>
      </c>
      <c r="J87" s="27">
        <f ca="1">YEAR(TODAY())-YEAR(Table_Final_Staff[[#This Row],[Date Joined]])</f>
        <v>2</v>
      </c>
      <c r="K87" s="35">
        <f ca="1">IF(Table_Final_Staff[[#This Row],[Tenure (Years)]]&gt;2,Table_Final_Staff[[#This Row],[Salary]]*1.1,Table_Final_Staff[[#This Row],[Salary]]*1.05)</f>
        <v>56563.5</v>
      </c>
    </row>
    <row r="88" spans="1:11" hidden="1" x14ac:dyDescent="0.3">
      <c r="A88" s="27" t="s">
        <v>141</v>
      </c>
      <c r="B88" s="27" t="s">
        <v>8</v>
      </c>
      <c r="C88" s="12">
        <v>36</v>
      </c>
      <c r="D88" s="27" t="s">
        <v>16</v>
      </c>
      <c r="E88" s="28">
        <v>44433</v>
      </c>
      <c r="F88" s="27" t="s">
        <v>19</v>
      </c>
      <c r="G88" s="35">
        <v>78540</v>
      </c>
      <c r="H88" s="27" t="s">
        <v>205</v>
      </c>
      <c r="I88" s="27">
        <f t="shared" si="2"/>
        <v>2021</v>
      </c>
      <c r="J88" s="27">
        <f ca="1">YEAR(TODAY())-YEAR(Table_Final_Staff[[#This Row],[Date Joined]])</f>
        <v>2</v>
      </c>
      <c r="K88" s="35">
        <f ca="1">IF(Table_Final_Staff[[#This Row],[Tenure (Years)]]&gt;2,Table_Final_Staff[[#This Row],[Salary]]*1.1,Table_Final_Staff[[#This Row],[Salary]]*1.05)</f>
        <v>82467</v>
      </c>
    </row>
    <row r="89" spans="1:11" hidden="1" x14ac:dyDescent="0.3">
      <c r="A89" s="27" t="s">
        <v>193</v>
      </c>
      <c r="B89" s="27" t="s">
        <v>15</v>
      </c>
      <c r="C89" s="12">
        <v>19</v>
      </c>
      <c r="D89" s="27" t="s">
        <v>16</v>
      </c>
      <c r="E89" s="28">
        <v>44218</v>
      </c>
      <c r="F89" s="27" t="s">
        <v>9</v>
      </c>
      <c r="G89" s="35">
        <v>58960</v>
      </c>
      <c r="H89" s="27" t="s">
        <v>205</v>
      </c>
      <c r="I89" s="27">
        <f t="shared" si="2"/>
        <v>2021</v>
      </c>
      <c r="J89" s="27">
        <f ca="1">YEAR(TODAY())-YEAR(Table_Final_Staff[[#This Row],[Date Joined]])</f>
        <v>2</v>
      </c>
      <c r="K89" s="35">
        <f ca="1">IF(Table_Final_Staff[[#This Row],[Tenure (Years)]]&gt;2,Table_Final_Staff[[#This Row],[Salary]]*1.1,Table_Final_Staff[[#This Row],[Salary]]*1.05)</f>
        <v>61908</v>
      </c>
    </row>
    <row r="90" spans="1:11" hidden="1" x14ac:dyDescent="0.3">
      <c r="A90" s="27" t="s">
        <v>162</v>
      </c>
      <c r="B90" s="27" t="s">
        <v>15</v>
      </c>
      <c r="C90" s="12">
        <v>46</v>
      </c>
      <c r="D90" s="27" t="s">
        <v>16</v>
      </c>
      <c r="E90" s="28">
        <v>44697</v>
      </c>
      <c r="F90" s="27" t="s">
        <v>9</v>
      </c>
      <c r="G90" s="35">
        <v>70610</v>
      </c>
      <c r="H90" s="27" t="s">
        <v>205</v>
      </c>
      <c r="I90" s="27">
        <f t="shared" si="2"/>
        <v>2022</v>
      </c>
      <c r="J90" s="27">
        <f ca="1">YEAR(TODAY())-YEAR(Table_Final_Staff[[#This Row],[Date Joined]])</f>
        <v>1</v>
      </c>
      <c r="K90" s="35">
        <f ca="1">IF(Table_Final_Staff[[#This Row],[Tenure (Years)]]&gt;2,Table_Final_Staff[[#This Row],[Salary]]*1.1,Table_Final_Staff[[#This Row],[Salary]]*1.05)</f>
        <v>74140.5</v>
      </c>
    </row>
    <row r="91" spans="1:11" hidden="1" x14ac:dyDescent="0.3">
      <c r="A91" s="27" t="s">
        <v>171</v>
      </c>
      <c r="B91" s="27" t="s">
        <v>15</v>
      </c>
      <c r="C91" s="12">
        <v>33</v>
      </c>
      <c r="D91" s="27" t="s">
        <v>16</v>
      </c>
      <c r="E91" s="28">
        <v>44181</v>
      </c>
      <c r="F91" s="27" t="s">
        <v>21</v>
      </c>
      <c r="G91" s="35">
        <v>59430</v>
      </c>
      <c r="H91" s="27" t="s">
        <v>205</v>
      </c>
      <c r="I91" s="27">
        <f t="shared" si="2"/>
        <v>2020</v>
      </c>
      <c r="J91" s="27">
        <f ca="1">YEAR(TODAY())-YEAR(Table_Final_Staff[[#This Row],[Date Joined]])</f>
        <v>3</v>
      </c>
      <c r="K91" s="35">
        <f ca="1">IF(Table_Final_Staff[[#This Row],[Tenure (Years)]]&gt;2,Table_Final_Staff[[#This Row],[Salary]]*1.1,Table_Final_Staff[[#This Row],[Salary]]*1.05)</f>
        <v>65373.000000000007</v>
      </c>
    </row>
    <row r="92" spans="1:11" hidden="1" x14ac:dyDescent="0.3">
      <c r="A92" s="27" t="s">
        <v>144</v>
      </c>
      <c r="B92" s="27" t="s">
        <v>15</v>
      </c>
      <c r="C92" s="12">
        <v>33</v>
      </c>
      <c r="D92" s="27" t="s">
        <v>13</v>
      </c>
      <c r="E92" s="28">
        <v>44640</v>
      </c>
      <c r="F92" s="27" t="s">
        <v>9</v>
      </c>
      <c r="G92" s="35">
        <v>48530</v>
      </c>
      <c r="H92" s="27" t="s">
        <v>205</v>
      </c>
      <c r="I92" s="27">
        <f t="shared" si="2"/>
        <v>2022</v>
      </c>
      <c r="J92" s="27">
        <f ca="1">YEAR(TODAY())-YEAR(Table_Final_Staff[[#This Row],[Date Joined]])</f>
        <v>1</v>
      </c>
      <c r="K92" s="35">
        <f ca="1">IF(Table_Final_Staff[[#This Row],[Tenure (Years)]]&gt;2,Table_Final_Staff[[#This Row],[Salary]]*1.1,Table_Final_Staff[[#This Row],[Salary]]*1.05)</f>
        <v>50956.5</v>
      </c>
    </row>
    <row r="93" spans="1:11" hidden="1" x14ac:dyDescent="0.3">
      <c r="A93" s="27" t="s">
        <v>163</v>
      </c>
      <c r="B93" s="27" t="s">
        <v>8</v>
      </c>
      <c r="C93" s="12">
        <v>33</v>
      </c>
      <c r="D93" s="27" t="s">
        <v>16</v>
      </c>
      <c r="E93" s="28">
        <v>44129</v>
      </c>
      <c r="F93" s="27" t="s">
        <v>12</v>
      </c>
      <c r="G93" s="35">
        <v>96140</v>
      </c>
      <c r="H93" s="27" t="s">
        <v>205</v>
      </c>
      <c r="I93" s="27">
        <f t="shared" si="2"/>
        <v>2020</v>
      </c>
      <c r="J93" s="27">
        <f ca="1">YEAR(TODAY())-YEAR(Table_Final_Staff[[#This Row],[Date Joined]])</f>
        <v>3</v>
      </c>
      <c r="K93" s="35">
        <f ca="1">IF(Table_Final_Staff[[#This Row],[Tenure (Years)]]&gt;2,Table_Final_Staff[[#This Row],[Salary]]*1.1,Table_Final_Staff[[#This Row],[Salary]]*1.05)</f>
        <v>105754.00000000001</v>
      </c>
    </row>
    <row r="94" spans="1:11" x14ac:dyDescent="0.3">
      <c r="A94" s="27" t="s">
        <v>58</v>
      </c>
      <c r="B94" s="27" t="s">
        <v>15</v>
      </c>
      <c r="C94" s="12">
        <v>22</v>
      </c>
      <c r="D94" s="27" t="s">
        <v>13</v>
      </c>
      <c r="E94" s="28">
        <v>44446</v>
      </c>
      <c r="F94" s="27" t="s">
        <v>19</v>
      </c>
      <c r="G94" s="35">
        <v>112780</v>
      </c>
      <c r="H94" s="27" t="s">
        <v>207</v>
      </c>
      <c r="I94" s="27">
        <f t="shared" si="2"/>
        <v>2021</v>
      </c>
      <c r="J94" s="27">
        <f ca="1">YEAR(TODAY())-YEAR(Table_Final_Staff[[#This Row],[Date Joined]])</f>
        <v>2</v>
      </c>
      <c r="K94" s="35">
        <f ca="1">IF(Table_Final_Staff[[#This Row],[Tenure (Years)]]&gt;2,Table_Final_Staff[[#This Row],[Salary]]*1.1,Table_Final_Staff[[#This Row],[Salary]]*1.05)</f>
        <v>118419</v>
      </c>
    </row>
    <row r="95" spans="1:11" x14ac:dyDescent="0.3">
      <c r="A95" s="27" t="s">
        <v>70</v>
      </c>
      <c r="B95" s="27" t="s">
        <v>15</v>
      </c>
      <c r="C95" s="12">
        <v>46</v>
      </c>
      <c r="D95" s="27" t="s">
        <v>16</v>
      </c>
      <c r="E95" s="28">
        <v>44758</v>
      </c>
      <c r="F95" s="27" t="s">
        <v>9</v>
      </c>
      <c r="G95" s="35">
        <v>70610</v>
      </c>
      <c r="H95" s="27" t="s">
        <v>207</v>
      </c>
      <c r="I95" s="27">
        <f t="shared" si="2"/>
        <v>2022</v>
      </c>
      <c r="J95" s="27">
        <f ca="1">YEAR(TODAY())-YEAR(Table_Final_Staff[[#This Row],[Date Joined]])</f>
        <v>1</v>
      </c>
      <c r="K95" s="35">
        <f ca="1">IF(Table_Final_Staff[[#This Row],[Tenure (Years)]]&gt;2,Table_Final_Staff[[#This Row],[Salary]]*1.1,Table_Final_Staff[[#This Row],[Salary]]*1.05)</f>
        <v>74140.5</v>
      </c>
    </row>
    <row r="96" spans="1:11" x14ac:dyDescent="0.3">
      <c r="A96" s="27" t="s">
        <v>75</v>
      </c>
      <c r="B96" s="27" t="s">
        <v>8</v>
      </c>
      <c r="C96" s="12">
        <v>28</v>
      </c>
      <c r="D96" s="27" t="s">
        <v>16</v>
      </c>
      <c r="E96" s="28">
        <v>44357</v>
      </c>
      <c r="F96" s="27" t="s">
        <v>19</v>
      </c>
      <c r="G96" s="35">
        <v>53240</v>
      </c>
      <c r="H96" s="27" t="s">
        <v>207</v>
      </c>
      <c r="I96" s="27">
        <f t="shared" si="2"/>
        <v>2021</v>
      </c>
      <c r="J96" s="27">
        <f ca="1">YEAR(TODAY())-YEAR(Table_Final_Staff[[#This Row],[Date Joined]])</f>
        <v>2</v>
      </c>
      <c r="K96" s="35">
        <f ca="1">IF(Table_Final_Staff[[#This Row],[Tenure (Years)]]&gt;2,Table_Final_Staff[[#This Row],[Salary]]*1.1,Table_Final_Staff[[#This Row],[Salary]]*1.05)</f>
        <v>55902</v>
      </c>
    </row>
    <row r="97" spans="1:11" x14ac:dyDescent="0.3">
      <c r="A97" s="27" t="s">
        <v>49</v>
      </c>
      <c r="B97" s="27" t="s">
        <v>206</v>
      </c>
      <c r="C97" s="12">
        <v>37</v>
      </c>
      <c r="D97" s="27" t="s">
        <v>24</v>
      </c>
      <c r="E97" s="28">
        <v>44146</v>
      </c>
      <c r="F97" s="27" t="s">
        <v>21</v>
      </c>
      <c r="G97" s="35">
        <v>115440</v>
      </c>
      <c r="H97" s="27" t="s">
        <v>207</v>
      </c>
      <c r="I97" s="27">
        <f t="shared" si="2"/>
        <v>2020</v>
      </c>
      <c r="J97" s="27">
        <f ca="1">YEAR(TODAY())-YEAR(Table_Final_Staff[[#This Row],[Date Joined]])</f>
        <v>3</v>
      </c>
      <c r="K97" s="35">
        <f ca="1">IF(Table_Final_Staff[[#This Row],[Tenure (Years)]]&gt;2,Table_Final_Staff[[#This Row],[Salary]]*1.1,Table_Final_Staff[[#This Row],[Salary]]*1.05)</f>
        <v>126984.00000000001</v>
      </c>
    </row>
    <row r="98" spans="1:11" x14ac:dyDescent="0.3">
      <c r="A98" s="27" t="s">
        <v>65</v>
      </c>
      <c r="B98" s="27" t="s">
        <v>15</v>
      </c>
      <c r="C98" s="12">
        <v>32</v>
      </c>
      <c r="D98" s="27" t="s">
        <v>16</v>
      </c>
      <c r="E98" s="28">
        <v>44465</v>
      </c>
      <c r="F98" s="27" t="s">
        <v>19</v>
      </c>
      <c r="G98" s="35">
        <v>53540</v>
      </c>
      <c r="H98" s="27" t="s">
        <v>207</v>
      </c>
      <c r="I98" s="27">
        <f t="shared" ref="I98:I129" si="3">YEAR(E98)</f>
        <v>2021</v>
      </c>
      <c r="J98" s="27">
        <f ca="1">YEAR(TODAY())-YEAR(Table_Final_Staff[[#This Row],[Date Joined]])</f>
        <v>2</v>
      </c>
      <c r="K98" s="35">
        <f ca="1">IF(Table_Final_Staff[[#This Row],[Tenure (Years)]]&gt;2,Table_Final_Staff[[#This Row],[Salary]]*1.1,Table_Final_Staff[[#This Row],[Salary]]*1.05)</f>
        <v>56217</v>
      </c>
    </row>
    <row r="99" spans="1:11" x14ac:dyDescent="0.3">
      <c r="A99" s="27" t="s">
        <v>81</v>
      </c>
      <c r="B99" s="27" t="s">
        <v>8</v>
      </c>
      <c r="C99" s="12">
        <v>30</v>
      </c>
      <c r="D99" s="27" t="s">
        <v>16</v>
      </c>
      <c r="E99" s="28">
        <v>44861</v>
      </c>
      <c r="F99" s="27" t="s">
        <v>9</v>
      </c>
      <c r="G99" s="35">
        <v>112570</v>
      </c>
      <c r="H99" s="27" t="s">
        <v>207</v>
      </c>
      <c r="I99" s="27">
        <f t="shared" si="3"/>
        <v>2022</v>
      </c>
      <c r="J99" s="27">
        <f ca="1">YEAR(TODAY())-YEAR(Table_Final_Staff[[#This Row],[Date Joined]])</f>
        <v>1</v>
      </c>
      <c r="K99" s="35">
        <f ca="1">IF(Table_Final_Staff[[#This Row],[Tenure (Years)]]&gt;2,Table_Final_Staff[[#This Row],[Salary]]*1.1,Table_Final_Staff[[#This Row],[Salary]]*1.05)</f>
        <v>118198.5</v>
      </c>
    </row>
    <row r="100" spans="1:11" x14ac:dyDescent="0.3">
      <c r="A100" s="27" t="s">
        <v>51</v>
      </c>
      <c r="B100" s="27" t="s">
        <v>15</v>
      </c>
      <c r="C100" s="12">
        <v>33</v>
      </c>
      <c r="D100" s="27" t="s">
        <v>13</v>
      </c>
      <c r="E100" s="28">
        <v>44701</v>
      </c>
      <c r="F100" s="27" t="s">
        <v>9</v>
      </c>
      <c r="G100" s="35">
        <v>48530</v>
      </c>
      <c r="H100" s="27" t="s">
        <v>207</v>
      </c>
      <c r="I100" s="27">
        <f t="shared" si="3"/>
        <v>2022</v>
      </c>
      <c r="J100" s="27">
        <f ca="1">YEAR(TODAY())-YEAR(Table_Final_Staff[[#This Row],[Date Joined]])</f>
        <v>1</v>
      </c>
      <c r="K100" s="35">
        <f ca="1">IF(Table_Final_Staff[[#This Row],[Tenure (Years)]]&gt;2,Table_Final_Staff[[#This Row],[Salary]]*1.1,Table_Final_Staff[[#This Row],[Salary]]*1.05)</f>
        <v>50956.5</v>
      </c>
    </row>
    <row r="101" spans="1:11" x14ac:dyDescent="0.3">
      <c r="A101" s="27" t="s">
        <v>61</v>
      </c>
      <c r="B101" s="27" t="s">
        <v>8</v>
      </c>
      <c r="C101" s="12">
        <v>24</v>
      </c>
      <c r="D101" s="27" t="s">
        <v>16</v>
      </c>
      <c r="E101" s="28">
        <v>44148</v>
      </c>
      <c r="F101" s="27" t="s">
        <v>12</v>
      </c>
      <c r="G101" s="35">
        <v>62780</v>
      </c>
      <c r="H101" s="27" t="s">
        <v>207</v>
      </c>
      <c r="I101" s="27">
        <f t="shared" si="3"/>
        <v>2020</v>
      </c>
      <c r="J101" s="27">
        <f ca="1">YEAR(TODAY())-YEAR(Table_Final_Staff[[#This Row],[Date Joined]])</f>
        <v>3</v>
      </c>
      <c r="K101" s="35">
        <f ca="1">IF(Table_Final_Staff[[#This Row],[Tenure (Years)]]&gt;2,Table_Final_Staff[[#This Row],[Salary]]*1.1,Table_Final_Staff[[#This Row],[Salary]]*1.05)</f>
        <v>69058</v>
      </c>
    </row>
    <row r="102" spans="1:11" x14ac:dyDescent="0.3">
      <c r="A102" s="27" t="s">
        <v>82</v>
      </c>
      <c r="B102" s="27" t="s">
        <v>15</v>
      </c>
      <c r="C102" s="12">
        <v>33</v>
      </c>
      <c r="D102" s="27" t="s">
        <v>16</v>
      </c>
      <c r="E102" s="28">
        <v>44509</v>
      </c>
      <c r="F102" s="27" t="s">
        <v>12</v>
      </c>
      <c r="G102" s="35">
        <v>53870</v>
      </c>
      <c r="H102" s="27" t="s">
        <v>207</v>
      </c>
      <c r="I102" s="27">
        <f t="shared" si="3"/>
        <v>2021</v>
      </c>
      <c r="J102" s="27">
        <f ca="1">YEAR(TODAY())-YEAR(Table_Final_Staff[[#This Row],[Date Joined]])</f>
        <v>2</v>
      </c>
      <c r="K102" s="35">
        <f ca="1">IF(Table_Final_Staff[[#This Row],[Tenure (Years)]]&gt;2,Table_Final_Staff[[#This Row],[Salary]]*1.1,Table_Final_Staff[[#This Row],[Salary]]*1.05)</f>
        <v>56563.5</v>
      </c>
    </row>
    <row r="103" spans="1:11" x14ac:dyDescent="0.3">
      <c r="A103" s="27" t="s">
        <v>60</v>
      </c>
      <c r="B103" s="27" t="s">
        <v>8</v>
      </c>
      <c r="C103" s="12">
        <v>27</v>
      </c>
      <c r="D103" s="27" t="s">
        <v>16</v>
      </c>
      <c r="E103" s="28">
        <v>44122</v>
      </c>
      <c r="F103" s="27" t="s">
        <v>56</v>
      </c>
      <c r="G103" s="35">
        <v>119110</v>
      </c>
      <c r="H103" s="27" t="s">
        <v>207</v>
      </c>
      <c r="I103" s="27">
        <f t="shared" si="3"/>
        <v>2020</v>
      </c>
      <c r="J103" s="27">
        <f ca="1">YEAR(TODAY())-YEAR(Table_Final_Staff[[#This Row],[Date Joined]])</f>
        <v>3</v>
      </c>
      <c r="K103" s="35">
        <f ca="1">IF(Table_Final_Staff[[#This Row],[Tenure (Years)]]&gt;2,Table_Final_Staff[[#This Row],[Salary]]*1.1,Table_Final_Staff[[#This Row],[Salary]]*1.05)</f>
        <v>131021.00000000001</v>
      </c>
    </row>
    <row r="104" spans="1:11" x14ac:dyDescent="0.3">
      <c r="A104" s="27" t="s">
        <v>87</v>
      </c>
      <c r="B104" s="27" t="s">
        <v>15</v>
      </c>
      <c r="C104" s="12">
        <v>29</v>
      </c>
      <c r="D104" s="27" t="s">
        <v>24</v>
      </c>
      <c r="E104" s="28">
        <v>44180</v>
      </c>
      <c r="F104" s="27" t="s">
        <v>12</v>
      </c>
      <c r="G104" s="35">
        <v>112110</v>
      </c>
      <c r="H104" s="27" t="s">
        <v>207</v>
      </c>
      <c r="I104" s="27">
        <f t="shared" si="3"/>
        <v>2020</v>
      </c>
      <c r="J104" s="27">
        <f ca="1">YEAR(TODAY())-YEAR(Table_Final_Staff[[#This Row],[Date Joined]])</f>
        <v>3</v>
      </c>
      <c r="K104" s="35">
        <f ca="1">IF(Table_Final_Staff[[#This Row],[Tenure (Years)]]&gt;2,Table_Final_Staff[[#This Row],[Salary]]*1.1,Table_Final_Staff[[#This Row],[Salary]]*1.05)</f>
        <v>123321.00000000001</v>
      </c>
    </row>
    <row r="105" spans="1:11" x14ac:dyDescent="0.3">
      <c r="A105" s="27" t="s">
        <v>76</v>
      </c>
      <c r="B105" s="27" t="s">
        <v>15</v>
      </c>
      <c r="C105" s="12">
        <v>25</v>
      </c>
      <c r="D105" s="27" t="s">
        <v>16</v>
      </c>
      <c r="E105" s="28">
        <v>44383</v>
      </c>
      <c r="F105" s="27" t="s">
        <v>19</v>
      </c>
      <c r="G105" s="35">
        <v>65700</v>
      </c>
      <c r="H105" s="27" t="s">
        <v>207</v>
      </c>
      <c r="I105" s="27">
        <f t="shared" si="3"/>
        <v>2021</v>
      </c>
      <c r="J105" s="27">
        <f ca="1">YEAR(TODAY())-YEAR(Table_Final_Staff[[#This Row],[Date Joined]])</f>
        <v>2</v>
      </c>
      <c r="K105" s="35">
        <f ca="1">IF(Table_Final_Staff[[#This Row],[Tenure (Years)]]&gt;2,Table_Final_Staff[[#This Row],[Salary]]*1.1,Table_Final_Staff[[#This Row],[Salary]]*1.05)</f>
        <v>68985</v>
      </c>
    </row>
    <row r="106" spans="1:11" x14ac:dyDescent="0.3">
      <c r="A106" s="27" t="s">
        <v>97</v>
      </c>
      <c r="B106" s="27" t="s">
        <v>15</v>
      </c>
      <c r="C106" s="12">
        <v>37</v>
      </c>
      <c r="D106" s="27" t="s">
        <v>16</v>
      </c>
      <c r="E106" s="28">
        <v>44701</v>
      </c>
      <c r="F106" s="27" t="s">
        <v>12</v>
      </c>
      <c r="G106" s="35">
        <v>69070</v>
      </c>
      <c r="H106" s="27" t="s">
        <v>207</v>
      </c>
      <c r="I106" s="27">
        <f t="shared" si="3"/>
        <v>2022</v>
      </c>
      <c r="J106" s="27">
        <f ca="1">YEAR(TODAY())-YEAR(Table_Final_Staff[[#This Row],[Date Joined]])</f>
        <v>1</v>
      </c>
      <c r="K106" s="35">
        <f ca="1">IF(Table_Final_Staff[[#This Row],[Tenure (Years)]]&gt;2,Table_Final_Staff[[#This Row],[Salary]]*1.1,Table_Final_Staff[[#This Row],[Salary]]*1.05)</f>
        <v>72523.5</v>
      </c>
    </row>
    <row r="107" spans="1:11" x14ac:dyDescent="0.3">
      <c r="A107" s="27" t="s">
        <v>22</v>
      </c>
      <c r="B107" s="27" t="s">
        <v>15</v>
      </c>
      <c r="C107" s="12">
        <v>20</v>
      </c>
      <c r="D107" s="27" t="s">
        <v>16</v>
      </c>
      <c r="E107" s="28">
        <v>44459</v>
      </c>
      <c r="F107" s="27" t="s">
        <v>12</v>
      </c>
      <c r="G107" s="35">
        <v>107700</v>
      </c>
      <c r="H107" s="27" t="s">
        <v>207</v>
      </c>
      <c r="I107" s="27">
        <f t="shared" si="3"/>
        <v>2021</v>
      </c>
      <c r="J107" s="27">
        <f ca="1">YEAR(TODAY())-YEAR(Table_Final_Staff[[#This Row],[Date Joined]])</f>
        <v>2</v>
      </c>
      <c r="K107" s="35">
        <f ca="1">IF(Table_Final_Staff[[#This Row],[Tenure (Years)]]&gt;2,Table_Final_Staff[[#This Row],[Salary]]*1.1,Table_Final_Staff[[#This Row],[Salary]]*1.05)</f>
        <v>113085</v>
      </c>
    </row>
    <row r="108" spans="1:11" x14ac:dyDescent="0.3">
      <c r="A108" s="27" t="s">
        <v>84</v>
      </c>
      <c r="B108" s="27" t="s">
        <v>8</v>
      </c>
      <c r="C108" s="12">
        <v>32</v>
      </c>
      <c r="D108" s="27" t="s">
        <v>13</v>
      </c>
      <c r="E108" s="28">
        <v>44354</v>
      </c>
      <c r="F108" s="27" t="s">
        <v>12</v>
      </c>
      <c r="G108" s="35">
        <v>43840</v>
      </c>
      <c r="H108" s="27" t="s">
        <v>207</v>
      </c>
      <c r="I108" s="27">
        <f t="shared" si="3"/>
        <v>2021</v>
      </c>
      <c r="J108" s="27">
        <f ca="1">YEAR(TODAY())-YEAR(Table_Final_Staff[[#This Row],[Date Joined]])</f>
        <v>2</v>
      </c>
      <c r="K108" s="35">
        <f ca="1">IF(Table_Final_Staff[[#This Row],[Tenure (Years)]]&gt;2,Table_Final_Staff[[#This Row],[Salary]]*1.1,Table_Final_Staff[[#This Row],[Salary]]*1.05)</f>
        <v>46032</v>
      </c>
    </row>
    <row r="109" spans="1:11" x14ac:dyDescent="0.3">
      <c r="A109" s="27" t="s">
        <v>105</v>
      </c>
      <c r="B109" s="27" t="s">
        <v>15</v>
      </c>
      <c r="C109" s="12">
        <v>40</v>
      </c>
      <c r="D109" s="27" t="s">
        <v>16</v>
      </c>
      <c r="E109" s="28">
        <v>44263</v>
      </c>
      <c r="F109" s="27" t="s">
        <v>9</v>
      </c>
      <c r="G109" s="35">
        <v>99750</v>
      </c>
      <c r="H109" s="27" t="s">
        <v>207</v>
      </c>
      <c r="I109" s="27">
        <f t="shared" si="3"/>
        <v>2021</v>
      </c>
      <c r="J109" s="27">
        <f ca="1">YEAR(TODAY())-YEAR(Table_Final_Staff[[#This Row],[Date Joined]])</f>
        <v>2</v>
      </c>
      <c r="K109" s="35">
        <f ca="1">IF(Table_Final_Staff[[#This Row],[Tenure (Years)]]&gt;2,Table_Final_Staff[[#This Row],[Salary]]*1.1,Table_Final_Staff[[#This Row],[Salary]]*1.05)</f>
        <v>104737.5</v>
      </c>
    </row>
    <row r="110" spans="1:11" x14ac:dyDescent="0.3">
      <c r="A110" s="27" t="s">
        <v>47</v>
      </c>
      <c r="B110" s="27" t="s">
        <v>15</v>
      </c>
      <c r="C110" s="12">
        <v>21</v>
      </c>
      <c r="D110" s="27" t="s">
        <v>16</v>
      </c>
      <c r="E110" s="28">
        <v>44104</v>
      </c>
      <c r="F110" s="27" t="s">
        <v>9</v>
      </c>
      <c r="G110" s="35">
        <v>37920</v>
      </c>
      <c r="H110" s="27" t="s">
        <v>207</v>
      </c>
      <c r="I110" s="27">
        <f t="shared" si="3"/>
        <v>2020</v>
      </c>
      <c r="J110" s="27">
        <f ca="1">YEAR(TODAY())-YEAR(Table_Final_Staff[[#This Row],[Date Joined]])</f>
        <v>3</v>
      </c>
      <c r="K110" s="35">
        <f ca="1">IF(Table_Final_Staff[[#This Row],[Tenure (Years)]]&gt;2,Table_Final_Staff[[#This Row],[Salary]]*1.1,Table_Final_Staff[[#This Row],[Salary]]*1.05)</f>
        <v>41712</v>
      </c>
    </row>
    <row r="111" spans="1:11" x14ac:dyDescent="0.3">
      <c r="A111" s="27" t="s">
        <v>31</v>
      </c>
      <c r="B111" s="27" t="s">
        <v>15</v>
      </c>
      <c r="C111" s="12">
        <v>21</v>
      </c>
      <c r="D111" s="27" t="s">
        <v>16</v>
      </c>
      <c r="E111" s="28">
        <v>44762</v>
      </c>
      <c r="F111" s="27" t="s">
        <v>9</v>
      </c>
      <c r="G111" s="35">
        <v>57090</v>
      </c>
      <c r="H111" s="27" t="s">
        <v>207</v>
      </c>
      <c r="I111" s="27">
        <f t="shared" si="3"/>
        <v>2022</v>
      </c>
      <c r="J111" s="27">
        <f ca="1">YEAR(TODAY())-YEAR(Table_Final_Staff[[#This Row],[Date Joined]])</f>
        <v>1</v>
      </c>
      <c r="K111" s="35">
        <f ca="1">IF(Table_Final_Staff[[#This Row],[Tenure (Years)]]&gt;2,Table_Final_Staff[[#This Row],[Salary]]*1.1,Table_Final_Staff[[#This Row],[Salary]]*1.05)</f>
        <v>59944.5</v>
      </c>
    </row>
    <row r="112" spans="1:11" x14ac:dyDescent="0.3">
      <c r="A112" s="27" t="s">
        <v>30</v>
      </c>
      <c r="B112" s="27" t="s">
        <v>8</v>
      </c>
      <c r="C112" s="12">
        <v>31</v>
      </c>
      <c r="D112" s="27" t="s">
        <v>16</v>
      </c>
      <c r="E112" s="28">
        <v>44145</v>
      </c>
      <c r="F112" s="27" t="s">
        <v>12</v>
      </c>
      <c r="G112" s="35">
        <v>41980</v>
      </c>
      <c r="H112" s="27" t="s">
        <v>207</v>
      </c>
      <c r="I112" s="27">
        <f t="shared" si="3"/>
        <v>2020</v>
      </c>
      <c r="J112" s="27">
        <f ca="1">YEAR(TODAY())-YEAR(Table_Final_Staff[[#This Row],[Date Joined]])</f>
        <v>3</v>
      </c>
      <c r="K112" s="35">
        <f ca="1">IF(Table_Final_Staff[[#This Row],[Tenure (Years)]]&gt;2,Table_Final_Staff[[#This Row],[Salary]]*1.1,Table_Final_Staff[[#This Row],[Salary]]*1.05)</f>
        <v>46178.000000000007</v>
      </c>
    </row>
    <row r="113" spans="1:11" x14ac:dyDescent="0.3">
      <c r="A113" s="27" t="s">
        <v>78</v>
      </c>
      <c r="B113" s="27" t="s">
        <v>15</v>
      </c>
      <c r="C113" s="12">
        <v>21</v>
      </c>
      <c r="D113" s="27" t="s">
        <v>16</v>
      </c>
      <c r="E113" s="28">
        <v>44242</v>
      </c>
      <c r="F113" s="27" t="s">
        <v>56</v>
      </c>
      <c r="G113" s="35">
        <v>75880</v>
      </c>
      <c r="H113" s="27" t="s">
        <v>207</v>
      </c>
      <c r="I113" s="27">
        <f t="shared" si="3"/>
        <v>2021</v>
      </c>
      <c r="J113" s="27">
        <f ca="1">YEAR(TODAY())-YEAR(Table_Final_Staff[[#This Row],[Date Joined]])</f>
        <v>2</v>
      </c>
      <c r="K113" s="35">
        <f ca="1">IF(Table_Final_Staff[[#This Row],[Tenure (Years)]]&gt;2,Table_Final_Staff[[#This Row],[Salary]]*1.1,Table_Final_Staff[[#This Row],[Salary]]*1.05)</f>
        <v>79674</v>
      </c>
    </row>
    <row r="114" spans="1:11" x14ac:dyDescent="0.3">
      <c r="A114" s="27" t="s">
        <v>36</v>
      </c>
      <c r="B114" s="27" t="s">
        <v>8</v>
      </c>
      <c r="C114" s="12">
        <v>34</v>
      </c>
      <c r="D114" s="27" t="s">
        <v>16</v>
      </c>
      <c r="E114" s="28">
        <v>44653</v>
      </c>
      <c r="F114" s="27" t="s">
        <v>21</v>
      </c>
      <c r="G114" s="35">
        <v>58940</v>
      </c>
      <c r="H114" s="27" t="s">
        <v>207</v>
      </c>
      <c r="I114" s="27">
        <f t="shared" si="3"/>
        <v>2022</v>
      </c>
      <c r="J114" s="27">
        <f ca="1">YEAR(TODAY())-YEAR(Table_Final_Staff[[#This Row],[Date Joined]])</f>
        <v>1</v>
      </c>
      <c r="K114" s="35">
        <f ca="1">IF(Table_Final_Staff[[#This Row],[Tenure (Years)]]&gt;2,Table_Final_Staff[[#This Row],[Salary]]*1.1,Table_Final_Staff[[#This Row],[Salary]]*1.05)</f>
        <v>61887</v>
      </c>
    </row>
    <row r="115" spans="1:11" x14ac:dyDescent="0.3">
      <c r="A115" s="27" t="s">
        <v>27</v>
      </c>
      <c r="B115" s="27" t="s">
        <v>8</v>
      </c>
      <c r="C115" s="12">
        <v>30</v>
      </c>
      <c r="D115" s="27" t="s">
        <v>24</v>
      </c>
      <c r="E115" s="28">
        <v>44389</v>
      </c>
      <c r="F115" s="27" t="s">
        <v>21</v>
      </c>
      <c r="G115" s="35">
        <v>67910</v>
      </c>
      <c r="H115" s="27" t="s">
        <v>207</v>
      </c>
      <c r="I115" s="27">
        <f t="shared" si="3"/>
        <v>2021</v>
      </c>
      <c r="J115" s="27">
        <f ca="1">YEAR(TODAY())-YEAR(Table_Final_Staff[[#This Row],[Date Joined]])</f>
        <v>2</v>
      </c>
      <c r="K115" s="35">
        <f ca="1">IF(Table_Final_Staff[[#This Row],[Tenure (Years)]]&gt;2,Table_Final_Staff[[#This Row],[Salary]]*1.1,Table_Final_Staff[[#This Row],[Salary]]*1.05)</f>
        <v>71305.5</v>
      </c>
    </row>
    <row r="116" spans="1:11" x14ac:dyDescent="0.3">
      <c r="A116" s="27" t="s">
        <v>26</v>
      </c>
      <c r="B116" s="27" t="s">
        <v>8</v>
      </c>
      <c r="C116" s="12">
        <v>31</v>
      </c>
      <c r="D116" s="27" t="s">
        <v>16</v>
      </c>
      <c r="E116" s="28">
        <v>44663</v>
      </c>
      <c r="F116" s="27" t="s">
        <v>12</v>
      </c>
      <c r="G116" s="35">
        <v>58100</v>
      </c>
      <c r="H116" s="27" t="s">
        <v>207</v>
      </c>
      <c r="I116" s="27">
        <f t="shared" si="3"/>
        <v>2022</v>
      </c>
      <c r="J116" s="27">
        <f ca="1">YEAR(TODAY())-YEAR(Table_Final_Staff[[#This Row],[Date Joined]])</f>
        <v>1</v>
      </c>
      <c r="K116" s="35">
        <f ca="1">IF(Table_Final_Staff[[#This Row],[Tenure (Years)]]&gt;2,Table_Final_Staff[[#This Row],[Salary]]*1.1,Table_Final_Staff[[#This Row],[Salary]]*1.05)</f>
        <v>61005</v>
      </c>
    </row>
    <row r="117" spans="1:11" x14ac:dyDescent="0.3">
      <c r="A117" s="27" t="s">
        <v>53</v>
      </c>
      <c r="B117" s="27" t="s">
        <v>15</v>
      </c>
      <c r="C117" s="12">
        <v>27</v>
      </c>
      <c r="D117" s="27" t="s">
        <v>16</v>
      </c>
      <c r="E117" s="28">
        <v>44567</v>
      </c>
      <c r="F117" s="27" t="s">
        <v>21</v>
      </c>
      <c r="G117" s="35">
        <v>48980</v>
      </c>
      <c r="H117" s="27" t="s">
        <v>207</v>
      </c>
      <c r="I117" s="27">
        <f t="shared" si="3"/>
        <v>2022</v>
      </c>
      <c r="J117" s="27">
        <f ca="1">YEAR(TODAY())-YEAR(Table_Final_Staff[[#This Row],[Date Joined]])</f>
        <v>1</v>
      </c>
      <c r="K117" s="35">
        <f ca="1">IF(Table_Final_Staff[[#This Row],[Tenure (Years)]]&gt;2,Table_Final_Staff[[#This Row],[Salary]]*1.1,Table_Final_Staff[[#This Row],[Salary]]*1.05)</f>
        <v>51429</v>
      </c>
    </row>
    <row r="118" spans="1:11" x14ac:dyDescent="0.3">
      <c r="A118" s="27" t="s">
        <v>20</v>
      </c>
      <c r="B118" s="27" t="s">
        <v>206</v>
      </c>
      <c r="C118" s="12">
        <v>30</v>
      </c>
      <c r="D118" s="27" t="s">
        <v>16</v>
      </c>
      <c r="E118" s="28">
        <v>44597</v>
      </c>
      <c r="F118" s="27" t="s">
        <v>21</v>
      </c>
      <c r="G118" s="35">
        <v>64000</v>
      </c>
      <c r="H118" s="27" t="s">
        <v>207</v>
      </c>
      <c r="I118" s="27">
        <f t="shared" si="3"/>
        <v>2022</v>
      </c>
      <c r="J118" s="27">
        <f ca="1">YEAR(TODAY())-YEAR(Table_Final_Staff[[#This Row],[Date Joined]])</f>
        <v>1</v>
      </c>
      <c r="K118" s="35">
        <f ca="1">IF(Table_Final_Staff[[#This Row],[Tenure (Years)]]&gt;2,Table_Final_Staff[[#This Row],[Salary]]*1.1,Table_Final_Staff[[#This Row],[Salary]]*1.05)</f>
        <v>67200</v>
      </c>
    </row>
    <row r="119" spans="1:11" x14ac:dyDescent="0.3">
      <c r="A119" s="27" t="s">
        <v>7</v>
      </c>
      <c r="B119" s="27" t="s">
        <v>8</v>
      </c>
      <c r="C119" s="12">
        <v>42</v>
      </c>
      <c r="D119" s="27" t="s">
        <v>10</v>
      </c>
      <c r="E119" s="28">
        <v>44779</v>
      </c>
      <c r="F119" s="27" t="s">
        <v>9</v>
      </c>
      <c r="G119" s="35">
        <v>75000</v>
      </c>
      <c r="H119" s="27" t="s">
        <v>207</v>
      </c>
      <c r="I119" s="27">
        <f t="shared" si="3"/>
        <v>2022</v>
      </c>
      <c r="J119" s="27">
        <f ca="1">YEAR(TODAY())-YEAR(Table_Final_Staff[[#This Row],[Date Joined]])</f>
        <v>1</v>
      </c>
      <c r="K119" s="35">
        <f ca="1">IF(Table_Final_Staff[[#This Row],[Tenure (Years)]]&gt;2,Table_Final_Staff[[#This Row],[Salary]]*1.1,Table_Final_Staff[[#This Row],[Salary]]*1.05)</f>
        <v>78750</v>
      </c>
    </row>
    <row r="120" spans="1:11" x14ac:dyDescent="0.3">
      <c r="A120" s="27" t="s">
        <v>74</v>
      </c>
      <c r="B120" s="27" t="s">
        <v>8</v>
      </c>
      <c r="C120" s="12">
        <v>40</v>
      </c>
      <c r="D120" s="27" t="s">
        <v>16</v>
      </c>
      <c r="E120" s="28">
        <v>44337</v>
      </c>
      <c r="F120" s="27" t="s">
        <v>12</v>
      </c>
      <c r="G120" s="35">
        <v>87620</v>
      </c>
      <c r="H120" s="27" t="s">
        <v>207</v>
      </c>
      <c r="I120" s="27">
        <f t="shared" si="3"/>
        <v>2021</v>
      </c>
      <c r="J120" s="27">
        <f ca="1">YEAR(TODAY())-YEAR(Table_Final_Staff[[#This Row],[Date Joined]])</f>
        <v>2</v>
      </c>
      <c r="K120" s="35">
        <f ca="1">IF(Table_Final_Staff[[#This Row],[Tenure (Years)]]&gt;2,Table_Final_Staff[[#This Row],[Salary]]*1.1,Table_Final_Staff[[#This Row],[Salary]]*1.05)</f>
        <v>92001</v>
      </c>
    </row>
    <row r="121" spans="1:11" x14ac:dyDescent="0.3">
      <c r="A121" s="27" t="s">
        <v>44</v>
      </c>
      <c r="B121" s="27" t="s">
        <v>8</v>
      </c>
      <c r="C121" s="12">
        <v>29</v>
      </c>
      <c r="D121" s="27" t="s">
        <v>16</v>
      </c>
      <c r="E121" s="28">
        <v>44023</v>
      </c>
      <c r="F121" s="27" t="s">
        <v>12</v>
      </c>
      <c r="G121" s="35">
        <v>34980</v>
      </c>
      <c r="H121" s="27" t="s">
        <v>207</v>
      </c>
      <c r="I121" s="27">
        <f t="shared" si="3"/>
        <v>2020</v>
      </c>
      <c r="J121" s="27">
        <f ca="1">YEAR(TODAY())-YEAR(Table_Final_Staff[[#This Row],[Date Joined]])</f>
        <v>3</v>
      </c>
      <c r="K121" s="35">
        <f ca="1">IF(Table_Final_Staff[[#This Row],[Tenure (Years)]]&gt;2,Table_Final_Staff[[#This Row],[Salary]]*1.1,Table_Final_Staff[[#This Row],[Salary]]*1.05)</f>
        <v>38478</v>
      </c>
    </row>
    <row r="122" spans="1:11" x14ac:dyDescent="0.3">
      <c r="A122" s="27" t="s">
        <v>35</v>
      </c>
      <c r="B122" s="27" t="s">
        <v>8</v>
      </c>
      <c r="C122" s="12">
        <v>28</v>
      </c>
      <c r="D122" s="27" t="s">
        <v>16</v>
      </c>
      <c r="E122" s="28">
        <v>44185</v>
      </c>
      <c r="F122" s="27" t="s">
        <v>21</v>
      </c>
      <c r="G122" s="35">
        <v>75970</v>
      </c>
      <c r="H122" s="27" t="s">
        <v>207</v>
      </c>
      <c r="I122" s="27">
        <f t="shared" si="3"/>
        <v>2020</v>
      </c>
      <c r="J122" s="27">
        <f ca="1">YEAR(TODAY())-YEAR(Table_Final_Staff[[#This Row],[Date Joined]])</f>
        <v>3</v>
      </c>
      <c r="K122" s="35">
        <f ca="1">IF(Table_Final_Staff[[#This Row],[Tenure (Years)]]&gt;2,Table_Final_Staff[[#This Row],[Salary]]*1.1,Table_Final_Staff[[#This Row],[Salary]]*1.05)</f>
        <v>83567</v>
      </c>
    </row>
    <row r="123" spans="1:11" x14ac:dyDescent="0.3">
      <c r="A123" s="27" t="s">
        <v>38</v>
      </c>
      <c r="B123" s="27" t="s">
        <v>8</v>
      </c>
      <c r="C123" s="12">
        <v>34</v>
      </c>
      <c r="D123" s="27" t="s">
        <v>16</v>
      </c>
      <c r="E123" s="28">
        <v>44612</v>
      </c>
      <c r="F123" s="27" t="s">
        <v>21</v>
      </c>
      <c r="G123" s="35">
        <v>60130</v>
      </c>
      <c r="H123" s="27" t="s">
        <v>207</v>
      </c>
      <c r="I123" s="27">
        <f t="shared" si="3"/>
        <v>2022</v>
      </c>
      <c r="J123" s="27">
        <f ca="1">YEAR(TODAY())-YEAR(Table_Final_Staff[[#This Row],[Date Joined]])</f>
        <v>1</v>
      </c>
      <c r="K123" s="35">
        <f ca="1">IF(Table_Final_Staff[[#This Row],[Tenure (Years)]]&gt;2,Table_Final_Staff[[#This Row],[Salary]]*1.1,Table_Final_Staff[[#This Row],[Salary]]*1.05)</f>
        <v>63136.5</v>
      </c>
    </row>
    <row r="124" spans="1:11" x14ac:dyDescent="0.3">
      <c r="A124" s="27" t="s">
        <v>41</v>
      </c>
      <c r="B124" s="27" t="s">
        <v>8</v>
      </c>
      <c r="C124" s="12">
        <v>33</v>
      </c>
      <c r="D124" s="27" t="s">
        <v>42</v>
      </c>
      <c r="E124" s="28">
        <v>44374</v>
      </c>
      <c r="F124" s="27" t="s">
        <v>12</v>
      </c>
      <c r="G124" s="35">
        <v>75480</v>
      </c>
      <c r="H124" s="27" t="s">
        <v>207</v>
      </c>
      <c r="I124" s="27">
        <f t="shared" si="3"/>
        <v>2021</v>
      </c>
      <c r="J124" s="27">
        <f ca="1">YEAR(TODAY())-YEAR(Table_Final_Staff[[#This Row],[Date Joined]])</f>
        <v>2</v>
      </c>
      <c r="K124" s="35">
        <f ca="1">IF(Table_Final_Staff[[#This Row],[Tenure (Years)]]&gt;2,Table_Final_Staff[[#This Row],[Salary]]*1.1,Table_Final_Staff[[#This Row],[Salary]]*1.05)</f>
        <v>79254</v>
      </c>
    </row>
    <row r="125" spans="1:11" x14ac:dyDescent="0.3">
      <c r="A125" s="27" t="s">
        <v>40</v>
      </c>
      <c r="B125" s="27" t="s">
        <v>15</v>
      </c>
      <c r="C125" s="12">
        <v>33</v>
      </c>
      <c r="D125" s="27" t="s">
        <v>16</v>
      </c>
      <c r="E125" s="28">
        <v>44164</v>
      </c>
      <c r="F125" s="27" t="s">
        <v>9</v>
      </c>
      <c r="G125" s="35">
        <v>115920</v>
      </c>
      <c r="H125" s="27" t="s">
        <v>207</v>
      </c>
      <c r="I125" s="27">
        <f t="shared" si="3"/>
        <v>2020</v>
      </c>
      <c r="J125" s="27">
        <f ca="1">YEAR(TODAY())-YEAR(Table_Final_Staff[[#This Row],[Date Joined]])</f>
        <v>3</v>
      </c>
      <c r="K125" s="35">
        <f ca="1">IF(Table_Final_Staff[[#This Row],[Tenure (Years)]]&gt;2,Table_Final_Staff[[#This Row],[Salary]]*1.1,Table_Final_Staff[[#This Row],[Salary]]*1.05)</f>
        <v>127512.00000000001</v>
      </c>
    </row>
    <row r="126" spans="1:11" x14ac:dyDescent="0.3">
      <c r="A126" s="27" t="s">
        <v>48</v>
      </c>
      <c r="B126" s="27" t="s">
        <v>8</v>
      </c>
      <c r="C126" s="12">
        <v>36</v>
      </c>
      <c r="D126" s="27" t="s">
        <v>16</v>
      </c>
      <c r="E126" s="28">
        <v>44494</v>
      </c>
      <c r="F126" s="27" t="s">
        <v>19</v>
      </c>
      <c r="G126" s="35">
        <v>78540</v>
      </c>
      <c r="H126" s="27" t="s">
        <v>207</v>
      </c>
      <c r="I126" s="27">
        <f t="shared" si="3"/>
        <v>2021</v>
      </c>
      <c r="J126" s="27">
        <f ca="1">YEAR(TODAY())-YEAR(Table_Final_Staff[[#This Row],[Date Joined]])</f>
        <v>2</v>
      </c>
      <c r="K126" s="35">
        <f ca="1">IF(Table_Final_Staff[[#This Row],[Tenure (Years)]]&gt;2,Table_Final_Staff[[#This Row],[Salary]]*1.1,Table_Final_Staff[[#This Row],[Salary]]*1.05)</f>
        <v>82467</v>
      </c>
    </row>
    <row r="127" spans="1:11" x14ac:dyDescent="0.3">
      <c r="A127" s="27" t="s">
        <v>34</v>
      </c>
      <c r="B127" s="27" t="s">
        <v>15</v>
      </c>
      <c r="C127" s="12">
        <v>25</v>
      </c>
      <c r="D127" s="27" t="s">
        <v>13</v>
      </c>
      <c r="E127" s="28">
        <v>44726</v>
      </c>
      <c r="F127" s="27" t="s">
        <v>9</v>
      </c>
      <c r="G127" s="35">
        <v>109190</v>
      </c>
      <c r="H127" s="27" t="s">
        <v>207</v>
      </c>
      <c r="I127" s="27">
        <f t="shared" si="3"/>
        <v>2022</v>
      </c>
      <c r="J127" s="27">
        <f ca="1">YEAR(TODAY())-YEAR(Table_Final_Staff[[#This Row],[Date Joined]])</f>
        <v>1</v>
      </c>
      <c r="K127" s="35">
        <f ca="1">IF(Table_Final_Staff[[#This Row],[Tenure (Years)]]&gt;2,Table_Final_Staff[[#This Row],[Salary]]*1.1,Table_Final_Staff[[#This Row],[Salary]]*1.05)</f>
        <v>114649.5</v>
      </c>
    </row>
    <row r="128" spans="1:11" x14ac:dyDescent="0.3">
      <c r="A128" s="27" t="s">
        <v>73</v>
      </c>
      <c r="B128" s="27" t="s">
        <v>8</v>
      </c>
      <c r="C128" s="12">
        <v>34</v>
      </c>
      <c r="D128" s="27" t="s">
        <v>24</v>
      </c>
      <c r="E128" s="28">
        <v>44721</v>
      </c>
      <c r="F128" s="27" t="s">
        <v>19</v>
      </c>
      <c r="G128" s="35">
        <v>49630</v>
      </c>
      <c r="H128" s="27" t="s">
        <v>207</v>
      </c>
      <c r="I128" s="27">
        <f t="shared" si="3"/>
        <v>2022</v>
      </c>
      <c r="J128" s="27">
        <f ca="1">YEAR(TODAY())-YEAR(Table_Final_Staff[[#This Row],[Date Joined]])</f>
        <v>1</v>
      </c>
      <c r="K128" s="35">
        <f ca="1">IF(Table_Final_Staff[[#This Row],[Tenure (Years)]]&gt;2,Table_Final_Staff[[#This Row],[Salary]]*1.1,Table_Final_Staff[[#This Row],[Salary]]*1.05)</f>
        <v>52111.5</v>
      </c>
    </row>
    <row r="129" spans="1:11" x14ac:dyDescent="0.3">
      <c r="A129" s="27" t="s">
        <v>107</v>
      </c>
      <c r="B129" s="27" t="s">
        <v>8</v>
      </c>
      <c r="C129" s="12">
        <v>28</v>
      </c>
      <c r="D129" s="27" t="s">
        <v>16</v>
      </c>
      <c r="E129" s="28">
        <v>44630</v>
      </c>
      <c r="F129" s="27" t="s">
        <v>9</v>
      </c>
      <c r="G129" s="35">
        <v>99970</v>
      </c>
      <c r="H129" s="27" t="s">
        <v>207</v>
      </c>
      <c r="I129" s="27">
        <f t="shared" si="3"/>
        <v>2022</v>
      </c>
      <c r="J129" s="27">
        <f ca="1">YEAR(TODAY())-YEAR(Table_Final_Staff[[#This Row],[Date Joined]])</f>
        <v>1</v>
      </c>
      <c r="K129" s="35">
        <f ca="1">IF(Table_Final_Staff[[#This Row],[Tenure (Years)]]&gt;2,Table_Final_Staff[[#This Row],[Salary]]*1.1,Table_Final_Staff[[#This Row],[Salary]]*1.05)</f>
        <v>104968.5</v>
      </c>
    </row>
    <row r="130" spans="1:11" x14ac:dyDescent="0.3">
      <c r="A130" s="27" t="s">
        <v>71</v>
      </c>
      <c r="B130" s="27" t="s">
        <v>8</v>
      </c>
      <c r="C130" s="12">
        <v>33</v>
      </c>
      <c r="D130" s="27" t="s">
        <v>16</v>
      </c>
      <c r="E130" s="28">
        <v>44190</v>
      </c>
      <c r="F130" s="27" t="s">
        <v>12</v>
      </c>
      <c r="G130" s="35">
        <v>96140</v>
      </c>
      <c r="H130" s="27" t="s">
        <v>207</v>
      </c>
      <c r="I130" s="27">
        <f t="shared" ref="I130:I161" si="4">YEAR(E130)</f>
        <v>2020</v>
      </c>
      <c r="J130" s="27">
        <f ca="1">YEAR(TODAY())-YEAR(Table_Final_Staff[[#This Row],[Date Joined]])</f>
        <v>3</v>
      </c>
      <c r="K130" s="35">
        <f ca="1">IF(Table_Final_Staff[[#This Row],[Tenure (Years)]]&gt;2,Table_Final_Staff[[#This Row],[Salary]]*1.1,Table_Final_Staff[[#This Row],[Salary]]*1.05)</f>
        <v>105754.00000000001</v>
      </c>
    </row>
    <row r="131" spans="1:11" x14ac:dyDescent="0.3">
      <c r="A131" s="27" t="s">
        <v>50</v>
      </c>
      <c r="B131" s="27" t="s">
        <v>15</v>
      </c>
      <c r="C131" s="12">
        <v>31</v>
      </c>
      <c r="D131" s="27" t="s">
        <v>16</v>
      </c>
      <c r="E131" s="28">
        <v>44724</v>
      </c>
      <c r="F131" s="27" t="s">
        <v>9</v>
      </c>
      <c r="G131" s="35">
        <v>103550</v>
      </c>
      <c r="H131" s="27" t="s">
        <v>207</v>
      </c>
      <c r="I131" s="27">
        <f t="shared" si="4"/>
        <v>2022</v>
      </c>
      <c r="J131" s="27">
        <f ca="1">YEAR(TODAY())-YEAR(Table_Final_Staff[[#This Row],[Date Joined]])</f>
        <v>1</v>
      </c>
      <c r="K131" s="35">
        <f ca="1">IF(Table_Final_Staff[[#This Row],[Tenure (Years)]]&gt;2,Table_Final_Staff[[#This Row],[Salary]]*1.1,Table_Final_Staff[[#This Row],[Salary]]*1.05)</f>
        <v>108727.5</v>
      </c>
    </row>
    <row r="132" spans="1:11" x14ac:dyDescent="0.3">
      <c r="A132" s="27" t="s">
        <v>14</v>
      </c>
      <c r="B132" s="27" t="s">
        <v>15</v>
      </c>
      <c r="C132" s="12">
        <v>31</v>
      </c>
      <c r="D132" s="27" t="s">
        <v>16</v>
      </c>
      <c r="E132" s="28">
        <v>44511</v>
      </c>
      <c r="F132" s="27" t="s">
        <v>12</v>
      </c>
      <c r="G132" s="35">
        <v>48950</v>
      </c>
      <c r="H132" s="27" t="s">
        <v>207</v>
      </c>
      <c r="I132" s="27">
        <f t="shared" si="4"/>
        <v>2021</v>
      </c>
      <c r="J132" s="27">
        <f ca="1">YEAR(TODAY())-YEAR(Table_Final_Staff[[#This Row],[Date Joined]])</f>
        <v>2</v>
      </c>
      <c r="K132" s="35">
        <f ca="1">IF(Table_Final_Staff[[#This Row],[Tenure (Years)]]&gt;2,Table_Final_Staff[[#This Row],[Salary]]*1.1,Table_Final_Staff[[#This Row],[Salary]]*1.05)</f>
        <v>51397.5</v>
      </c>
    </row>
    <row r="133" spans="1:11" x14ac:dyDescent="0.3">
      <c r="A133" s="27" t="s">
        <v>63</v>
      </c>
      <c r="B133" s="27" t="s">
        <v>15</v>
      </c>
      <c r="C133" s="12">
        <v>24</v>
      </c>
      <c r="D133" s="27" t="s">
        <v>24</v>
      </c>
      <c r="E133" s="28">
        <v>44436</v>
      </c>
      <c r="F133" s="27" t="s">
        <v>21</v>
      </c>
      <c r="G133" s="35">
        <v>52610</v>
      </c>
      <c r="H133" s="27" t="s">
        <v>207</v>
      </c>
      <c r="I133" s="27">
        <f t="shared" si="4"/>
        <v>2021</v>
      </c>
      <c r="J133" s="27">
        <f ca="1">YEAR(TODAY())-YEAR(Table_Final_Staff[[#This Row],[Date Joined]])</f>
        <v>2</v>
      </c>
      <c r="K133" s="35">
        <f ca="1">IF(Table_Final_Staff[[#This Row],[Tenure (Years)]]&gt;2,Table_Final_Staff[[#This Row],[Salary]]*1.1,Table_Final_Staff[[#This Row],[Salary]]*1.05)</f>
        <v>55240.5</v>
      </c>
    </row>
    <row r="134" spans="1:11" x14ac:dyDescent="0.3">
      <c r="A134" s="27" t="s">
        <v>72</v>
      </c>
      <c r="B134" s="27" t="s">
        <v>8</v>
      </c>
      <c r="C134" s="12">
        <v>36</v>
      </c>
      <c r="D134" s="27" t="s">
        <v>16</v>
      </c>
      <c r="E134" s="28">
        <v>44529</v>
      </c>
      <c r="F134" s="27" t="s">
        <v>9</v>
      </c>
      <c r="G134" s="35">
        <v>78390</v>
      </c>
      <c r="H134" s="27" t="s">
        <v>207</v>
      </c>
      <c r="I134" s="27">
        <f t="shared" si="4"/>
        <v>2021</v>
      </c>
      <c r="J134" s="27">
        <f ca="1">YEAR(TODAY())-YEAR(Table_Final_Staff[[#This Row],[Date Joined]])</f>
        <v>2</v>
      </c>
      <c r="K134" s="35">
        <f ca="1">IF(Table_Final_Staff[[#This Row],[Tenure (Years)]]&gt;2,Table_Final_Staff[[#This Row],[Salary]]*1.1,Table_Final_Staff[[#This Row],[Salary]]*1.05)</f>
        <v>82309.5</v>
      </c>
    </row>
    <row r="135" spans="1:11" x14ac:dyDescent="0.3">
      <c r="A135" s="27" t="s">
        <v>88</v>
      </c>
      <c r="B135" s="27" t="s">
        <v>8</v>
      </c>
      <c r="C135" s="12">
        <v>33</v>
      </c>
      <c r="D135" s="27" t="s">
        <v>16</v>
      </c>
      <c r="E135" s="28">
        <v>44809</v>
      </c>
      <c r="F135" s="27" t="s">
        <v>21</v>
      </c>
      <c r="G135" s="35">
        <v>86570</v>
      </c>
      <c r="H135" s="27" t="s">
        <v>207</v>
      </c>
      <c r="I135" s="27">
        <f t="shared" si="4"/>
        <v>2022</v>
      </c>
      <c r="J135" s="27">
        <f ca="1">YEAR(TODAY())-YEAR(Table_Final_Staff[[#This Row],[Date Joined]])</f>
        <v>1</v>
      </c>
      <c r="K135" s="35">
        <f ca="1">IF(Table_Final_Staff[[#This Row],[Tenure (Years)]]&gt;2,Table_Final_Staff[[#This Row],[Salary]]*1.1,Table_Final_Staff[[#This Row],[Salary]]*1.05)</f>
        <v>90898.5</v>
      </c>
    </row>
    <row r="136" spans="1:11" x14ac:dyDescent="0.3">
      <c r="A136" s="27" t="s">
        <v>92</v>
      </c>
      <c r="B136" s="27" t="s">
        <v>8</v>
      </c>
      <c r="C136" s="12">
        <v>27</v>
      </c>
      <c r="D136" s="27" t="s">
        <v>16</v>
      </c>
      <c r="E136" s="28">
        <v>44686</v>
      </c>
      <c r="F136" s="27" t="s">
        <v>12</v>
      </c>
      <c r="G136" s="35">
        <v>83750</v>
      </c>
      <c r="H136" s="27" t="s">
        <v>207</v>
      </c>
      <c r="I136" s="27">
        <f t="shared" si="4"/>
        <v>2022</v>
      </c>
      <c r="J136" s="27">
        <f ca="1">YEAR(TODAY())-YEAR(Table_Final_Staff[[#This Row],[Date Joined]])</f>
        <v>1</v>
      </c>
      <c r="K136" s="35">
        <f ca="1">IF(Table_Final_Staff[[#This Row],[Tenure (Years)]]&gt;2,Table_Final_Staff[[#This Row],[Salary]]*1.1,Table_Final_Staff[[#This Row],[Salary]]*1.05)</f>
        <v>87937.5</v>
      </c>
    </row>
    <row r="137" spans="1:11" x14ac:dyDescent="0.3">
      <c r="A137" s="27" t="s">
        <v>102</v>
      </c>
      <c r="B137" s="27" t="s">
        <v>8</v>
      </c>
      <c r="C137" s="12">
        <v>34</v>
      </c>
      <c r="D137" s="27" t="s">
        <v>16</v>
      </c>
      <c r="E137" s="28">
        <v>44445</v>
      </c>
      <c r="F137" s="27" t="s">
        <v>21</v>
      </c>
      <c r="G137" s="35">
        <v>92450</v>
      </c>
      <c r="H137" s="27" t="s">
        <v>207</v>
      </c>
      <c r="I137" s="27">
        <f t="shared" si="4"/>
        <v>2021</v>
      </c>
      <c r="J137" s="27">
        <f ca="1">YEAR(TODAY())-YEAR(Table_Final_Staff[[#This Row],[Date Joined]])</f>
        <v>2</v>
      </c>
      <c r="K137" s="35">
        <f ca="1">IF(Table_Final_Staff[[#This Row],[Tenure (Years)]]&gt;2,Table_Final_Staff[[#This Row],[Salary]]*1.1,Table_Final_Staff[[#This Row],[Salary]]*1.05)</f>
        <v>97072.5</v>
      </c>
    </row>
    <row r="138" spans="1:11" x14ac:dyDescent="0.3">
      <c r="A138" s="27" t="s">
        <v>64</v>
      </c>
      <c r="B138" s="27" t="s">
        <v>15</v>
      </c>
      <c r="C138" s="12">
        <v>20</v>
      </c>
      <c r="D138" s="27" t="s">
        <v>16</v>
      </c>
      <c r="E138" s="28">
        <v>44183</v>
      </c>
      <c r="F138" s="27" t="s">
        <v>12</v>
      </c>
      <c r="G138" s="35">
        <v>112650</v>
      </c>
      <c r="H138" s="27" t="s">
        <v>207</v>
      </c>
      <c r="I138" s="27">
        <f t="shared" si="4"/>
        <v>2020</v>
      </c>
      <c r="J138" s="27">
        <f ca="1">YEAR(TODAY())-YEAR(Table_Final_Staff[[#This Row],[Date Joined]])</f>
        <v>3</v>
      </c>
      <c r="K138" s="35">
        <f ca="1">IF(Table_Final_Staff[[#This Row],[Tenure (Years)]]&gt;2,Table_Final_Staff[[#This Row],[Salary]]*1.1,Table_Final_Staff[[#This Row],[Salary]]*1.05)</f>
        <v>123915.00000000001</v>
      </c>
    </row>
    <row r="139" spans="1:11" x14ac:dyDescent="0.3">
      <c r="A139" s="27" t="s">
        <v>104</v>
      </c>
      <c r="B139" s="27" t="s">
        <v>15</v>
      </c>
      <c r="C139" s="12">
        <v>20</v>
      </c>
      <c r="D139" s="27" t="s">
        <v>16</v>
      </c>
      <c r="E139" s="28">
        <v>44744</v>
      </c>
      <c r="F139" s="27" t="s">
        <v>9</v>
      </c>
      <c r="G139" s="35">
        <v>79570</v>
      </c>
      <c r="H139" s="27" t="s">
        <v>207</v>
      </c>
      <c r="I139" s="27">
        <f t="shared" si="4"/>
        <v>2022</v>
      </c>
      <c r="J139" s="27">
        <f ca="1">YEAR(TODAY())-YEAR(Table_Final_Staff[[#This Row],[Date Joined]])</f>
        <v>1</v>
      </c>
      <c r="K139" s="35">
        <f ca="1">IF(Table_Final_Staff[[#This Row],[Tenure (Years)]]&gt;2,Table_Final_Staff[[#This Row],[Salary]]*1.1,Table_Final_Staff[[#This Row],[Salary]]*1.05)</f>
        <v>83548.5</v>
      </c>
    </row>
    <row r="140" spans="1:11" x14ac:dyDescent="0.3">
      <c r="A140" s="27" t="s">
        <v>91</v>
      </c>
      <c r="B140" s="27" t="s">
        <v>8</v>
      </c>
      <c r="C140" s="12">
        <v>20</v>
      </c>
      <c r="D140" s="27" t="s">
        <v>24</v>
      </c>
      <c r="E140" s="28">
        <v>44537</v>
      </c>
      <c r="F140" s="27" t="s">
        <v>19</v>
      </c>
      <c r="G140" s="35">
        <v>68900</v>
      </c>
      <c r="H140" s="27" t="s">
        <v>207</v>
      </c>
      <c r="I140" s="27">
        <f t="shared" si="4"/>
        <v>2021</v>
      </c>
      <c r="J140" s="27">
        <f ca="1">YEAR(TODAY())-YEAR(Table_Final_Staff[[#This Row],[Date Joined]])</f>
        <v>2</v>
      </c>
      <c r="K140" s="35">
        <f ca="1">IF(Table_Final_Staff[[#This Row],[Tenure (Years)]]&gt;2,Table_Final_Staff[[#This Row],[Salary]]*1.1,Table_Final_Staff[[#This Row],[Salary]]*1.05)</f>
        <v>72345</v>
      </c>
    </row>
    <row r="141" spans="1:11" x14ac:dyDescent="0.3">
      <c r="A141" s="27" t="s">
        <v>39</v>
      </c>
      <c r="B141" s="27" t="s">
        <v>8</v>
      </c>
      <c r="C141" s="12">
        <v>25</v>
      </c>
      <c r="D141" s="27" t="s">
        <v>13</v>
      </c>
      <c r="E141" s="28">
        <v>44694</v>
      </c>
      <c r="F141" s="27" t="s">
        <v>12</v>
      </c>
      <c r="G141" s="35">
        <v>80700</v>
      </c>
      <c r="H141" s="27" t="s">
        <v>207</v>
      </c>
      <c r="I141" s="27">
        <f t="shared" si="4"/>
        <v>2022</v>
      </c>
      <c r="J141" s="27">
        <f ca="1">YEAR(TODAY())-YEAR(Table_Final_Staff[[#This Row],[Date Joined]])</f>
        <v>1</v>
      </c>
      <c r="K141" s="35">
        <f ca="1">IF(Table_Final_Staff[[#This Row],[Tenure (Years)]]&gt;2,Table_Final_Staff[[#This Row],[Salary]]*1.1,Table_Final_Staff[[#This Row],[Salary]]*1.05)</f>
        <v>84735</v>
      </c>
    </row>
    <row r="142" spans="1:11" x14ac:dyDescent="0.3">
      <c r="A142" s="27" t="s">
        <v>100</v>
      </c>
      <c r="B142" s="27" t="s">
        <v>15</v>
      </c>
      <c r="C142" s="12">
        <v>19</v>
      </c>
      <c r="D142" s="27" t="s">
        <v>16</v>
      </c>
      <c r="E142" s="28">
        <v>44277</v>
      </c>
      <c r="F142" s="27" t="s">
        <v>9</v>
      </c>
      <c r="G142" s="35">
        <v>58960</v>
      </c>
      <c r="H142" s="27" t="s">
        <v>207</v>
      </c>
      <c r="I142" s="27">
        <f t="shared" si="4"/>
        <v>2021</v>
      </c>
      <c r="J142" s="27">
        <f ca="1">YEAR(TODAY())-YEAR(Table_Final_Staff[[#This Row],[Date Joined]])</f>
        <v>2</v>
      </c>
      <c r="K142" s="35">
        <f ca="1">IF(Table_Final_Staff[[#This Row],[Tenure (Years)]]&gt;2,Table_Final_Staff[[#This Row],[Salary]]*1.1,Table_Final_Staff[[#This Row],[Salary]]*1.05)</f>
        <v>61908</v>
      </c>
    </row>
    <row r="143" spans="1:11" x14ac:dyDescent="0.3">
      <c r="A143" s="27" t="s">
        <v>106</v>
      </c>
      <c r="B143" s="27" t="s">
        <v>15</v>
      </c>
      <c r="C143" s="12">
        <v>36</v>
      </c>
      <c r="D143" s="27" t="s">
        <v>16</v>
      </c>
      <c r="E143" s="28">
        <v>44019</v>
      </c>
      <c r="F143" s="27" t="s">
        <v>12</v>
      </c>
      <c r="G143" s="35">
        <v>118840</v>
      </c>
      <c r="H143" s="27" t="s">
        <v>207</v>
      </c>
      <c r="I143" s="27">
        <f t="shared" si="4"/>
        <v>2020</v>
      </c>
      <c r="J143" s="27">
        <f ca="1">YEAR(TODAY())-YEAR(Table_Final_Staff[[#This Row],[Date Joined]])</f>
        <v>3</v>
      </c>
      <c r="K143" s="35">
        <f ca="1">IF(Table_Final_Staff[[#This Row],[Tenure (Years)]]&gt;2,Table_Final_Staff[[#This Row],[Salary]]*1.1,Table_Final_Staff[[#This Row],[Salary]]*1.05)</f>
        <v>130724.00000000001</v>
      </c>
    </row>
    <row r="144" spans="1:11" x14ac:dyDescent="0.3">
      <c r="A144" s="27" t="s">
        <v>29</v>
      </c>
      <c r="B144" s="27" t="s">
        <v>15</v>
      </c>
      <c r="C144" s="12">
        <v>28</v>
      </c>
      <c r="D144" s="27" t="s">
        <v>13</v>
      </c>
      <c r="E144" s="28">
        <v>44041</v>
      </c>
      <c r="F144" s="27" t="s">
        <v>21</v>
      </c>
      <c r="G144" s="35">
        <v>48170</v>
      </c>
      <c r="H144" s="27" t="s">
        <v>207</v>
      </c>
      <c r="I144" s="27">
        <f t="shared" si="4"/>
        <v>2020</v>
      </c>
      <c r="J144" s="27">
        <f ca="1">YEAR(TODAY())-YEAR(Table_Final_Staff[[#This Row],[Date Joined]])</f>
        <v>3</v>
      </c>
      <c r="K144" s="35">
        <f ca="1">IF(Table_Final_Staff[[#This Row],[Tenure (Years)]]&gt;2,Table_Final_Staff[[#This Row],[Salary]]*1.1,Table_Final_Staff[[#This Row],[Salary]]*1.05)</f>
        <v>52987.000000000007</v>
      </c>
    </row>
    <row r="145" spans="1:11" x14ac:dyDescent="0.3">
      <c r="A145" s="27" t="s">
        <v>108</v>
      </c>
      <c r="B145" s="27" t="s">
        <v>8</v>
      </c>
      <c r="C145" s="12">
        <v>32</v>
      </c>
      <c r="D145" s="27" t="s">
        <v>16</v>
      </c>
      <c r="E145" s="28">
        <v>44400</v>
      </c>
      <c r="F145" s="27" t="s">
        <v>56</v>
      </c>
      <c r="G145" s="35">
        <v>45510</v>
      </c>
      <c r="H145" s="27" t="s">
        <v>207</v>
      </c>
      <c r="I145" s="27">
        <f t="shared" si="4"/>
        <v>2021</v>
      </c>
      <c r="J145" s="27">
        <f ca="1">YEAR(TODAY())-YEAR(Table_Final_Staff[[#This Row],[Date Joined]])</f>
        <v>2</v>
      </c>
      <c r="K145" s="35">
        <f ca="1">IF(Table_Final_Staff[[#This Row],[Tenure (Years)]]&gt;2,Table_Final_Staff[[#This Row],[Salary]]*1.1,Table_Final_Staff[[#This Row],[Salary]]*1.05)</f>
        <v>47785.5</v>
      </c>
    </row>
    <row r="146" spans="1:11" x14ac:dyDescent="0.3">
      <c r="A146" s="27" t="s">
        <v>83</v>
      </c>
      <c r="B146" s="27" t="s">
        <v>8</v>
      </c>
      <c r="C146" s="12">
        <v>36</v>
      </c>
      <c r="D146" s="27" t="s">
        <v>16</v>
      </c>
      <c r="E146" s="28">
        <v>44085</v>
      </c>
      <c r="F146" s="27" t="s">
        <v>9</v>
      </c>
      <c r="G146" s="35">
        <v>114890</v>
      </c>
      <c r="H146" s="27" t="s">
        <v>207</v>
      </c>
      <c r="I146" s="27">
        <f t="shared" si="4"/>
        <v>2020</v>
      </c>
      <c r="J146" s="27">
        <f ca="1">YEAR(TODAY())-YEAR(Table_Final_Staff[[#This Row],[Date Joined]])</f>
        <v>3</v>
      </c>
      <c r="K146" s="35">
        <f ca="1">IF(Table_Final_Staff[[#This Row],[Tenure (Years)]]&gt;2,Table_Final_Staff[[#This Row],[Salary]]*1.1,Table_Final_Staff[[#This Row],[Salary]]*1.05)</f>
        <v>126379.00000000001</v>
      </c>
    </row>
    <row r="147" spans="1:11" x14ac:dyDescent="0.3">
      <c r="A147" s="27" t="s">
        <v>67</v>
      </c>
      <c r="B147" s="27" t="s">
        <v>15</v>
      </c>
      <c r="C147" s="12">
        <v>30</v>
      </c>
      <c r="D147" s="27" t="s">
        <v>16</v>
      </c>
      <c r="E147" s="28">
        <v>44850</v>
      </c>
      <c r="F147" s="27" t="s">
        <v>12</v>
      </c>
      <c r="G147" s="35">
        <v>69710</v>
      </c>
      <c r="H147" s="27" t="s">
        <v>207</v>
      </c>
      <c r="I147" s="27">
        <f t="shared" si="4"/>
        <v>2022</v>
      </c>
      <c r="J147" s="27">
        <f ca="1">YEAR(TODAY())-YEAR(Table_Final_Staff[[#This Row],[Date Joined]])</f>
        <v>1</v>
      </c>
      <c r="K147" s="35">
        <f ca="1">IF(Table_Final_Staff[[#This Row],[Tenure (Years)]]&gt;2,Table_Final_Staff[[#This Row],[Salary]]*1.1,Table_Final_Staff[[#This Row],[Salary]]*1.05)</f>
        <v>73195.5</v>
      </c>
    </row>
    <row r="148" spans="1:11" x14ac:dyDescent="0.3">
      <c r="A148" s="27" t="s">
        <v>94</v>
      </c>
      <c r="B148" s="27" t="s">
        <v>15</v>
      </c>
      <c r="C148" s="12">
        <v>36</v>
      </c>
      <c r="D148" s="27" t="s">
        <v>16</v>
      </c>
      <c r="E148" s="28">
        <v>44333</v>
      </c>
      <c r="F148" s="27" t="s">
        <v>21</v>
      </c>
      <c r="G148" s="35">
        <v>71380</v>
      </c>
      <c r="H148" s="27" t="s">
        <v>207</v>
      </c>
      <c r="I148" s="27">
        <f t="shared" si="4"/>
        <v>2021</v>
      </c>
      <c r="J148" s="27">
        <f ca="1">YEAR(TODAY())-YEAR(Table_Final_Staff[[#This Row],[Date Joined]])</f>
        <v>2</v>
      </c>
      <c r="K148" s="35">
        <f ca="1">IF(Table_Final_Staff[[#This Row],[Tenure (Years)]]&gt;2,Table_Final_Staff[[#This Row],[Salary]]*1.1,Table_Final_Staff[[#This Row],[Salary]]*1.05)</f>
        <v>74949</v>
      </c>
    </row>
    <row r="149" spans="1:11" x14ac:dyDescent="0.3">
      <c r="A149" s="27" t="s">
        <v>33</v>
      </c>
      <c r="B149" s="27" t="s">
        <v>8</v>
      </c>
      <c r="C149" s="12">
        <v>38</v>
      </c>
      <c r="D149" s="27" t="s">
        <v>10</v>
      </c>
      <c r="E149" s="28">
        <v>44377</v>
      </c>
      <c r="F149" s="27" t="s">
        <v>19</v>
      </c>
      <c r="G149" s="35">
        <v>109160</v>
      </c>
      <c r="H149" s="27" t="s">
        <v>207</v>
      </c>
      <c r="I149" s="27">
        <f t="shared" si="4"/>
        <v>2021</v>
      </c>
      <c r="J149" s="27">
        <f ca="1">YEAR(TODAY())-YEAR(Table_Final_Staff[[#This Row],[Date Joined]])</f>
        <v>2</v>
      </c>
      <c r="K149" s="35">
        <f ca="1">IF(Table_Final_Staff[[#This Row],[Tenure (Years)]]&gt;2,Table_Final_Staff[[#This Row],[Salary]]*1.1,Table_Final_Staff[[#This Row],[Salary]]*1.05)</f>
        <v>114618</v>
      </c>
    </row>
    <row r="150" spans="1:11" x14ac:dyDescent="0.3">
      <c r="A150" s="27" t="s">
        <v>98</v>
      </c>
      <c r="B150" s="27" t="s">
        <v>15</v>
      </c>
      <c r="C150" s="12">
        <v>27</v>
      </c>
      <c r="D150" s="27" t="s">
        <v>42</v>
      </c>
      <c r="E150" s="28">
        <v>44609</v>
      </c>
      <c r="F150" s="27" t="s">
        <v>9</v>
      </c>
      <c r="G150" s="35">
        <v>113280</v>
      </c>
      <c r="H150" s="27" t="s">
        <v>207</v>
      </c>
      <c r="I150" s="27">
        <f t="shared" si="4"/>
        <v>2022</v>
      </c>
      <c r="J150" s="27">
        <f ca="1">YEAR(TODAY())-YEAR(Table_Final_Staff[[#This Row],[Date Joined]])</f>
        <v>1</v>
      </c>
      <c r="K150" s="35">
        <f ca="1">IF(Table_Final_Staff[[#This Row],[Tenure (Years)]]&gt;2,Table_Final_Staff[[#This Row],[Salary]]*1.1,Table_Final_Staff[[#This Row],[Salary]]*1.05)</f>
        <v>118944</v>
      </c>
    </row>
    <row r="151" spans="1:11" x14ac:dyDescent="0.3">
      <c r="A151" s="27" t="s">
        <v>25</v>
      </c>
      <c r="B151" s="27" t="s">
        <v>15</v>
      </c>
      <c r="C151" s="12">
        <v>30</v>
      </c>
      <c r="D151" s="27" t="s">
        <v>16</v>
      </c>
      <c r="E151" s="28">
        <v>44273</v>
      </c>
      <c r="F151" s="27" t="s">
        <v>12</v>
      </c>
      <c r="G151" s="35">
        <v>69120</v>
      </c>
      <c r="H151" s="27" t="s">
        <v>207</v>
      </c>
      <c r="I151" s="27">
        <f t="shared" si="4"/>
        <v>2021</v>
      </c>
      <c r="J151" s="27">
        <f ca="1">YEAR(TODAY())-YEAR(Table_Final_Staff[[#This Row],[Date Joined]])</f>
        <v>2</v>
      </c>
      <c r="K151" s="35">
        <f ca="1">IF(Table_Final_Staff[[#This Row],[Tenure (Years)]]&gt;2,Table_Final_Staff[[#This Row],[Salary]]*1.1,Table_Final_Staff[[#This Row],[Salary]]*1.05)</f>
        <v>72576</v>
      </c>
    </row>
    <row r="152" spans="1:11" x14ac:dyDescent="0.3">
      <c r="A152" s="27" t="s">
        <v>55</v>
      </c>
      <c r="B152" s="27" t="s">
        <v>8</v>
      </c>
      <c r="C152" s="12">
        <v>37</v>
      </c>
      <c r="D152" s="27" t="s">
        <v>16</v>
      </c>
      <c r="E152" s="28">
        <v>44451</v>
      </c>
      <c r="F152" s="27" t="s">
        <v>56</v>
      </c>
      <c r="G152" s="35">
        <v>118100</v>
      </c>
      <c r="H152" s="27" t="s">
        <v>207</v>
      </c>
      <c r="I152" s="27">
        <f t="shared" si="4"/>
        <v>2021</v>
      </c>
      <c r="J152" s="27">
        <f ca="1">YEAR(TODAY())-YEAR(Table_Final_Staff[[#This Row],[Date Joined]])</f>
        <v>2</v>
      </c>
      <c r="K152" s="35">
        <f ca="1">IF(Table_Final_Staff[[#This Row],[Tenure (Years)]]&gt;2,Table_Final_Staff[[#This Row],[Salary]]*1.1,Table_Final_Staff[[#This Row],[Salary]]*1.05)</f>
        <v>124005</v>
      </c>
    </row>
    <row r="153" spans="1:11" x14ac:dyDescent="0.3">
      <c r="A153" s="27" t="s">
        <v>62</v>
      </c>
      <c r="B153" s="27" t="s">
        <v>8</v>
      </c>
      <c r="C153" s="12">
        <v>22</v>
      </c>
      <c r="D153" s="27" t="s">
        <v>13</v>
      </c>
      <c r="E153" s="28">
        <v>44450</v>
      </c>
      <c r="F153" s="27" t="s">
        <v>9</v>
      </c>
      <c r="G153" s="35">
        <v>76900</v>
      </c>
      <c r="H153" s="27" t="s">
        <v>207</v>
      </c>
      <c r="I153" s="27">
        <f t="shared" si="4"/>
        <v>2021</v>
      </c>
      <c r="J153" s="27">
        <f ca="1">YEAR(TODAY())-YEAR(Table_Final_Staff[[#This Row],[Date Joined]])</f>
        <v>2</v>
      </c>
      <c r="K153" s="35">
        <f ca="1">IF(Table_Final_Staff[[#This Row],[Tenure (Years)]]&gt;2,Table_Final_Staff[[#This Row],[Salary]]*1.1,Table_Final_Staff[[#This Row],[Salary]]*1.05)</f>
        <v>80745</v>
      </c>
    </row>
    <row r="154" spans="1:11" x14ac:dyDescent="0.3">
      <c r="A154" s="27" t="s">
        <v>17</v>
      </c>
      <c r="B154" s="27" t="s">
        <v>8</v>
      </c>
      <c r="C154" s="12">
        <v>43</v>
      </c>
      <c r="D154" s="27" t="s">
        <v>16</v>
      </c>
      <c r="E154" s="28">
        <v>45045</v>
      </c>
      <c r="F154" s="27" t="s">
        <v>12</v>
      </c>
      <c r="G154" s="35">
        <v>114870</v>
      </c>
      <c r="H154" s="27" t="s">
        <v>207</v>
      </c>
      <c r="I154" s="27">
        <f t="shared" si="4"/>
        <v>2023</v>
      </c>
      <c r="J154" s="27">
        <f ca="1">YEAR(TODAY())-YEAR(Table_Final_Staff[[#This Row],[Date Joined]])</f>
        <v>0</v>
      </c>
      <c r="K154" s="35">
        <f ca="1">IF(Table_Final_Staff[[#This Row],[Tenure (Years)]]&gt;2,Table_Final_Staff[[#This Row],[Salary]]*1.1,Table_Final_Staff[[#This Row],[Salary]]*1.05)</f>
        <v>120613.5</v>
      </c>
    </row>
    <row r="155" spans="1:11" x14ac:dyDescent="0.3">
      <c r="A155" s="27" t="s">
        <v>52</v>
      </c>
      <c r="B155" s="27" t="s">
        <v>206</v>
      </c>
      <c r="C155" s="12">
        <v>32</v>
      </c>
      <c r="D155" s="27" t="s">
        <v>16</v>
      </c>
      <c r="E155" s="28">
        <v>44774</v>
      </c>
      <c r="F155" s="27" t="s">
        <v>12</v>
      </c>
      <c r="G155" s="35">
        <v>91310</v>
      </c>
      <c r="H155" s="27" t="s">
        <v>207</v>
      </c>
      <c r="I155" s="27">
        <f t="shared" si="4"/>
        <v>2022</v>
      </c>
      <c r="J155" s="27">
        <f ca="1">YEAR(TODAY())-YEAR(Table_Final_Staff[[#This Row],[Date Joined]])</f>
        <v>1</v>
      </c>
      <c r="K155" s="35">
        <f ca="1">IF(Table_Final_Staff[[#This Row],[Tenure (Years)]]&gt;2,Table_Final_Staff[[#This Row],[Salary]]*1.1,Table_Final_Staff[[#This Row],[Salary]]*1.05)</f>
        <v>95875.5</v>
      </c>
    </row>
    <row r="156" spans="1:11" x14ac:dyDescent="0.3">
      <c r="A156" s="27" t="s">
        <v>43</v>
      </c>
      <c r="B156" s="27" t="s">
        <v>8</v>
      </c>
      <c r="C156" s="12">
        <v>28</v>
      </c>
      <c r="D156" s="27" t="s">
        <v>16</v>
      </c>
      <c r="E156" s="28">
        <v>44486</v>
      </c>
      <c r="F156" s="27" t="s">
        <v>9</v>
      </c>
      <c r="G156" s="35">
        <v>104770</v>
      </c>
      <c r="H156" s="27" t="s">
        <v>207</v>
      </c>
      <c r="I156" s="27">
        <f t="shared" si="4"/>
        <v>2021</v>
      </c>
      <c r="J156" s="27">
        <f ca="1">YEAR(TODAY())-YEAR(Table_Final_Staff[[#This Row],[Date Joined]])</f>
        <v>2</v>
      </c>
      <c r="K156" s="35">
        <f ca="1">IF(Table_Final_Staff[[#This Row],[Tenure (Years)]]&gt;2,Table_Final_Staff[[#This Row],[Salary]]*1.1,Table_Final_Staff[[#This Row],[Salary]]*1.05)</f>
        <v>110008.5</v>
      </c>
    </row>
    <row r="157" spans="1:11" x14ac:dyDescent="0.3">
      <c r="A157" s="27" t="s">
        <v>89</v>
      </c>
      <c r="B157" s="27" t="s">
        <v>15</v>
      </c>
      <c r="C157" s="12">
        <v>27</v>
      </c>
      <c r="D157" s="27" t="s">
        <v>16</v>
      </c>
      <c r="E157" s="28">
        <v>44134</v>
      </c>
      <c r="F157" s="27" t="s">
        <v>19</v>
      </c>
      <c r="G157" s="35">
        <v>54970</v>
      </c>
      <c r="H157" s="27" t="s">
        <v>207</v>
      </c>
      <c r="I157" s="27">
        <f t="shared" si="4"/>
        <v>2020</v>
      </c>
      <c r="J157" s="27">
        <f ca="1">YEAR(TODAY())-YEAR(Table_Final_Staff[[#This Row],[Date Joined]])</f>
        <v>3</v>
      </c>
      <c r="K157" s="35">
        <f ca="1">IF(Table_Final_Staff[[#This Row],[Tenure (Years)]]&gt;2,Table_Final_Staff[[#This Row],[Salary]]*1.1,Table_Final_Staff[[#This Row],[Salary]]*1.05)</f>
        <v>60467.000000000007</v>
      </c>
    </row>
    <row r="158" spans="1:11" x14ac:dyDescent="0.3">
      <c r="A158" s="27" t="s">
        <v>11</v>
      </c>
      <c r="B158" s="27" t="s">
        <v>206</v>
      </c>
      <c r="C158" s="12">
        <v>26</v>
      </c>
      <c r="D158" s="27" t="s">
        <v>13</v>
      </c>
      <c r="E158" s="28">
        <v>44271</v>
      </c>
      <c r="F158" s="27" t="s">
        <v>12</v>
      </c>
      <c r="G158" s="35">
        <v>90700</v>
      </c>
      <c r="H158" s="27" t="s">
        <v>207</v>
      </c>
      <c r="I158" s="27">
        <f t="shared" si="4"/>
        <v>2021</v>
      </c>
      <c r="J158" s="27">
        <f ca="1">YEAR(TODAY())-YEAR(Table_Final_Staff[[#This Row],[Date Joined]])</f>
        <v>2</v>
      </c>
      <c r="K158" s="35">
        <f ca="1">IF(Table_Final_Staff[[#This Row],[Tenure (Years)]]&gt;2,Table_Final_Staff[[#This Row],[Salary]]*1.1,Table_Final_Staff[[#This Row],[Salary]]*1.05)</f>
        <v>95235</v>
      </c>
    </row>
    <row r="159" spans="1:11" x14ac:dyDescent="0.3">
      <c r="A159" s="27" t="s">
        <v>109</v>
      </c>
      <c r="B159" s="27" t="s">
        <v>8</v>
      </c>
      <c r="C159" s="12">
        <v>38</v>
      </c>
      <c r="D159" s="27" t="s">
        <v>13</v>
      </c>
      <c r="E159" s="28">
        <v>44329</v>
      </c>
      <c r="F159" s="27" t="s">
        <v>19</v>
      </c>
      <c r="G159" s="35">
        <v>56870</v>
      </c>
      <c r="H159" s="27" t="s">
        <v>207</v>
      </c>
      <c r="I159" s="27">
        <f t="shared" si="4"/>
        <v>2021</v>
      </c>
      <c r="J159" s="27">
        <f ca="1">YEAR(TODAY())-YEAR(Table_Final_Staff[[#This Row],[Date Joined]])</f>
        <v>2</v>
      </c>
      <c r="K159" s="35">
        <f ca="1">IF(Table_Final_Staff[[#This Row],[Tenure (Years)]]&gt;2,Table_Final_Staff[[#This Row],[Salary]]*1.1,Table_Final_Staff[[#This Row],[Salary]]*1.05)</f>
        <v>59713.5</v>
      </c>
    </row>
    <row r="160" spans="1:11" x14ac:dyDescent="0.3">
      <c r="A160" s="27" t="s">
        <v>77</v>
      </c>
      <c r="B160" s="27" t="s">
        <v>8</v>
      </c>
      <c r="C160" s="12">
        <v>25</v>
      </c>
      <c r="D160" s="27" t="s">
        <v>16</v>
      </c>
      <c r="E160" s="28">
        <v>44205</v>
      </c>
      <c r="F160" s="27" t="s">
        <v>19</v>
      </c>
      <c r="G160" s="35">
        <v>92700</v>
      </c>
      <c r="H160" s="27" t="s">
        <v>207</v>
      </c>
      <c r="I160" s="27">
        <f t="shared" si="4"/>
        <v>2021</v>
      </c>
      <c r="J160" s="27">
        <f ca="1">YEAR(TODAY())-YEAR(Table_Final_Staff[[#This Row],[Date Joined]])</f>
        <v>2</v>
      </c>
      <c r="K160" s="35">
        <f ca="1">IF(Table_Final_Staff[[#This Row],[Tenure (Years)]]&gt;2,Table_Final_Staff[[#This Row],[Salary]]*1.1,Table_Final_Staff[[#This Row],[Salary]]*1.05)</f>
        <v>97335</v>
      </c>
    </row>
    <row r="161" spans="1:11" x14ac:dyDescent="0.3">
      <c r="A161" s="27" t="s">
        <v>32</v>
      </c>
      <c r="B161" s="27" t="s">
        <v>8</v>
      </c>
      <c r="C161" s="12">
        <v>21</v>
      </c>
      <c r="D161" s="27" t="s">
        <v>16</v>
      </c>
      <c r="E161" s="28">
        <v>44317</v>
      </c>
      <c r="F161" s="27" t="s">
        <v>21</v>
      </c>
      <c r="G161" s="35">
        <v>65920</v>
      </c>
      <c r="H161" s="27" t="s">
        <v>207</v>
      </c>
      <c r="I161" s="27">
        <f t="shared" si="4"/>
        <v>2021</v>
      </c>
      <c r="J161" s="27">
        <f ca="1">YEAR(TODAY())-YEAR(Table_Final_Staff[[#This Row],[Date Joined]])</f>
        <v>2</v>
      </c>
      <c r="K161" s="35">
        <f ca="1">IF(Table_Final_Staff[[#This Row],[Tenure (Years)]]&gt;2,Table_Final_Staff[[#This Row],[Salary]]*1.1,Table_Final_Staff[[#This Row],[Salary]]*1.05)</f>
        <v>69216</v>
      </c>
    </row>
    <row r="162" spans="1:11" x14ac:dyDescent="0.3">
      <c r="A162" s="27" t="s">
        <v>59</v>
      </c>
      <c r="B162" s="27" t="s">
        <v>15</v>
      </c>
      <c r="C162" s="12">
        <v>26</v>
      </c>
      <c r="D162" s="27" t="s">
        <v>16</v>
      </c>
      <c r="E162" s="28">
        <v>44225</v>
      </c>
      <c r="F162" s="27" t="s">
        <v>9</v>
      </c>
      <c r="G162" s="35">
        <v>47360</v>
      </c>
      <c r="H162" s="27" t="s">
        <v>207</v>
      </c>
      <c r="I162" s="27">
        <f t="shared" ref="I162:I184" si="5">YEAR(E162)</f>
        <v>2021</v>
      </c>
      <c r="J162" s="27">
        <f ca="1">YEAR(TODAY())-YEAR(Table_Final_Staff[[#This Row],[Date Joined]])</f>
        <v>2</v>
      </c>
      <c r="K162" s="35">
        <f ca="1">IF(Table_Final_Staff[[#This Row],[Tenure (Years)]]&gt;2,Table_Final_Staff[[#This Row],[Salary]]*1.1,Table_Final_Staff[[#This Row],[Salary]]*1.05)</f>
        <v>49728</v>
      </c>
    </row>
    <row r="163" spans="1:11" x14ac:dyDescent="0.3">
      <c r="A163" s="27" t="s">
        <v>37</v>
      </c>
      <c r="B163" s="27" t="s">
        <v>15</v>
      </c>
      <c r="C163" s="12">
        <v>30</v>
      </c>
      <c r="D163" s="27" t="s">
        <v>16</v>
      </c>
      <c r="E163" s="28">
        <v>44666</v>
      </c>
      <c r="F163" s="27" t="s">
        <v>9</v>
      </c>
      <c r="G163" s="35">
        <v>60570</v>
      </c>
      <c r="H163" s="27" t="s">
        <v>207</v>
      </c>
      <c r="I163" s="27">
        <f t="shared" si="5"/>
        <v>2022</v>
      </c>
      <c r="J163" s="27">
        <f ca="1">YEAR(TODAY())-YEAR(Table_Final_Staff[[#This Row],[Date Joined]])</f>
        <v>1</v>
      </c>
      <c r="K163" s="35">
        <f ca="1">IF(Table_Final_Staff[[#This Row],[Tenure (Years)]]&gt;2,Table_Final_Staff[[#This Row],[Salary]]*1.1,Table_Final_Staff[[#This Row],[Salary]]*1.05)</f>
        <v>63598.5</v>
      </c>
    </row>
    <row r="164" spans="1:11" x14ac:dyDescent="0.3">
      <c r="A164" s="27" t="s">
        <v>96</v>
      </c>
      <c r="B164" s="27" t="s">
        <v>8</v>
      </c>
      <c r="C164" s="12">
        <v>28</v>
      </c>
      <c r="D164" s="27" t="s">
        <v>16</v>
      </c>
      <c r="E164" s="28">
        <v>44649</v>
      </c>
      <c r="F164" s="27" t="s">
        <v>9</v>
      </c>
      <c r="G164" s="35">
        <v>104120</v>
      </c>
      <c r="H164" s="27" t="s">
        <v>207</v>
      </c>
      <c r="I164" s="27">
        <f t="shared" si="5"/>
        <v>2022</v>
      </c>
      <c r="J164" s="27">
        <f ca="1">YEAR(TODAY())-YEAR(Table_Final_Staff[[#This Row],[Date Joined]])</f>
        <v>1</v>
      </c>
      <c r="K164" s="35">
        <f ca="1">IF(Table_Final_Staff[[#This Row],[Tenure (Years)]]&gt;2,Table_Final_Staff[[#This Row],[Salary]]*1.1,Table_Final_Staff[[#This Row],[Salary]]*1.05)</f>
        <v>109326</v>
      </c>
    </row>
    <row r="165" spans="1:11" x14ac:dyDescent="0.3">
      <c r="A165" s="27" t="s">
        <v>23</v>
      </c>
      <c r="B165" s="27" t="s">
        <v>15</v>
      </c>
      <c r="C165" s="12">
        <v>37</v>
      </c>
      <c r="D165" s="27" t="s">
        <v>24</v>
      </c>
      <c r="E165" s="28">
        <v>44338</v>
      </c>
      <c r="F165" s="27" t="s">
        <v>12</v>
      </c>
      <c r="G165" s="35">
        <v>88050</v>
      </c>
      <c r="H165" s="27" t="s">
        <v>207</v>
      </c>
      <c r="I165" s="27">
        <f t="shared" si="5"/>
        <v>2021</v>
      </c>
      <c r="J165" s="27">
        <f ca="1">YEAR(TODAY())-YEAR(Table_Final_Staff[[#This Row],[Date Joined]])</f>
        <v>2</v>
      </c>
      <c r="K165" s="35">
        <f ca="1">IF(Table_Final_Staff[[#This Row],[Tenure (Years)]]&gt;2,Table_Final_Staff[[#This Row],[Salary]]*1.1,Table_Final_Staff[[#This Row],[Salary]]*1.05)</f>
        <v>92452.5</v>
      </c>
    </row>
    <row r="166" spans="1:11" x14ac:dyDescent="0.3">
      <c r="A166" s="27" t="s">
        <v>103</v>
      </c>
      <c r="B166" s="27" t="s">
        <v>15</v>
      </c>
      <c r="C166" s="12">
        <v>24</v>
      </c>
      <c r="D166" s="27" t="s">
        <v>16</v>
      </c>
      <c r="E166" s="28">
        <v>44686</v>
      </c>
      <c r="F166" s="27" t="s">
        <v>12</v>
      </c>
      <c r="G166" s="35">
        <v>100420</v>
      </c>
      <c r="H166" s="27" t="s">
        <v>207</v>
      </c>
      <c r="I166" s="27">
        <f t="shared" si="5"/>
        <v>2022</v>
      </c>
      <c r="J166" s="27">
        <f ca="1">YEAR(TODAY())-YEAR(Table_Final_Staff[[#This Row],[Date Joined]])</f>
        <v>1</v>
      </c>
      <c r="K166" s="35">
        <f ca="1">IF(Table_Final_Staff[[#This Row],[Tenure (Years)]]&gt;2,Table_Final_Staff[[#This Row],[Salary]]*1.1,Table_Final_Staff[[#This Row],[Salary]]*1.05)</f>
        <v>105441</v>
      </c>
    </row>
    <row r="167" spans="1:11" x14ac:dyDescent="0.3">
      <c r="A167" s="27" t="s">
        <v>54</v>
      </c>
      <c r="B167" s="27" t="s">
        <v>8</v>
      </c>
      <c r="C167" s="12">
        <v>30</v>
      </c>
      <c r="D167" s="27" t="s">
        <v>16</v>
      </c>
      <c r="E167" s="28">
        <v>44850</v>
      </c>
      <c r="F167" s="27" t="s">
        <v>9</v>
      </c>
      <c r="G167" s="35">
        <v>114180</v>
      </c>
      <c r="H167" s="27" t="s">
        <v>207</v>
      </c>
      <c r="I167" s="27">
        <f t="shared" si="5"/>
        <v>2022</v>
      </c>
      <c r="J167" s="27">
        <f ca="1">YEAR(TODAY())-YEAR(Table_Final_Staff[[#This Row],[Date Joined]])</f>
        <v>1</v>
      </c>
      <c r="K167" s="35">
        <f ca="1">IF(Table_Final_Staff[[#This Row],[Tenure (Years)]]&gt;2,Table_Final_Staff[[#This Row],[Salary]]*1.1,Table_Final_Staff[[#This Row],[Salary]]*1.05)</f>
        <v>119889</v>
      </c>
    </row>
    <row r="168" spans="1:11" x14ac:dyDescent="0.3">
      <c r="A168" s="27" t="s">
        <v>86</v>
      </c>
      <c r="B168" s="27" t="s">
        <v>8</v>
      </c>
      <c r="C168" s="12">
        <v>21</v>
      </c>
      <c r="D168" s="27" t="s">
        <v>16</v>
      </c>
      <c r="E168" s="28">
        <v>44678</v>
      </c>
      <c r="F168" s="27" t="s">
        <v>12</v>
      </c>
      <c r="G168" s="35">
        <v>33920</v>
      </c>
      <c r="H168" s="27" t="s">
        <v>207</v>
      </c>
      <c r="I168" s="27">
        <f t="shared" si="5"/>
        <v>2022</v>
      </c>
      <c r="J168" s="27">
        <f ca="1">YEAR(TODAY())-YEAR(Table_Final_Staff[[#This Row],[Date Joined]])</f>
        <v>1</v>
      </c>
      <c r="K168" s="35">
        <f ca="1">IF(Table_Final_Staff[[#This Row],[Tenure (Years)]]&gt;2,Table_Final_Staff[[#This Row],[Salary]]*1.1,Table_Final_Staff[[#This Row],[Salary]]*1.05)</f>
        <v>35616</v>
      </c>
    </row>
    <row r="169" spans="1:11" x14ac:dyDescent="0.3">
      <c r="A169" s="27" t="s">
        <v>69</v>
      </c>
      <c r="B169" s="27" t="s">
        <v>15</v>
      </c>
      <c r="C169" s="12">
        <v>23</v>
      </c>
      <c r="D169" s="27" t="s">
        <v>16</v>
      </c>
      <c r="E169" s="28">
        <v>44440</v>
      </c>
      <c r="F169" s="27" t="s">
        <v>9</v>
      </c>
      <c r="G169" s="35">
        <v>106460</v>
      </c>
      <c r="H169" s="27" t="s">
        <v>207</v>
      </c>
      <c r="I169" s="27">
        <f t="shared" si="5"/>
        <v>2021</v>
      </c>
      <c r="J169" s="27">
        <f ca="1">YEAR(TODAY())-YEAR(Table_Final_Staff[[#This Row],[Date Joined]])</f>
        <v>2</v>
      </c>
      <c r="K169" s="35">
        <f ca="1">IF(Table_Final_Staff[[#This Row],[Tenure (Years)]]&gt;2,Table_Final_Staff[[#This Row],[Salary]]*1.1,Table_Final_Staff[[#This Row],[Salary]]*1.05)</f>
        <v>111783</v>
      </c>
    </row>
    <row r="170" spans="1:11" x14ac:dyDescent="0.3">
      <c r="A170" s="27" t="s">
        <v>57</v>
      </c>
      <c r="B170" s="27" t="s">
        <v>15</v>
      </c>
      <c r="C170" s="12">
        <v>35</v>
      </c>
      <c r="D170" s="27" t="s">
        <v>16</v>
      </c>
      <c r="E170" s="28">
        <v>44727</v>
      </c>
      <c r="F170" s="27" t="s">
        <v>9</v>
      </c>
      <c r="G170" s="35">
        <v>40400</v>
      </c>
      <c r="H170" s="27" t="s">
        <v>207</v>
      </c>
      <c r="I170" s="27">
        <f t="shared" si="5"/>
        <v>2022</v>
      </c>
      <c r="J170" s="27">
        <f ca="1">YEAR(TODAY())-YEAR(Table_Final_Staff[[#This Row],[Date Joined]])</f>
        <v>1</v>
      </c>
      <c r="K170" s="35">
        <f ca="1">IF(Table_Final_Staff[[#This Row],[Tenure (Years)]]&gt;2,Table_Final_Staff[[#This Row],[Salary]]*1.1,Table_Final_Staff[[#This Row],[Salary]]*1.05)</f>
        <v>42420</v>
      </c>
    </row>
    <row r="171" spans="1:11" x14ac:dyDescent="0.3">
      <c r="A171" s="27" t="s">
        <v>68</v>
      </c>
      <c r="B171" s="27" t="s">
        <v>15</v>
      </c>
      <c r="C171" s="12">
        <v>27</v>
      </c>
      <c r="D171" s="27" t="s">
        <v>13</v>
      </c>
      <c r="E171" s="28">
        <v>44236</v>
      </c>
      <c r="F171" s="27" t="s">
        <v>21</v>
      </c>
      <c r="G171" s="35">
        <v>91650</v>
      </c>
      <c r="H171" s="27" t="s">
        <v>207</v>
      </c>
      <c r="I171" s="27">
        <f t="shared" si="5"/>
        <v>2021</v>
      </c>
      <c r="J171" s="27">
        <f ca="1">YEAR(TODAY())-YEAR(Table_Final_Staff[[#This Row],[Date Joined]])</f>
        <v>2</v>
      </c>
      <c r="K171" s="35">
        <f ca="1">IF(Table_Final_Staff[[#This Row],[Tenure (Years)]]&gt;2,Table_Final_Staff[[#This Row],[Salary]]*1.1,Table_Final_Staff[[#This Row],[Salary]]*1.05)</f>
        <v>96232.5</v>
      </c>
    </row>
    <row r="172" spans="1:11" x14ac:dyDescent="0.3">
      <c r="A172" s="27" t="s">
        <v>99</v>
      </c>
      <c r="B172" s="27" t="s">
        <v>15</v>
      </c>
      <c r="C172" s="12">
        <v>43</v>
      </c>
      <c r="D172" s="27" t="s">
        <v>16</v>
      </c>
      <c r="E172" s="28">
        <v>44620</v>
      </c>
      <c r="F172" s="27" t="s">
        <v>19</v>
      </c>
      <c r="G172" s="35">
        <v>36040</v>
      </c>
      <c r="H172" s="27" t="s">
        <v>207</v>
      </c>
      <c r="I172" s="27">
        <f t="shared" si="5"/>
        <v>2022</v>
      </c>
      <c r="J172" s="27">
        <f ca="1">YEAR(TODAY())-YEAR(Table_Final_Staff[[#This Row],[Date Joined]])</f>
        <v>1</v>
      </c>
      <c r="K172" s="35">
        <f ca="1">IF(Table_Final_Staff[[#This Row],[Tenure (Years)]]&gt;2,Table_Final_Staff[[#This Row],[Salary]]*1.1,Table_Final_Staff[[#This Row],[Salary]]*1.05)</f>
        <v>37842</v>
      </c>
    </row>
    <row r="173" spans="1:11" x14ac:dyDescent="0.3">
      <c r="A173" s="27" t="s">
        <v>101</v>
      </c>
      <c r="B173" s="27" t="s">
        <v>8</v>
      </c>
      <c r="C173" s="12">
        <v>40</v>
      </c>
      <c r="D173" s="27" t="s">
        <v>16</v>
      </c>
      <c r="E173" s="28">
        <v>44381</v>
      </c>
      <c r="F173" s="27" t="s">
        <v>12</v>
      </c>
      <c r="G173" s="35">
        <v>104410</v>
      </c>
      <c r="H173" s="27" t="s">
        <v>207</v>
      </c>
      <c r="I173" s="27">
        <f t="shared" si="5"/>
        <v>2021</v>
      </c>
      <c r="J173" s="27">
        <f ca="1">YEAR(TODAY())-YEAR(Table_Final_Staff[[#This Row],[Date Joined]])</f>
        <v>2</v>
      </c>
      <c r="K173" s="35">
        <f ca="1">IF(Table_Final_Staff[[#This Row],[Tenure (Years)]]&gt;2,Table_Final_Staff[[#This Row],[Salary]]*1.1,Table_Final_Staff[[#This Row],[Salary]]*1.05)</f>
        <v>109630.5</v>
      </c>
    </row>
    <row r="174" spans="1:11" x14ac:dyDescent="0.3">
      <c r="A174" s="27" t="s">
        <v>85</v>
      </c>
      <c r="B174" s="27" t="s">
        <v>15</v>
      </c>
      <c r="C174" s="12">
        <v>30</v>
      </c>
      <c r="D174" s="27" t="s">
        <v>16</v>
      </c>
      <c r="E174" s="28">
        <v>44606</v>
      </c>
      <c r="F174" s="27" t="s">
        <v>21</v>
      </c>
      <c r="G174" s="35">
        <v>96800</v>
      </c>
      <c r="H174" s="27" t="s">
        <v>207</v>
      </c>
      <c r="I174" s="27">
        <f t="shared" si="5"/>
        <v>2022</v>
      </c>
      <c r="J174" s="27">
        <f ca="1">YEAR(TODAY())-YEAR(Table_Final_Staff[[#This Row],[Date Joined]])</f>
        <v>1</v>
      </c>
      <c r="K174" s="35">
        <f ca="1">IF(Table_Final_Staff[[#This Row],[Tenure (Years)]]&gt;2,Table_Final_Staff[[#This Row],[Salary]]*1.1,Table_Final_Staff[[#This Row],[Salary]]*1.05)</f>
        <v>101640</v>
      </c>
    </row>
    <row r="175" spans="1:11" x14ac:dyDescent="0.3">
      <c r="A175" s="27" t="s">
        <v>28</v>
      </c>
      <c r="B175" s="27" t="s">
        <v>8</v>
      </c>
      <c r="C175" s="12">
        <v>34</v>
      </c>
      <c r="D175" s="27" t="s">
        <v>16</v>
      </c>
      <c r="E175" s="28">
        <v>44459</v>
      </c>
      <c r="F175" s="27" t="s">
        <v>21</v>
      </c>
      <c r="G175" s="35">
        <v>85000</v>
      </c>
      <c r="H175" s="27" t="s">
        <v>207</v>
      </c>
      <c r="I175" s="27">
        <f t="shared" si="5"/>
        <v>2021</v>
      </c>
      <c r="J175" s="27">
        <f ca="1">YEAR(TODAY())-YEAR(Table_Final_Staff[[#This Row],[Date Joined]])</f>
        <v>2</v>
      </c>
      <c r="K175" s="35">
        <f ca="1">IF(Table_Final_Staff[[#This Row],[Tenure (Years)]]&gt;2,Table_Final_Staff[[#This Row],[Salary]]*1.1,Table_Final_Staff[[#This Row],[Salary]]*1.05)</f>
        <v>89250</v>
      </c>
    </row>
    <row r="176" spans="1:11" x14ac:dyDescent="0.3">
      <c r="A176" s="27" t="s">
        <v>80</v>
      </c>
      <c r="B176" s="27" t="s">
        <v>15</v>
      </c>
      <c r="C176" s="12">
        <v>28</v>
      </c>
      <c r="D176" s="27" t="s">
        <v>42</v>
      </c>
      <c r="E176" s="28">
        <v>44820</v>
      </c>
      <c r="F176" s="27" t="s">
        <v>19</v>
      </c>
      <c r="G176" s="35">
        <v>43510</v>
      </c>
      <c r="H176" s="27" t="s">
        <v>207</v>
      </c>
      <c r="I176" s="27">
        <f t="shared" si="5"/>
        <v>2022</v>
      </c>
      <c r="J176" s="27">
        <f ca="1">YEAR(TODAY())-YEAR(Table_Final_Staff[[#This Row],[Date Joined]])</f>
        <v>1</v>
      </c>
      <c r="K176" s="35">
        <f ca="1">IF(Table_Final_Staff[[#This Row],[Tenure (Years)]]&gt;2,Table_Final_Staff[[#This Row],[Salary]]*1.1,Table_Final_Staff[[#This Row],[Salary]]*1.05)</f>
        <v>45685.5</v>
      </c>
    </row>
    <row r="177" spans="1:11" x14ac:dyDescent="0.3">
      <c r="A177" s="27" t="s">
        <v>79</v>
      </c>
      <c r="B177" s="27" t="s">
        <v>15</v>
      </c>
      <c r="C177" s="12">
        <v>33</v>
      </c>
      <c r="D177" s="27" t="s">
        <v>16</v>
      </c>
      <c r="E177" s="28">
        <v>44243</v>
      </c>
      <c r="F177" s="27" t="s">
        <v>21</v>
      </c>
      <c r="G177" s="35">
        <v>59430</v>
      </c>
      <c r="H177" s="27" t="s">
        <v>207</v>
      </c>
      <c r="I177" s="27">
        <f t="shared" si="5"/>
        <v>2021</v>
      </c>
      <c r="J177" s="27">
        <f ca="1">YEAR(TODAY())-YEAR(Table_Final_Staff[[#This Row],[Date Joined]])</f>
        <v>2</v>
      </c>
      <c r="K177" s="35">
        <f ca="1">IF(Table_Final_Staff[[#This Row],[Tenure (Years)]]&gt;2,Table_Final_Staff[[#This Row],[Salary]]*1.1,Table_Final_Staff[[#This Row],[Salary]]*1.05)</f>
        <v>62401.5</v>
      </c>
    </row>
    <row r="178" spans="1:11" x14ac:dyDescent="0.3">
      <c r="A178" s="27" t="s">
        <v>93</v>
      </c>
      <c r="B178" s="27" t="s">
        <v>8</v>
      </c>
      <c r="C178" s="12">
        <v>33</v>
      </c>
      <c r="D178" s="27" t="s">
        <v>16</v>
      </c>
      <c r="E178" s="28">
        <v>44067</v>
      </c>
      <c r="F178" s="27" t="s">
        <v>21</v>
      </c>
      <c r="G178" s="35">
        <v>65360</v>
      </c>
      <c r="H178" s="27" t="s">
        <v>207</v>
      </c>
      <c r="I178" s="27">
        <f t="shared" si="5"/>
        <v>2020</v>
      </c>
      <c r="J178" s="27">
        <f ca="1">YEAR(TODAY())-YEAR(Table_Final_Staff[[#This Row],[Date Joined]])</f>
        <v>3</v>
      </c>
      <c r="K178" s="35">
        <f ca="1">IF(Table_Final_Staff[[#This Row],[Tenure (Years)]]&gt;2,Table_Final_Staff[[#This Row],[Salary]]*1.1,Table_Final_Staff[[#This Row],[Salary]]*1.05)</f>
        <v>71896</v>
      </c>
    </row>
    <row r="179" spans="1:11" x14ac:dyDescent="0.3">
      <c r="A179" s="27" t="s">
        <v>66</v>
      </c>
      <c r="B179" s="27" t="s">
        <v>8</v>
      </c>
      <c r="C179" s="12">
        <v>32</v>
      </c>
      <c r="D179" s="27" t="s">
        <v>16</v>
      </c>
      <c r="E179" s="28">
        <v>44611</v>
      </c>
      <c r="F179" s="27" t="s">
        <v>9</v>
      </c>
      <c r="G179" s="35">
        <v>41570</v>
      </c>
      <c r="H179" s="27" t="s">
        <v>207</v>
      </c>
      <c r="I179" s="27">
        <f t="shared" si="5"/>
        <v>2022</v>
      </c>
      <c r="J179" s="27">
        <f ca="1">YEAR(TODAY())-YEAR(Table_Final_Staff[[#This Row],[Date Joined]])</f>
        <v>1</v>
      </c>
      <c r="K179" s="35">
        <f ca="1">IF(Table_Final_Staff[[#This Row],[Tenure (Years)]]&gt;2,Table_Final_Staff[[#This Row],[Salary]]*1.1,Table_Final_Staff[[#This Row],[Salary]]*1.05)</f>
        <v>43648.5</v>
      </c>
    </row>
    <row r="180" spans="1:11" x14ac:dyDescent="0.3">
      <c r="A180" s="27" t="s">
        <v>95</v>
      </c>
      <c r="B180" s="27" t="s">
        <v>8</v>
      </c>
      <c r="C180" s="12">
        <v>33</v>
      </c>
      <c r="D180" s="27" t="s">
        <v>16</v>
      </c>
      <c r="E180" s="28">
        <v>44312</v>
      </c>
      <c r="F180" s="27" t="s">
        <v>12</v>
      </c>
      <c r="G180" s="35">
        <v>75280</v>
      </c>
      <c r="H180" s="27" t="s">
        <v>207</v>
      </c>
      <c r="I180" s="27">
        <f t="shared" si="5"/>
        <v>2021</v>
      </c>
      <c r="J180" s="27">
        <f ca="1">YEAR(TODAY())-YEAR(Table_Final_Staff[[#This Row],[Date Joined]])</f>
        <v>2</v>
      </c>
      <c r="K180" s="35">
        <f ca="1">IF(Table_Final_Staff[[#This Row],[Tenure (Years)]]&gt;2,Table_Final_Staff[[#This Row],[Salary]]*1.1,Table_Final_Staff[[#This Row],[Salary]]*1.05)</f>
        <v>79044</v>
      </c>
    </row>
    <row r="181" spans="1:11" x14ac:dyDescent="0.3">
      <c r="A181" s="27" t="s">
        <v>18</v>
      </c>
      <c r="B181" s="27" t="s">
        <v>15</v>
      </c>
      <c r="C181" s="12">
        <v>33</v>
      </c>
      <c r="D181" s="27" t="s">
        <v>16</v>
      </c>
      <c r="E181" s="28">
        <v>44385</v>
      </c>
      <c r="F181" s="27" t="s">
        <v>19</v>
      </c>
      <c r="G181" s="35">
        <v>74550</v>
      </c>
      <c r="H181" s="27" t="s">
        <v>207</v>
      </c>
      <c r="I181" s="27">
        <f t="shared" si="5"/>
        <v>2021</v>
      </c>
      <c r="J181" s="27">
        <f ca="1">YEAR(TODAY())-YEAR(Table_Final_Staff[[#This Row],[Date Joined]])</f>
        <v>2</v>
      </c>
      <c r="K181" s="35">
        <f ca="1">IF(Table_Final_Staff[[#This Row],[Tenure (Years)]]&gt;2,Table_Final_Staff[[#This Row],[Salary]]*1.1,Table_Final_Staff[[#This Row],[Salary]]*1.05)</f>
        <v>78277.5</v>
      </c>
    </row>
    <row r="182" spans="1:11" x14ac:dyDescent="0.3">
      <c r="A182" s="27" t="s">
        <v>45</v>
      </c>
      <c r="B182" s="27" t="s">
        <v>15</v>
      </c>
      <c r="C182" s="12">
        <v>30</v>
      </c>
      <c r="D182" s="27" t="s">
        <v>16</v>
      </c>
      <c r="E182" s="28">
        <v>44701</v>
      </c>
      <c r="F182" s="27" t="s">
        <v>9</v>
      </c>
      <c r="G182" s="35">
        <v>67950</v>
      </c>
      <c r="H182" s="27" t="s">
        <v>207</v>
      </c>
      <c r="I182" s="27">
        <f t="shared" si="5"/>
        <v>2022</v>
      </c>
      <c r="J182" s="27">
        <f ca="1">YEAR(TODAY())-YEAR(Table_Final_Staff[[#This Row],[Date Joined]])</f>
        <v>1</v>
      </c>
      <c r="K182" s="35">
        <f ca="1">IF(Table_Final_Staff[[#This Row],[Tenure (Years)]]&gt;2,Table_Final_Staff[[#This Row],[Salary]]*1.1,Table_Final_Staff[[#This Row],[Salary]]*1.05)</f>
        <v>71347.5</v>
      </c>
    </row>
    <row r="183" spans="1:11" x14ac:dyDescent="0.3">
      <c r="A183" s="27" t="s">
        <v>90</v>
      </c>
      <c r="B183" s="27" t="s">
        <v>15</v>
      </c>
      <c r="C183" s="12">
        <v>42</v>
      </c>
      <c r="D183" s="27" t="s">
        <v>24</v>
      </c>
      <c r="E183" s="28">
        <v>44731</v>
      </c>
      <c r="F183" s="27" t="s">
        <v>21</v>
      </c>
      <c r="G183" s="35">
        <v>70270</v>
      </c>
      <c r="H183" s="27" t="s">
        <v>207</v>
      </c>
      <c r="I183" s="27">
        <f t="shared" si="5"/>
        <v>2022</v>
      </c>
      <c r="J183" s="27">
        <f ca="1">YEAR(TODAY())-YEAR(Table_Final_Staff[[#This Row],[Date Joined]])</f>
        <v>1</v>
      </c>
      <c r="K183" s="35">
        <f ca="1">IF(Table_Final_Staff[[#This Row],[Tenure (Years)]]&gt;2,Table_Final_Staff[[#This Row],[Salary]]*1.1,Table_Final_Staff[[#This Row],[Salary]]*1.05)</f>
        <v>73783.5</v>
      </c>
    </row>
    <row r="184" spans="1:11" x14ac:dyDescent="0.3">
      <c r="A184" s="27" t="s">
        <v>46</v>
      </c>
      <c r="B184" s="27" t="s">
        <v>15</v>
      </c>
      <c r="C184" s="12">
        <v>26</v>
      </c>
      <c r="D184" s="27" t="s">
        <v>16</v>
      </c>
      <c r="E184" s="28">
        <v>44411</v>
      </c>
      <c r="F184" s="27" t="s">
        <v>9</v>
      </c>
      <c r="G184" s="35">
        <v>53540</v>
      </c>
      <c r="H184" s="27" t="s">
        <v>207</v>
      </c>
      <c r="I184" s="27">
        <f t="shared" si="5"/>
        <v>2021</v>
      </c>
      <c r="J184" s="27">
        <f ca="1">YEAR(TODAY())-YEAR(Table_Final_Staff[[#This Row],[Date Joined]])</f>
        <v>2</v>
      </c>
      <c r="K184" s="35">
        <f ca="1">IF(Table_Final_Staff[[#This Row],[Tenure (Years)]]&gt;2,Table_Final_Staff[[#This Row],[Salary]]*1.1,Table_Final_Staff[[#This Row],[Salary]]*1.05)</f>
        <v>56217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DB38-0E93-4479-814B-730653C79625}">
  <sheetPr>
    <tabColor theme="8" tint="0.59999389629810485"/>
  </sheetPr>
  <dimension ref="A2:F19"/>
  <sheetViews>
    <sheetView workbookViewId="0">
      <selection activeCell="B19" sqref="B19"/>
    </sheetView>
  </sheetViews>
  <sheetFormatPr defaultRowHeight="14.4" x14ac:dyDescent="0.3"/>
  <cols>
    <col min="1" max="1" width="19.77734375" bestFit="1" customWidth="1"/>
    <col min="2" max="2" width="22.6640625" customWidth="1"/>
    <col min="3" max="3" width="15.6640625" customWidth="1"/>
    <col min="4" max="4" width="23.21875" customWidth="1"/>
    <col min="5" max="5" width="19" customWidth="1"/>
    <col min="6" max="6" width="16.5546875" customWidth="1"/>
    <col min="8" max="8" width="21.88671875" customWidth="1"/>
    <col min="9" max="9" width="20.6640625" customWidth="1"/>
    <col min="10" max="10" width="15.44140625" customWidth="1"/>
  </cols>
  <sheetData>
    <row r="2" spans="1:6" x14ac:dyDescent="0.3">
      <c r="A2" s="18" t="s">
        <v>230</v>
      </c>
      <c r="B2" s="18" t="s">
        <v>231</v>
      </c>
      <c r="D2" s="13"/>
      <c r="E2" s="14" t="s">
        <v>224</v>
      </c>
      <c r="F2" s="15"/>
    </row>
    <row r="3" spans="1:6" ht="15" customHeight="1" x14ac:dyDescent="0.3">
      <c r="A3" s="7" t="s">
        <v>225</v>
      </c>
      <c r="B3" s="19">
        <f>COUNTA(Table_Final_Staff[Country])</f>
        <v>183</v>
      </c>
      <c r="D3" s="6"/>
      <c r="E3" s="6" t="s">
        <v>3</v>
      </c>
      <c r="F3" s="6" t="s">
        <v>5</v>
      </c>
    </row>
    <row r="4" spans="1:6" x14ac:dyDescent="0.3">
      <c r="A4" s="7" t="s">
        <v>226</v>
      </c>
      <c r="B4" s="20">
        <f>AVERAGE(Table_Final_Staff[Salary])</f>
        <v>77173.715846994543</v>
      </c>
      <c r="D4" s="10" t="s">
        <v>208</v>
      </c>
      <c r="E4" s="8">
        <v>30.42622950819672</v>
      </c>
      <c r="F4" s="8">
        <v>77173.715846994543</v>
      </c>
    </row>
    <row r="5" spans="1:6" x14ac:dyDescent="0.3">
      <c r="A5" s="7" t="s">
        <v>227</v>
      </c>
      <c r="B5" s="20">
        <f>AVERAGE(Table_Final_Staff[Age])</f>
        <v>30.42622950819672</v>
      </c>
      <c r="D5" s="10" t="s">
        <v>209</v>
      </c>
      <c r="E5" s="8">
        <v>0.44847246017988934</v>
      </c>
      <c r="F5" s="8">
        <v>1836.4167331679823</v>
      </c>
    </row>
    <row r="6" spans="1:6" x14ac:dyDescent="0.3">
      <c r="A6" s="7" t="s">
        <v>229</v>
      </c>
      <c r="B6" s="20">
        <f ca="1">AVERAGE(Table_Final_Staff[Tenure (Years)])</f>
        <v>1.8415300546448088</v>
      </c>
      <c r="D6" s="10" t="s">
        <v>210</v>
      </c>
      <c r="E6" s="8">
        <v>30</v>
      </c>
      <c r="F6" s="8">
        <v>75000</v>
      </c>
    </row>
    <row r="7" spans="1:6" x14ac:dyDescent="0.3">
      <c r="A7" s="7" t="s">
        <v>228</v>
      </c>
      <c r="B7" s="21">
        <f>COUNTIF(Table_Final_Staff[Gender],"Female")/B3</f>
        <v>0.46994535519125685</v>
      </c>
      <c r="D7" s="10" t="s">
        <v>211</v>
      </c>
      <c r="E7" s="8">
        <v>33</v>
      </c>
      <c r="F7" s="8">
        <v>53540</v>
      </c>
    </row>
    <row r="8" spans="1:6" x14ac:dyDescent="0.3">
      <c r="A8" s="7" t="s">
        <v>232</v>
      </c>
      <c r="B8" s="21">
        <f>COUNTIF(Table_Final_Staff[Gender],"Male")/$B$3</f>
        <v>0.48633879781420764</v>
      </c>
      <c r="D8" s="10" t="s">
        <v>212</v>
      </c>
      <c r="E8" s="8">
        <v>6.066822990642124</v>
      </c>
      <c r="F8" s="8">
        <v>24842.585100352655</v>
      </c>
    </row>
    <row r="9" spans="1:6" x14ac:dyDescent="0.3">
      <c r="A9" s="7" t="s">
        <v>233</v>
      </c>
      <c r="B9" s="21">
        <f>COUNTIFS(Table_Final_Staff[Salary],"&gt;"&amp;90000)/$B$3</f>
        <v>0.34426229508196721</v>
      </c>
      <c r="D9" s="10" t="s">
        <v>213</v>
      </c>
      <c r="E9" s="8">
        <v>36.806341199783844</v>
      </c>
      <c r="F9" s="9">
        <v>617154034.46826375</v>
      </c>
    </row>
    <row r="10" spans="1:6" x14ac:dyDescent="0.3">
      <c r="D10" s="10" t="s">
        <v>214</v>
      </c>
      <c r="E10" s="8">
        <v>-0.34497569111764026</v>
      </c>
      <c r="F10" s="8">
        <v>-1.1847017536089075</v>
      </c>
    </row>
    <row r="11" spans="1:6" x14ac:dyDescent="0.3">
      <c r="D11" s="10" t="s">
        <v>215</v>
      </c>
      <c r="E11" s="8">
        <v>0.16479772889862013</v>
      </c>
      <c r="F11" s="8">
        <v>0.13478782721588098</v>
      </c>
    </row>
    <row r="12" spans="1:6" x14ac:dyDescent="0.3">
      <c r="D12" s="10" t="s">
        <v>216</v>
      </c>
      <c r="E12" s="8">
        <v>27</v>
      </c>
      <c r="F12" s="8">
        <v>85190</v>
      </c>
    </row>
    <row r="13" spans="1:6" x14ac:dyDescent="0.3">
      <c r="D13" s="10" t="s">
        <v>217</v>
      </c>
      <c r="E13" s="8">
        <v>19</v>
      </c>
      <c r="F13" s="8">
        <v>33920</v>
      </c>
    </row>
    <row r="14" spans="1:6" x14ac:dyDescent="0.3">
      <c r="D14" s="10" t="s">
        <v>218</v>
      </c>
      <c r="E14" s="8">
        <v>46</v>
      </c>
      <c r="F14" s="8">
        <v>119110</v>
      </c>
    </row>
    <row r="15" spans="1:6" x14ac:dyDescent="0.3">
      <c r="D15" s="10" t="s">
        <v>219</v>
      </c>
      <c r="E15" s="8">
        <v>5568</v>
      </c>
      <c r="F15" s="8">
        <v>14122790</v>
      </c>
    </row>
    <row r="16" spans="1:6" x14ac:dyDescent="0.3">
      <c r="D16" s="10" t="s">
        <v>220</v>
      </c>
      <c r="E16" s="8">
        <v>183</v>
      </c>
      <c r="F16" s="8">
        <v>183</v>
      </c>
    </row>
    <row r="17" spans="2:6" x14ac:dyDescent="0.3">
      <c r="D17" s="10" t="s">
        <v>221</v>
      </c>
      <c r="E17" s="8">
        <v>46</v>
      </c>
      <c r="F17" s="8">
        <v>119110</v>
      </c>
    </row>
    <row r="18" spans="2:6" x14ac:dyDescent="0.3">
      <c r="D18" s="10" t="s">
        <v>222</v>
      </c>
      <c r="E18" s="8">
        <v>19</v>
      </c>
      <c r="F18" s="8">
        <v>33920</v>
      </c>
    </row>
    <row r="19" spans="2:6" x14ac:dyDescent="0.3">
      <c r="B19" s="11"/>
      <c r="D19" s="10" t="s">
        <v>223</v>
      </c>
      <c r="E19" s="8">
        <v>0.88487387030459819</v>
      </c>
      <c r="F19" s="8">
        <v>3623.4046155669566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46FD8-158E-4EBF-9E61-0BF546178394}">
  <sheetPr>
    <tabColor rgb="FF92D050"/>
  </sheetPr>
  <dimension ref="A2:K5"/>
  <sheetViews>
    <sheetView workbookViewId="0">
      <selection activeCell="B5" sqref="B5"/>
    </sheetView>
  </sheetViews>
  <sheetFormatPr defaultRowHeight="14.4" x14ac:dyDescent="0.3"/>
  <cols>
    <col min="1" max="1" width="13.77734375" customWidth="1"/>
    <col min="2" max="2" width="28.109375" customWidth="1"/>
    <col min="3" max="3" width="29.6640625" customWidth="1"/>
    <col min="6" max="6" width="14.6640625" customWidth="1"/>
    <col min="7" max="7" width="11.6640625" customWidth="1"/>
    <col min="8" max="8" width="11.5546875" customWidth="1"/>
    <col min="11" max="11" width="14.109375" customWidth="1"/>
  </cols>
  <sheetData>
    <row r="2" spans="1:11" x14ac:dyDescent="0.3">
      <c r="B2" s="24" t="s">
        <v>235</v>
      </c>
      <c r="C2" s="22" t="s">
        <v>234</v>
      </c>
      <c r="D2" s="22"/>
      <c r="E2" s="22"/>
      <c r="F2" s="22"/>
      <c r="G2" s="22"/>
      <c r="H2" s="22"/>
      <c r="I2" s="22"/>
      <c r="J2" s="22"/>
      <c r="K2" s="22"/>
    </row>
    <row r="3" spans="1:11" x14ac:dyDescent="0.3">
      <c r="B3" s="23"/>
      <c r="C3" s="25"/>
      <c r="D3" s="25"/>
      <c r="E3" s="25"/>
      <c r="F3" s="25"/>
      <c r="G3" s="25"/>
      <c r="H3" s="25"/>
      <c r="I3" s="25"/>
      <c r="J3" s="25"/>
      <c r="K3" s="25"/>
    </row>
    <row r="4" spans="1:11" x14ac:dyDescent="0.3">
      <c r="A4" s="31" t="s">
        <v>238</v>
      </c>
      <c r="B4" s="31" t="s">
        <v>118</v>
      </c>
      <c r="C4" s="29" t="s">
        <v>0</v>
      </c>
      <c r="D4" s="26" t="s">
        <v>1</v>
      </c>
      <c r="E4" s="26" t="s">
        <v>3</v>
      </c>
      <c r="F4" s="26" t="s">
        <v>6</v>
      </c>
      <c r="G4" s="26" t="s">
        <v>4</v>
      </c>
      <c r="H4" s="26" t="s">
        <v>2</v>
      </c>
      <c r="I4" s="26" t="s">
        <v>5</v>
      </c>
      <c r="J4" s="26" t="s">
        <v>204</v>
      </c>
      <c r="K4" s="26" t="s">
        <v>236</v>
      </c>
    </row>
    <row r="5" spans="1:11" ht="43.8" customHeight="1" x14ac:dyDescent="0.3">
      <c r="A5" s="30" t="s">
        <v>239</v>
      </c>
      <c r="B5" s="31" t="str">
        <f xml:space="preserve"> H5 &amp;" - "&amp;  COUNTIF('ALL Staffs'!F:F,'EMP Info Finder'!H5)</f>
        <v>Website - 54</v>
      </c>
      <c r="C5" s="12" t="str" cm="1">
        <f t="array" ref="C5:K5">VLOOKUP(B4,'ALL Staffs'!A1:J174,{1,2,3,4,5,6,7,8,9},FALSE)</f>
        <v>Gangadutt Ragha</v>
      </c>
      <c r="D5" s="12" t="str">
        <v>Male</v>
      </c>
      <c r="E5" s="12">
        <v>37</v>
      </c>
      <c r="F5" s="12" t="str">
        <v>Poor</v>
      </c>
      <c r="G5" s="12">
        <v>44277</v>
      </c>
      <c r="H5" s="12" t="str">
        <v>Website</v>
      </c>
      <c r="I5" s="12">
        <v>88050</v>
      </c>
      <c r="J5" s="12" t="str">
        <v>IN</v>
      </c>
      <c r="K5" s="12">
        <v>2021</v>
      </c>
    </row>
  </sheetData>
  <mergeCells count="2">
    <mergeCell ref="B2:B3"/>
    <mergeCell ref="C2:K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42D012-10BE-4A28-8B1C-D2E6779069C4}">
          <x14:formula1>
            <xm:f>'ALL Staffs'!$A$2:$A$174</xm:f>
          </x14:formula1>
          <xm:sqref>B4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E053A-1BAE-4D1E-B069-60D5BE70A49B}">
  <sheetPr>
    <tabColor theme="7" tint="0.59999389629810485"/>
  </sheetPr>
  <dimension ref="B3:D8"/>
  <sheetViews>
    <sheetView workbookViewId="0">
      <selection activeCell="E17" sqref="E17"/>
    </sheetView>
  </sheetViews>
  <sheetFormatPr defaultRowHeight="14.4" x14ac:dyDescent="0.3"/>
  <cols>
    <col min="2" max="2" width="22.21875" bestFit="1" customWidth="1"/>
    <col min="3" max="3" width="15.5546875" bestFit="1" customWidth="1"/>
    <col min="4" max="4" width="10.77734375" bestFit="1" customWidth="1"/>
    <col min="5" max="5" width="10" bestFit="1" customWidth="1"/>
    <col min="6" max="6" width="10.77734375" bestFit="1" customWidth="1"/>
    <col min="7" max="13" width="23" bestFit="1" customWidth="1"/>
    <col min="14" max="15" width="18.6640625" bestFit="1" customWidth="1"/>
    <col min="16" max="16" width="20.5546875" bestFit="1" customWidth="1"/>
    <col min="17" max="17" width="27.77734375" bestFit="1" customWidth="1"/>
  </cols>
  <sheetData>
    <row r="3" spans="2:4" x14ac:dyDescent="0.3">
      <c r="C3" s="32" t="s">
        <v>240</v>
      </c>
    </row>
    <row r="4" spans="2:4" x14ac:dyDescent="0.3">
      <c r="B4" s="32" t="s">
        <v>231</v>
      </c>
      <c r="C4" t="s">
        <v>8</v>
      </c>
      <c r="D4" t="s">
        <v>241</v>
      </c>
    </row>
    <row r="5" spans="2:4" x14ac:dyDescent="0.3">
      <c r="B5" s="33" t="s">
        <v>245</v>
      </c>
      <c r="C5" s="27">
        <v>86</v>
      </c>
      <c r="D5" s="27">
        <v>86</v>
      </c>
    </row>
    <row r="6" spans="2:4" x14ac:dyDescent="0.3">
      <c r="B6" s="33" t="s">
        <v>242</v>
      </c>
      <c r="C6" s="17">
        <v>31.406976744186046</v>
      </c>
      <c r="D6" s="17">
        <v>31.406976744186046</v>
      </c>
    </row>
    <row r="7" spans="2:4" x14ac:dyDescent="0.3">
      <c r="B7" s="33" t="s">
        <v>244</v>
      </c>
      <c r="C7" s="34">
        <v>78284.186046511633</v>
      </c>
      <c r="D7" s="34">
        <v>78284.186046511633</v>
      </c>
    </row>
    <row r="8" spans="2:4" x14ac:dyDescent="0.3">
      <c r="B8" s="33" t="s">
        <v>243</v>
      </c>
      <c r="C8" s="17">
        <v>1.8488372093023255</v>
      </c>
      <c r="D8" s="17">
        <v>1.8488372093023255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516-E77A-442B-80E4-2EAA7C655486}">
  <sheetPr>
    <tabColor theme="5" tint="0.39997558519241921"/>
  </sheetPr>
  <dimension ref="A1"/>
  <sheetViews>
    <sheetView workbookViewId="0">
      <selection activeCell="J19" sqref="J19"/>
    </sheetView>
  </sheetViews>
  <sheetFormatPr defaultRowHeight="14.4" x14ac:dyDescent="0.3"/>
  <cols>
    <col min="2" max="2" width="12.5546875" bestFit="1" customWidth="1"/>
    <col min="3" max="3" width="13.88671875" bestFit="1" customWidth="1"/>
    <col min="4" max="4" width="5.21875" bestFit="1" customWidth="1"/>
    <col min="5" max="5" width="5.6640625" customWidth="1"/>
    <col min="6" max="6" width="13" customWidth="1"/>
  </cols>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042C8-DA85-4C04-BAF4-0ED741A38C4C}">
  <sheetPr>
    <tabColor rgb="FF7030A0"/>
  </sheetPr>
  <dimension ref="A1:D58"/>
  <sheetViews>
    <sheetView workbookViewId="0">
      <selection activeCell="A21" sqref="A21:D21"/>
    </sheetView>
  </sheetViews>
  <sheetFormatPr defaultRowHeight="14.4" x14ac:dyDescent="0.3"/>
  <cols>
    <col min="1" max="1" width="12.5546875" bestFit="1" customWidth="1"/>
    <col min="2" max="3" width="12.6640625" bestFit="1" customWidth="1"/>
  </cols>
  <sheetData>
    <row r="1" spans="1:2" x14ac:dyDescent="0.3">
      <c r="A1" s="32" t="s">
        <v>248</v>
      </c>
      <c r="B1" t="s">
        <v>257</v>
      </c>
    </row>
    <row r="2" spans="1:2" x14ac:dyDescent="0.3">
      <c r="A2" s="33" t="s">
        <v>249</v>
      </c>
      <c r="B2" s="5"/>
    </row>
    <row r="3" spans="1:2" x14ac:dyDescent="0.3">
      <c r="A3" s="36" t="s">
        <v>250</v>
      </c>
      <c r="B3" s="5">
        <v>4</v>
      </c>
    </row>
    <row r="4" spans="1:2" x14ac:dyDescent="0.3">
      <c r="A4" s="36" t="s">
        <v>251</v>
      </c>
      <c r="B4" s="5">
        <v>14</v>
      </c>
    </row>
    <row r="5" spans="1:2" x14ac:dyDescent="0.3">
      <c r="A5" s="36" t="s">
        <v>252</v>
      </c>
      <c r="B5" s="5">
        <v>19</v>
      </c>
    </row>
    <row r="6" spans="1:2" x14ac:dyDescent="0.3">
      <c r="A6" s="33" t="s">
        <v>253</v>
      </c>
      <c r="B6" s="5"/>
    </row>
    <row r="7" spans="1:2" x14ac:dyDescent="0.3">
      <c r="A7" s="36" t="s">
        <v>254</v>
      </c>
      <c r="B7" s="5">
        <v>19</v>
      </c>
    </row>
    <row r="8" spans="1:2" x14ac:dyDescent="0.3">
      <c r="A8" s="36" t="s">
        <v>250</v>
      </c>
      <c r="B8" s="5">
        <v>21</v>
      </c>
    </row>
    <row r="9" spans="1:2" x14ac:dyDescent="0.3">
      <c r="A9" s="36" t="s">
        <v>251</v>
      </c>
      <c r="B9" s="5">
        <v>28</v>
      </c>
    </row>
    <row r="10" spans="1:2" x14ac:dyDescent="0.3">
      <c r="A10" s="36" t="s">
        <v>252</v>
      </c>
      <c r="B10" s="5">
        <v>14</v>
      </c>
    </row>
    <row r="11" spans="1:2" x14ac:dyDescent="0.3">
      <c r="A11" s="33" t="s">
        <v>255</v>
      </c>
      <c r="B11" s="5"/>
    </row>
    <row r="12" spans="1:2" x14ac:dyDescent="0.3">
      <c r="A12" s="36" t="s">
        <v>254</v>
      </c>
      <c r="B12" s="5">
        <v>22</v>
      </c>
    </row>
    <row r="13" spans="1:2" x14ac:dyDescent="0.3">
      <c r="A13" s="36" t="s">
        <v>250</v>
      </c>
      <c r="B13" s="5">
        <v>25</v>
      </c>
    </row>
    <row r="14" spans="1:2" x14ac:dyDescent="0.3">
      <c r="A14" s="36" t="s">
        <v>251</v>
      </c>
      <c r="B14" s="5">
        <v>12</v>
      </c>
    </row>
    <row r="15" spans="1:2" x14ac:dyDescent="0.3">
      <c r="A15" s="36" t="s">
        <v>252</v>
      </c>
      <c r="B15" s="5">
        <v>3</v>
      </c>
    </row>
    <row r="16" spans="1:2" x14ac:dyDescent="0.3">
      <c r="A16" s="33" t="s">
        <v>256</v>
      </c>
      <c r="B16" s="5"/>
    </row>
    <row r="17" spans="1:4" x14ac:dyDescent="0.3">
      <c r="A17" s="36" t="s">
        <v>254</v>
      </c>
      <c r="B17" s="5">
        <v>1</v>
      </c>
    </row>
    <row r="18" spans="1:4" x14ac:dyDescent="0.3">
      <c r="A18" s="36" t="s">
        <v>250</v>
      </c>
      <c r="B18" s="5">
        <v>1</v>
      </c>
    </row>
    <row r="19" spans="1:4" x14ac:dyDescent="0.3">
      <c r="A19" s="33" t="s">
        <v>241</v>
      </c>
      <c r="B19" s="5">
        <v>183</v>
      </c>
    </row>
    <row r="21" spans="1:4" x14ac:dyDescent="0.3">
      <c r="A21" s="38" t="s">
        <v>258</v>
      </c>
      <c r="B21" s="38"/>
      <c r="C21" s="38"/>
      <c r="D21" s="38"/>
    </row>
    <row r="22" spans="1:4" x14ac:dyDescent="0.3">
      <c r="A22" t="s">
        <v>259</v>
      </c>
      <c r="B22" t="s">
        <v>260</v>
      </c>
      <c r="C22" t="s">
        <v>220</v>
      </c>
      <c r="D22" t="s">
        <v>258</v>
      </c>
    </row>
    <row r="23" spans="1:4" x14ac:dyDescent="0.3">
      <c r="A23" cm="1">
        <f t="array" ref="A23:A58">_xlfn.SEQUENCE(36)</f>
        <v>1</v>
      </c>
      <c r="B23" s="37" cm="1">
        <f t="array" ref="B23:B58">EDATE(DATE(2020,4,1),_xlfn.ANCHORARRAY(A23)+0)</f>
        <v>43952</v>
      </c>
      <c r="C23">
        <f>COUNTIFS(Table_Final_Staff[Date Joined],"&gt;="&amp;Trend!B23,Table_Final_Staff[Date Joined],"&lt;="&amp;EOMONTH(Trend!B23,0))</f>
        <v>3</v>
      </c>
      <c r="D23">
        <f>SUM($C$23:C23)</f>
        <v>3</v>
      </c>
    </row>
    <row r="24" spans="1:4" x14ac:dyDescent="0.3">
      <c r="A24">
        <v>2</v>
      </c>
      <c r="B24" s="37">
        <v>43983</v>
      </c>
      <c r="C24">
        <f>COUNTIFS(Table_Final_Staff[Date Joined],"&gt;="&amp;Trend!B24,Table_Final_Staff[Date Joined],"&lt;="&amp;EOMONTH(Trend!B24,0))</f>
        <v>1</v>
      </c>
      <c r="D24">
        <f>SUM($C$23:C24)</f>
        <v>4</v>
      </c>
    </row>
    <row r="25" spans="1:4" x14ac:dyDescent="0.3">
      <c r="A25">
        <v>3</v>
      </c>
      <c r="B25" s="37">
        <v>44013</v>
      </c>
      <c r="C25">
        <f>COUNTIFS(Table_Final_Staff[Date Joined],"&gt;="&amp;Trend!B25,Table_Final_Staff[Date Joined],"&lt;="&amp;EOMONTH(Trend!B25,0))</f>
        <v>5</v>
      </c>
      <c r="D25">
        <f>SUM($C$23:C25)</f>
        <v>9</v>
      </c>
    </row>
    <row r="26" spans="1:4" x14ac:dyDescent="0.3">
      <c r="A26">
        <v>4</v>
      </c>
      <c r="B26" s="37">
        <v>44044</v>
      </c>
      <c r="C26">
        <f>COUNTIFS(Table_Final_Staff[Date Joined],"&gt;="&amp;Trend!B26,Table_Final_Staff[Date Joined],"&lt;="&amp;EOMONTH(Trend!B26,0))</f>
        <v>3</v>
      </c>
      <c r="D26">
        <f>SUM($C$23:C26)</f>
        <v>12</v>
      </c>
    </row>
    <row r="27" spans="1:4" x14ac:dyDescent="0.3">
      <c r="A27">
        <v>5</v>
      </c>
      <c r="B27" s="37">
        <v>44075</v>
      </c>
      <c r="C27">
        <f>COUNTIFS(Table_Final_Staff[Date Joined],"&gt;="&amp;Trend!B27,Table_Final_Staff[Date Joined],"&lt;="&amp;EOMONTH(Trend!B27,0))</f>
        <v>6</v>
      </c>
      <c r="D27">
        <f>SUM($C$23:C27)</f>
        <v>18</v>
      </c>
    </row>
    <row r="28" spans="1:4" x14ac:dyDescent="0.3">
      <c r="A28">
        <v>6</v>
      </c>
      <c r="B28" s="37">
        <v>44105</v>
      </c>
      <c r="C28">
        <f>COUNTIFS(Table_Final_Staff[Date Joined],"&gt;="&amp;Trend!B28,Table_Final_Staff[Date Joined],"&lt;="&amp;EOMONTH(Trend!B28,0))</f>
        <v>6</v>
      </c>
      <c r="D28">
        <f>SUM($C$23:C28)</f>
        <v>24</v>
      </c>
    </row>
    <row r="29" spans="1:4" x14ac:dyDescent="0.3">
      <c r="A29">
        <v>7</v>
      </c>
      <c r="B29" s="37">
        <v>44136</v>
      </c>
      <c r="C29">
        <f>COUNTIFS(Table_Final_Staff[Date Joined],"&gt;="&amp;Trend!B29,Table_Final_Staff[Date Joined],"&lt;="&amp;EOMONTH(Trend!B29,0))</f>
        <v>6</v>
      </c>
      <c r="D29">
        <f>SUM($C$23:C29)</f>
        <v>30</v>
      </c>
    </row>
    <row r="30" spans="1:4" x14ac:dyDescent="0.3">
      <c r="A30">
        <v>8</v>
      </c>
      <c r="B30" s="37">
        <v>44166</v>
      </c>
      <c r="C30">
        <f>COUNTIFS(Table_Final_Staff[Date Joined],"&gt;="&amp;Trend!B30,Table_Final_Staff[Date Joined],"&lt;="&amp;EOMONTH(Trend!B30,0))</f>
        <v>7</v>
      </c>
      <c r="D30">
        <f>SUM($C$23:C30)</f>
        <v>37</v>
      </c>
    </row>
    <row r="31" spans="1:4" x14ac:dyDescent="0.3">
      <c r="A31">
        <v>9</v>
      </c>
      <c r="B31" s="37">
        <v>44197</v>
      </c>
      <c r="C31">
        <f>COUNTIFS(Table_Final_Staff[Date Joined],"&gt;="&amp;Trend!B31,Table_Final_Staff[Date Joined],"&lt;="&amp;EOMONTH(Trend!B31,0))</f>
        <v>6</v>
      </c>
      <c r="D31">
        <f>SUM($C$23:C31)</f>
        <v>43</v>
      </c>
    </row>
    <row r="32" spans="1:4" x14ac:dyDescent="0.3">
      <c r="A32">
        <v>10</v>
      </c>
      <c r="B32" s="37">
        <v>44228</v>
      </c>
      <c r="C32">
        <f>COUNTIFS(Table_Final_Staff[Date Joined],"&gt;="&amp;Trend!B32,Table_Final_Staff[Date Joined],"&lt;="&amp;EOMONTH(Trend!B32,0))</f>
        <v>4</v>
      </c>
      <c r="D32">
        <f>SUM($C$23:C32)</f>
        <v>47</v>
      </c>
    </row>
    <row r="33" spans="1:4" x14ac:dyDescent="0.3">
      <c r="A33">
        <v>11</v>
      </c>
      <c r="B33" s="37">
        <v>44256</v>
      </c>
      <c r="C33">
        <f>COUNTIFS(Table_Final_Staff[Date Joined],"&gt;="&amp;Trend!B33,Table_Final_Staff[Date Joined],"&lt;="&amp;EOMONTH(Trend!B33,0))</f>
        <v>9</v>
      </c>
      <c r="D33">
        <f>SUM($C$23:C33)</f>
        <v>56</v>
      </c>
    </row>
    <row r="34" spans="1:4" x14ac:dyDescent="0.3">
      <c r="A34">
        <v>12</v>
      </c>
      <c r="B34" s="37">
        <v>44287</v>
      </c>
      <c r="C34">
        <f>COUNTIFS(Table_Final_Staff[Date Joined],"&gt;="&amp;Trend!B34,Table_Final_Staff[Date Joined],"&lt;="&amp;EOMONTH(Trend!B34,0))</f>
        <v>5</v>
      </c>
      <c r="D34">
        <f>SUM($C$23:C34)</f>
        <v>61</v>
      </c>
    </row>
    <row r="35" spans="1:4" x14ac:dyDescent="0.3">
      <c r="A35">
        <v>13</v>
      </c>
      <c r="B35" s="37">
        <v>44317</v>
      </c>
      <c r="C35">
        <f>COUNTIFS(Table_Final_Staff[Date Joined],"&gt;="&amp;Trend!B35,Table_Final_Staff[Date Joined],"&lt;="&amp;EOMONTH(Trend!B35,0))</f>
        <v>10</v>
      </c>
      <c r="D35">
        <f>SUM($C$23:C35)</f>
        <v>71</v>
      </c>
    </row>
    <row r="36" spans="1:4" x14ac:dyDescent="0.3">
      <c r="A36">
        <v>14</v>
      </c>
      <c r="B36" s="37">
        <v>44348</v>
      </c>
      <c r="C36">
        <f>COUNTIFS(Table_Final_Staff[Date Joined],"&gt;="&amp;Trend!B36,Table_Final_Staff[Date Joined],"&lt;="&amp;EOMONTH(Trend!B36,0))</f>
        <v>6</v>
      </c>
      <c r="D36">
        <f>SUM($C$23:C36)</f>
        <v>77</v>
      </c>
    </row>
    <row r="37" spans="1:4" x14ac:dyDescent="0.3">
      <c r="A37">
        <v>15</v>
      </c>
      <c r="B37" s="37">
        <v>44378</v>
      </c>
      <c r="C37">
        <f>COUNTIFS(Table_Final_Staff[Date Joined],"&gt;="&amp;Trend!B37,Table_Final_Staff[Date Joined],"&lt;="&amp;EOMONTH(Trend!B37,0))</f>
        <v>13</v>
      </c>
      <c r="D37">
        <f>SUM($C$23:C37)</f>
        <v>90</v>
      </c>
    </row>
    <row r="38" spans="1:4" x14ac:dyDescent="0.3">
      <c r="A38">
        <v>16</v>
      </c>
      <c r="B38" s="37">
        <v>44409</v>
      </c>
      <c r="C38">
        <f>COUNTIFS(Table_Final_Staff[Date Joined],"&gt;="&amp;Trend!B38,Table_Final_Staff[Date Joined],"&lt;="&amp;EOMONTH(Trend!B38,0))</f>
        <v>4</v>
      </c>
      <c r="D38">
        <f>SUM($C$23:C38)</f>
        <v>94</v>
      </c>
    </row>
    <row r="39" spans="1:4" x14ac:dyDescent="0.3">
      <c r="A39">
        <v>17</v>
      </c>
      <c r="B39" s="37">
        <v>44440</v>
      </c>
      <c r="C39">
        <f>COUNTIFS(Table_Final_Staff[Date Joined],"&gt;="&amp;Trend!B39,Table_Final_Staff[Date Joined],"&lt;="&amp;EOMONTH(Trend!B39,0))</f>
        <v>11</v>
      </c>
      <c r="D39">
        <f>SUM($C$23:C39)</f>
        <v>105</v>
      </c>
    </row>
    <row r="40" spans="1:4" x14ac:dyDescent="0.3">
      <c r="A40">
        <v>18</v>
      </c>
      <c r="B40" s="37">
        <v>44470</v>
      </c>
      <c r="C40">
        <f>COUNTIFS(Table_Final_Staff[Date Joined],"&gt;="&amp;Trend!B40,Table_Final_Staff[Date Joined],"&lt;="&amp;EOMONTH(Trend!B40,0))</f>
        <v>3</v>
      </c>
      <c r="D40">
        <f>SUM($C$23:C40)</f>
        <v>108</v>
      </c>
    </row>
    <row r="41" spans="1:4" x14ac:dyDescent="0.3">
      <c r="A41">
        <v>19</v>
      </c>
      <c r="B41" s="37">
        <v>44501</v>
      </c>
      <c r="C41">
        <f>COUNTIFS(Table_Final_Staff[Date Joined],"&gt;="&amp;Trend!B41,Table_Final_Staff[Date Joined],"&lt;="&amp;EOMONTH(Trend!B41,0))</f>
        <v>4</v>
      </c>
      <c r="D41">
        <f>SUM($C$23:C41)</f>
        <v>112</v>
      </c>
    </row>
    <row r="42" spans="1:4" x14ac:dyDescent="0.3">
      <c r="A42">
        <v>20</v>
      </c>
      <c r="B42" s="37">
        <v>44531</v>
      </c>
      <c r="C42">
        <f>COUNTIFS(Table_Final_Staff[Date Joined],"&gt;="&amp;Trend!B42,Table_Final_Staff[Date Joined],"&lt;="&amp;EOMONTH(Trend!B42,0))</f>
        <v>7</v>
      </c>
      <c r="D42">
        <f>SUM($C$23:C42)</f>
        <v>119</v>
      </c>
    </row>
    <row r="43" spans="1:4" x14ac:dyDescent="0.3">
      <c r="A43">
        <v>21</v>
      </c>
      <c r="B43" s="37">
        <v>44562</v>
      </c>
      <c r="C43">
        <f>COUNTIFS(Table_Final_Staff[Date Joined],"&gt;="&amp;Trend!B43,Table_Final_Staff[Date Joined],"&lt;="&amp;EOMONTH(Trend!B43,0))</f>
        <v>3</v>
      </c>
      <c r="D43">
        <f>SUM($C$23:C43)</f>
        <v>122</v>
      </c>
    </row>
    <row r="44" spans="1:4" x14ac:dyDescent="0.3">
      <c r="A44">
        <v>22</v>
      </c>
      <c r="B44" s="37">
        <v>44593</v>
      </c>
      <c r="C44">
        <f>COUNTIFS(Table_Final_Staff[Date Joined],"&gt;="&amp;Trend!B44,Table_Final_Staff[Date Joined],"&lt;="&amp;EOMONTH(Trend!B44,0))</f>
        <v>10</v>
      </c>
      <c r="D44">
        <f>SUM($C$23:C44)</f>
        <v>132</v>
      </c>
    </row>
    <row r="45" spans="1:4" x14ac:dyDescent="0.3">
      <c r="A45">
        <v>23</v>
      </c>
      <c r="B45" s="37">
        <v>44621</v>
      </c>
      <c r="C45">
        <f>COUNTIFS(Table_Final_Staff[Date Joined],"&gt;="&amp;Trend!B45,Table_Final_Staff[Date Joined],"&lt;="&amp;EOMONTH(Trend!B45,0))</f>
        <v>9</v>
      </c>
      <c r="D45">
        <f>SUM($C$23:C45)</f>
        <v>141</v>
      </c>
    </row>
    <row r="46" spans="1:4" x14ac:dyDescent="0.3">
      <c r="A46">
        <v>24</v>
      </c>
      <c r="B46" s="37">
        <v>44652</v>
      </c>
      <c r="C46">
        <f>COUNTIFS(Table_Final_Staff[Date Joined],"&gt;="&amp;Trend!B46,Table_Final_Staff[Date Joined],"&lt;="&amp;EOMONTH(Trend!B46,0))</f>
        <v>9</v>
      </c>
      <c r="D46">
        <f>SUM($C$23:C46)</f>
        <v>150</v>
      </c>
    </row>
    <row r="47" spans="1:4" x14ac:dyDescent="0.3">
      <c r="A47">
        <v>25</v>
      </c>
      <c r="B47" s="37">
        <v>44682</v>
      </c>
      <c r="C47">
        <f>COUNTIFS(Table_Final_Staff[Date Joined],"&gt;="&amp;Trend!B47,Table_Final_Staff[Date Joined],"&lt;="&amp;EOMONTH(Trend!B47,0))</f>
        <v>9</v>
      </c>
      <c r="D47">
        <f>SUM($C$23:C47)</f>
        <v>159</v>
      </c>
    </row>
    <row r="48" spans="1:4" x14ac:dyDescent="0.3">
      <c r="A48">
        <v>26</v>
      </c>
      <c r="B48" s="37">
        <v>44713</v>
      </c>
      <c r="C48">
        <f>COUNTIFS(Table_Final_Staff[Date Joined],"&gt;="&amp;Trend!B48,Table_Final_Staff[Date Joined],"&lt;="&amp;EOMONTH(Trend!B48,0))</f>
        <v>7</v>
      </c>
      <c r="D48">
        <f>SUM($C$23:C48)</f>
        <v>166</v>
      </c>
    </row>
    <row r="49" spans="1:4" x14ac:dyDescent="0.3">
      <c r="A49">
        <v>27</v>
      </c>
      <c r="B49" s="37">
        <v>44743</v>
      </c>
      <c r="C49">
        <f>COUNTIFS(Table_Final_Staff[Date Joined],"&gt;="&amp;Trend!B49,Table_Final_Staff[Date Joined],"&lt;="&amp;EOMONTH(Trend!B49,0))</f>
        <v>5</v>
      </c>
      <c r="D49">
        <f>SUM($C$23:C49)</f>
        <v>171</v>
      </c>
    </row>
    <row r="50" spans="1:4" x14ac:dyDescent="0.3">
      <c r="A50">
        <v>28</v>
      </c>
      <c r="B50" s="37">
        <v>44774</v>
      </c>
      <c r="C50">
        <f>COUNTIFS(Table_Final_Staff[Date Joined],"&gt;="&amp;Trend!B50,Table_Final_Staff[Date Joined],"&lt;="&amp;EOMONTH(Trend!B50,0))</f>
        <v>5</v>
      </c>
      <c r="D50">
        <f>SUM($C$23:C50)</f>
        <v>176</v>
      </c>
    </row>
    <row r="51" spans="1:4" x14ac:dyDescent="0.3">
      <c r="A51">
        <v>29</v>
      </c>
      <c r="B51" s="37">
        <v>44805</v>
      </c>
      <c r="C51">
        <f>COUNTIFS(Table_Final_Staff[Date Joined],"&gt;="&amp;Trend!B51,Table_Final_Staff[Date Joined],"&lt;="&amp;EOMONTH(Trend!B51,0))</f>
        <v>2</v>
      </c>
      <c r="D51">
        <f>SUM($C$23:C51)</f>
        <v>178</v>
      </c>
    </row>
    <row r="52" spans="1:4" x14ac:dyDescent="0.3">
      <c r="A52">
        <v>30</v>
      </c>
      <c r="B52" s="37">
        <v>44835</v>
      </c>
      <c r="C52">
        <f>COUNTIFS(Table_Final_Staff[Date Joined],"&gt;="&amp;Trend!B52,Table_Final_Staff[Date Joined],"&lt;="&amp;EOMONTH(Trend!B52,0))</f>
        <v>3</v>
      </c>
      <c r="D52">
        <f>SUM($C$23:C52)</f>
        <v>181</v>
      </c>
    </row>
    <row r="53" spans="1:4" x14ac:dyDescent="0.3">
      <c r="A53">
        <v>31</v>
      </c>
      <c r="B53" s="37">
        <v>44866</v>
      </c>
      <c r="C53">
        <f>COUNTIFS(Table_Final_Staff[Date Joined],"&gt;="&amp;Trend!B53,Table_Final_Staff[Date Joined],"&lt;="&amp;EOMONTH(Trend!B53,0))</f>
        <v>0</v>
      </c>
      <c r="D53">
        <f>SUM($C$23:C53)</f>
        <v>181</v>
      </c>
    </row>
    <row r="54" spans="1:4" x14ac:dyDescent="0.3">
      <c r="A54">
        <v>32</v>
      </c>
      <c r="B54" s="37">
        <v>44896</v>
      </c>
      <c r="C54">
        <f>COUNTIFS(Table_Final_Staff[Date Joined],"&gt;="&amp;Trend!B54,Table_Final_Staff[Date Joined],"&lt;="&amp;EOMONTH(Trend!B54,0))</f>
        <v>0</v>
      </c>
      <c r="D54">
        <f>SUM($C$23:C54)</f>
        <v>181</v>
      </c>
    </row>
    <row r="55" spans="1:4" x14ac:dyDescent="0.3">
      <c r="A55">
        <v>33</v>
      </c>
      <c r="B55" s="37">
        <v>44927</v>
      </c>
      <c r="C55">
        <f>COUNTIFS(Table_Final_Staff[Date Joined],"&gt;="&amp;Trend!B55,Table_Final_Staff[Date Joined],"&lt;="&amp;EOMONTH(Trend!B55,0))</f>
        <v>0</v>
      </c>
      <c r="D55">
        <f>SUM($C$23:C55)</f>
        <v>181</v>
      </c>
    </row>
    <row r="56" spans="1:4" x14ac:dyDescent="0.3">
      <c r="A56">
        <v>34</v>
      </c>
      <c r="B56" s="37">
        <v>44958</v>
      </c>
      <c r="C56">
        <f>COUNTIFS(Table_Final_Staff[Date Joined],"&gt;="&amp;Trend!B56,Table_Final_Staff[Date Joined],"&lt;="&amp;EOMONTH(Trend!B56,0))</f>
        <v>1</v>
      </c>
      <c r="D56">
        <f>SUM($C$23:C56)</f>
        <v>182</v>
      </c>
    </row>
    <row r="57" spans="1:4" x14ac:dyDescent="0.3">
      <c r="A57">
        <v>35</v>
      </c>
      <c r="B57" s="37">
        <v>44986</v>
      </c>
      <c r="C57">
        <f>COUNTIFS(Table_Final_Staff[Date Joined],"&gt;="&amp;Trend!B57,Table_Final_Staff[Date Joined],"&lt;="&amp;EOMONTH(Trend!B57,0))</f>
        <v>0</v>
      </c>
      <c r="D57">
        <f>SUM($C$23:C57)</f>
        <v>182</v>
      </c>
    </row>
    <row r="58" spans="1:4" x14ac:dyDescent="0.3">
      <c r="A58">
        <v>36</v>
      </c>
      <c r="B58" s="37">
        <v>45017</v>
      </c>
      <c r="C58">
        <f>COUNTIFS(Table_Final_Staff[Date Joined],"&gt;="&amp;Trend!B58,Table_Final_Staff[Date Joined],"&lt;="&amp;EOMONTH(Trend!B58,0))</f>
        <v>1</v>
      </c>
      <c r="D58">
        <f>SUM($C$23:C58)</f>
        <v>183</v>
      </c>
    </row>
  </sheetData>
  <mergeCells count="1">
    <mergeCell ref="A21:D21"/>
  </mergeCell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9965-2269-4E32-B130-D5ECDA66EBCF}">
  <sheetPr>
    <tabColor rgb="FF00FFCC"/>
  </sheetPr>
  <dimension ref="B11:N12"/>
  <sheetViews>
    <sheetView showGridLines="0" tabSelected="1" zoomScale="70" zoomScaleNormal="70" workbookViewId="0">
      <selection activeCell="S12" sqref="S12"/>
    </sheetView>
  </sheetViews>
  <sheetFormatPr defaultRowHeight="14.4" x14ac:dyDescent="0.3"/>
  <cols>
    <col min="2" max="5" width="20.77734375" customWidth="1"/>
    <col min="8" max="8" width="7.33203125" customWidth="1"/>
    <col min="9" max="9" width="16" customWidth="1"/>
    <col min="10" max="10" width="7.33203125" customWidth="1"/>
    <col min="11" max="15" width="20.77734375" customWidth="1"/>
  </cols>
  <sheetData>
    <row r="11" spans="2:14" ht="16.2" x14ac:dyDescent="0.3">
      <c r="B11" s="39" t="s">
        <v>261</v>
      </c>
      <c r="C11" s="39" t="s">
        <v>262</v>
      </c>
      <c r="D11" s="41" t="s">
        <v>263</v>
      </c>
      <c r="E11" s="39" t="s">
        <v>264</v>
      </c>
      <c r="K11" s="40" t="s">
        <v>261</v>
      </c>
      <c r="L11" s="40" t="s">
        <v>262</v>
      </c>
      <c r="M11" s="40" t="s">
        <v>263</v>
      </c>
      <c r="N11" s="40" t="s">
        <v>264</v>
      </c>
    </row>
    <row r="12" spans="2:14" ht="88.2" customHeight="1" x14ac:dyDescent="0.3">
      <c r="B12" s="42">
        <f>AVERAGEIFS(Table_Final_Staff[Salary],Table_Final_Staff[Country],"NZ")</f>
        <v>76978.791208791212</v>
      </c>
      <c r="C12" s="43">
        <f>AVERAGEIF(Table_Final_Staff[Country],"NZ",Table_Final_Staff[Age])</f>
        <v>30.395604395604394</v>
      </c>
      <c r="D12" s="44">
        <f>COUNTIFS(Table_Final_Staff[Gender],"Female",Table_Final_Staff[Country],"NZ")/COUNTIF(Table_Final_Staff[Country],"NZ")</f>
        <v>0.47252747252747251</v>
      </c>
      <c r="E12" s="44">
        <f>COUNTIFS(Table_Final_Staff[Gender],"Male",Table_Final_Staff[Country],"NZ")/COUNTIF(Table_Final_Staff[Country],"NZ")</f>
        <v>0.48351648351648352</v>
      </c>
      <c r="K12" s="45">
        <f>AVERAGEIFS(Table_Final_Staff[Salary],Table_Final_Staff[Country],"IN")</f>
        <v>77366.521739130432</v>
      </c>
      <c r="L12" s="46">
        <f>AVERAGEIF(Table_Final_Staff[Country],"IN",Table_Final_Staff[Age])</f>
        <v>30.456521739130434</v>
      </c>
      <c r="M12" s="47">
        <f>COUNTIFS(Table_Final_Staff[Gender],"Female",Table_Final_Staff[Country],"IN")/COUNTIF(Table_Final_Staff[Country],"IN")</f>
        <v>0.46739130434782611</v>
      </c>
      <c r="N12" s="47">
        <f>COUNTIFS(Table_Final_Staff[Gender],"Male",Table_Final_Staff[Country],"IN")/COUNTIF(Table_Final_Staff[Country],"IN")</f>
        <v>0.4891304347826087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2C6D-6885-4160-AAE2-7664D1D3859A}">
  <dimension ref="A1:F9"/>
  <sheetViews>
    <sheetView workbookViewId="0">
      <selection activeCell="L7" sqref="L7"/>
    </sheetView>
  </sheetViews>
  <sheetFormatPr defaultRowHeight="14.4" x14ac:dyDescent="0.3"/>
  <cols>
    <col min="1" max="1" width="12.5546875" bestFit="1" customWidth="1"/>
    <col min="2" max="3" width="13.88671875" bestFit="1" customWidth="1"/>
    <col min="5" max="5" width="12.5546875" bestFit="1" customWidth="1"/>
    <col min="6" max="6" width="13.88671875" customWidth="1"/>
  </cols>
  <sheetData>
    <row r="1" spans="1:6" x14ac:dyDescent="0.3">
      <c r="A1" s="48" t="s">
        <v>204</v>
      </c>
      <c r="B1" s="48" t="s" vm="1">
        <v>205</v>
      </c>
      <c r="E1" s="32" t="s">
        <v>204</v>
      </c>
      <c r="F1" t="s" vm="2">
        <v>207</v>
      </c>
    </row>
    <row r="3" spans="1:6" x14ac:dyDescent="0.3">
      <c r="A3" s="48" t="s">
        <v>248</v>
      </c>
      <c r="B3" s="48" t="s">
        <v>245</v>
      </c>
      <c r="E3" s="32" t="s">
        <v>248</v>
      </c>
      <c r="F3" t="s">
        <v>245</v>
      </c>
    </row>
    <row r="4" spans="1:6" x14ac:dyDescent="0.3">
      <c r="A4" s="33" t="s">
        <v>56</v>
      </c>
      <c r="B4" s="5">
        <v>4</v>
      </c>
      <c r="E4" s="33" t="s">
        <v>56</v>
      </c>
      <c r="F4" s="5">
        <v>4</v>
      </c>
    </row>
    <row r="5" spans="1:6" x14ac:dyDescent="0.3">
      <c r="A5" s="33" t="s">
        <v>19</v>
      </c>
      <c r="B5" s="5">
        <v>14</v>
      </c>
      <c r="E5" s="33" t="s">
        <v>19</v>
      </c>
      <c r="F5" s="5">
        <v>14</v>
      </c>
    </row>
    <row r="6" spans="1:6" x14ac:dyDescent="0.3">
      <c r="A6" s="33" t="s">
        <v>21</v>
      </c>
      <c r="B6" s="5">
        <v>19</v>
      </c>
      <c r="E6" s="33" t="s">
        <v>21</v>
      </c>
      <c r="F6" s="5">
        <v>19</v>
      </c>
    </row>
    <row r="7" spans="1:6" x14ac:dyDescent="0.3">
      <c r="A7" s="33" t="s">
        <v>12</v>
      </c>
      <c r="B7" s="5">
        <v>27</v>
      </c>
      <c r="E7" s="33" t="s">
        <v>9</v>
      </c>
      <c r="F7" s="5">
        <v>27</v>
      </c>
    </row>
    <row r="8" spans="1:6" x14ac:dyDescent="0.3">
      <c r="A8" s="33" t="s">
        <v>9</v>
      </c>
      <c r="B8" s="5">
        <v>28</v>
      </c>
      <c r="E8" s="33" t="s">
        <v>12</v>
      </c>
      <c r="F8" s="5">
        <v>27</v>
      </c>
    </row>
    <row r="9" spans="1:6" x14ac:dyDescent="0.3">
      <c r="A9" s="49" t="s">
        <v>241</v>
      </c>
      <c r="B9" s="50">
        <v>92</v>
      </c>
      <c r="E9" s="33" t="s">
        <v>241</v>
      </c>
      <c r="F9" s="5">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EB0A7D-734B-418A-89CB-B78970D83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NZ Staff</vt:lpstr>
      <vt:lpstr>India Staff</vt:lpstr>
      <vt:lpstr>ALL Staffs</vt:lpstr>
      <vt:lpstr>Summary </vt:lpstr>
      <vt:lpstr>EMP Info Finder</vt:lpstr>
      <vt:lpstr>Male vs Female</vt:lpstr>
      <vt:lpstr>Charts</vt:lpstr>
      <vt:lpstr>Trend</vt:lpstr>
      <vt:lpstr>Country Comaprison</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Sanmeet</cp:lastModifiedBy>
  <dcterms:created xsi:type="dcterms:W3CDTF">2021-03-14T20:21:32Z</dcterms:created>
  <dcterms:modified xsi:type="dcterms:W3CDTF">2023-07-25T05:57:19Z</dcterms:modified>
</cp:coreProperties>
</file>