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<sst xmlns="http://schemas.openxmlformats.org/spreadsheetml/2006/main" count="48" uniqueCount="39">
  <si>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Stage no.</t>
  </si>
  <si>
    <t>total mass ( T)</t>
  </si>
  <si>
    <t>propellent mass (mp) (T)</t>
  </si>
  <si>
    <t>structural mass (ms) (T)</t>
  </si>
  <si>
    <t>Isp(s)</t>
  </si>
  <si>
    <t>Burn time (s)</t>
  </si>
  <si>
    <t>Burn rate (kg/s)</t>
  </si>
  <si>
    <t>payload</t>
  </si>
  <si>
    <t>stage 2</t>
  </si>
  <si>
    <t>stage 1</t>
  </si>
  <si>
    <t>booster stage*2</t>
  </si>
  <si>
    <t xml:space="preserve">total </t>
  </si>
  <si>
    <t xml:space="preserve"> From Ignition till solid boosters burn-out ( 0-108 sec)</t>
  </si>
  <si>
    <t>m0 (T)</t>
  </si>
  <si>
    <t>mp0 (T)</t>
  </si>
  <si>
    <t>Isp0 (T)</t>
  </si>
  <si>
    <t>mp (T)</t>
  </si>
  <si>
    <t>mp1(T)</t>
  </si>
  <si>
    <t>Vb (m/s)</t>
  </si>
  <si>
    <t>Hb0 (m)</t>
  </si>
  <si>
    <t>Hb(km)</t>
  </si>
  <si>
    <t>final velocity (m/s)</t>
  </si>
  <si>
    <t>final altiutde (m)</t>
  </si>
  <si>
    <t>Till stage 1 jettison (108-400 sec)</t>
  </si>
  <si>
    <t>t</t>
  </si>
  <si>
    <t>thetao</t>
  </si>
  <si>
    <t>q</t>
  </si>
  <si>
    <t>mb (T)</t>
  </si>
  <si>
    <t>V1</t>
  </si>
  <si>
    <t>thetab</t>
  </si>
  <si>
    <t>H1</t>
  </si>
  <si>
    <t>h(km)</t>
  </si>
  <si>
    <t>Till stage 2 jettison (400-940 sec)</t>
  </si>
  <si>
    <t>mo(t)</t>
  </si>
  <si>
    <t>mb(t)</t>
  </si>
  <si>
    <t>v(b)</t>
  </si>
  <si>
    <t>k</t>
  </si>
  <si>
    <t>h(b)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</si>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</sst>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63"/>
    <col customWidth="1" min="3" max="3" width="20.75"/>
    <col customWidth="1" min="4" max="4" width="19.13"/>
    <col customWidth="1" min="5" max="5" width="13.13"/>
    <col customWidth="1" min="6" max="6" width="11.75"/>
    <col customWidth="1" min="7" max="7" width="13.5"/>
    <col customWidth="1" min="8" max="8" width="13.13"/>
    <col customWidth="1" min="9" max="26" width="7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7</v>
      </c>
      <c r="B2" s="3">
        <v>1.4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 t="s">
        <v>8</v>
      </c>
      <c r="B3" s="3">
        <v>20.0</v>
      </c>
      <c r="C3" s="3">
        <v>16.9</v>
      </c>
      <c r="D3" s="1">
        <f t="shared" ref="D3:D5" si="1">B3-C3</f>
        <v>3.1</v>
      </c>
      <c r="E3" s="3">
        <v>448.0</v>
      </c>
      <c r="F3" s="3">
        <v>530.0</v>
      </c>
      <c r="G3" s="1">
        <f t="shared" ref="G3:G5" si="2">C3*1000/F3</f>
        <v>31.88679245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9</v>
      </c>
      <c r="B4" s="3">
        <v>114.0</v>
      </c>
      <c r="C4" s="3">
        <v>101.0</v>
      </c>
      <c r="D4" s="1">
        <f t="shared" si="1"/>
        <v>13</v>
      </c>
      <c r="E4" s="3">
        <v>440.0</v>
      </c>
      <c r="F4" s="3">
        <v>390.0</v>
      </c>
      <c r="G4" s="1">
        <f t="shared" si="2"/>
        <v>258.974359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 t="s">
        <v>10</v>
      </c>
      <c r="B5" s="3">
        <v>151.0</v>
      </c>
      <c r="C5" s="3">
        <v>130.0</v>
      </c>
      <c r="D5" s="1">
        <f t="shared" si="1"/>
        <v>21</v>
      </c>
      <c r="E5" s="3">
        <v>283.0</v>
      </c>
      <c r="F5" s="3">
        <v>108.0</v>
      </c>
      <c r="G5" s="1">
        <f t="shared" si="2"/>
        <v>1203.703704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 t="s">
        <v>11</v>
      </c>
      <c r="B6" s="1">
        <f>B2+B3+B4+B5</f>
        <v>286.4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3" t="s">
        <v>12</v>
      </c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 t="s">
        <v>13</v>
      </c>
      <c r="B9" s="1">
        <f>B2+B3+B4+B5</f>
        <v>286.4</v>
      </c>
      <c r="C9" s="1" t="s">
        <v>14</v>
      </c>
      <c r="D9" s="3">
        <v>130.0</v>
      </c>
      <c r="E9" s="3" t="s">
        <v>15</v>
      </c>
      <c r="F9" s="1">
        <f>((G5*E5)+(G4*E4))/(G5+G4)</f>
        <v>310.7976237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 t="s">
        <v>16</v>
      </c>
      <c r="B10" s="1">
        <f>B9-D9-D10</f>
        <v>128.4307692</v>
      </c>
      <c r="C10" s="1" t="s">
        <v>17</v>
      </c>
      <c r="D10" s="1">
        <f>G4*F5/1000</f>
        <v>27.96923077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 t="s">
        <v>18</v>
      </c>
      <c r="B11" s="1">
        <f>9.81*F9*LN(B9/(B9-(D10+D9)))-9.81*F5</f>
        <v>1385.755883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 t="s">
        <v>19</v>
      </c>
      <c r="B12" s="1">
        <f>(B9*1000*9.81*F9/(G5+G4))*((1-(D10+D9)/B9)*LN(1-(D10+D9)/B9)+(D10+D9)/B9)-(9.81/2)*((F5)^2)</f>
        <v>57367.47145</v>
      </c>
      <c r="C12" s="1" t="s">
        <v>20</v>
      </c>
      <c r="D12" s="1">
        <f>B12/1000</f>
        <v>57.36747145</v>
      </c>
      <c r="E12" s="1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4"/>
      <c r="B14" s="5" t="s">
        <v>21</v>
      </c>
      <c r="C14" s="4">
        <f>B11</f>
        <v>1385.755883</v>
      </c>
      <c r="D14" s="5" t="s">
        <v>22</v>
      </c>
      <c r="E14" s="4">
        <f>B12</f>
        <v>57367.47145</v>
      </c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1"/>
      <c r="B15" s="3" t="s">
        <v>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2"/>
      <c r="B16" s="2"/>
      <c r="C16" s="7" t="s">
        <v>24</v>
      </c>
      <c r="D16" s="7">
        <v>292.0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 t="s">
        <v>13</v>
      </c>
      <c r="B17" s="1">
        <f>B9-D9-D10-D5</f>
        <v>107.4307692</v>
      </c>
      <c r="C17" s="1"/>
      <c r="E17" s="3" t="s">
        <v>25</v>
      </c>
      <c r="F17" s="3">
        <v>29.0</v>
      </c>
      <c r="G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3" t="s">
        <v>26</v>
      </c>
      <c r="B18" s="1">
        <f>9.81*sin(3.14*(F17/180)/B11)*180/3.14</f>
        <v>0.2052958946</v>
      </c>
      <c r="C18" s="3" t="s">
        <v>27</v>
      </c>
      <c r="D18" s="3">
        <f>B17/exp((2/(B18*3.14*E4/180))*(sin(B20*3.14/180) - sin(F17*3.14/180)))</f>
        <v>55.86291029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C19" s="1" t="s">
        <v>28</v>
      </c>
      <c r="D19" s="1">
        <f>sin(B20*3.14/180)*9.81/B18*180/3.14+B11</f>
        <v>4124.501828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3" t="s">
        <v>29</v>
      </c>
      <c r="B20" s="1">
        <f>F17+D16*B18</f>
        <v>88.94640123</v>
      </c>
      <c r="C20" s="1" t="s">
        <v>30</v>
      </c>
      <c r="D20" s="1">
        <f>9.81*(cos(2*F2*3.14/180)-cos(2*B20*3.14/180))/(4*(B18*3.14/180)*(B18*3.14/180))+B12</f>
        <v>439667.6423</v>
      </c>
      <c r="E20" s="3" t="s">
        <v>31</v>
      </c>
      <c r="F20" s="1">
        <f>D20/1000</f>
        <v>439.6676423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4"/>
      <c r="B22" s="5" t="s">
        <v>21</v>
      </c>
      <c r="C22" s="4">
        <f>D19</f>
        <v>4124.501828</v>
      </c>
      <c r="D22" s="5" t="s">
        <v>22</v>
      </c>
      <c r="E22" s="4">
        <f>D20</f>
        <v>439667.6423</v>
      </c>
      <c r="F22" s="4"/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1"/>
      <c r="B23" s="3" t="s">
        <v>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2"/>
      <c r="B24" s="2"/>
      <c r="C24" s="7" t="s">
        <v>24</v>
      </c>
      <c r="D24" s="7">
        <v>540.0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3" t="s">
        <v>33</v>
      </c>
      <c r="B25" s="1">
        <f>34.4</f>
        <v>34.4</v>
      </c>
      <c r="C25" s="1"/>
      <c r="E25" s="3" t="s">
        <v>25</v>
      </c>
      <c r="F25" s="1">
        <f>B20</f>
        <v>88.94640123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3" t="s">
        <v>34</v>
      </c>
      <c r="B26" s="1">
        <f>B2+D3</f>
        <v>4.5</v>
      </c>
      <c r="C26" s="3" t="s">
        <v>35</v>
      </c>
      <c r="D26" s="1">
        <f>B27+C22</f>
        <v>6254.187346</v>
      </c>
      <c r="E26" s="3" t="s">
        <v>29</v>
      </c>
      <c r="F26" s="3">
        <v>90.0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3" t="s">
        <v>36</v>
      </c>
      <c r="B27" s="1">
        <f>C22/((tan(F25/2*3.14/180))^(F27-1)+(tan(F25/2*3.14/180))^(F27+1))</f>
        <v>2129.685518</v>
      </c>
      <c r="C27" s="3" t="s">
        <v>37</v>
      </c>
      <c r="D27" s="1">
        <f>B27^2*(((tan(F25/2*3.14/180))^(2*(F27-1)))/(F27-1)+((tan(F25/2*3.14/180))^(2*(F27+2)))/(F27+2))/(2*9.81)+D20</f>
        <v>821612.8783</v>
      </c>
      <c r="E27" s="3" t="s">
        <v>38</v>
      </c>
      <c r="F27" s="1">
        <f>ln(B25/B26)*E3/D24</f>
        <v>1.687449383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3" t="s">
        <v>31</v>
      </c>
      <c r="D28" s="1">
        <f>D27/1000</f>
        <v>821.6128783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4"/>
      <c r="B30" s="5" t="s">
        <v>21</v>
      </c>
      <c r="C30" s="4">
        <f>D26</f>
        <v>6254.187346</v>
      </c>
      <c r="D30" s="5" t="s">
        <v>22</v>
      </c>
      <c r="E30" s="4">
        <f>D27</f>
        <v>821612.8783</v>
      </c>
      <c r="F30" s="4"/>
      <c r="G30" s="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</sheetData>
  <mergeCells count="13">
    <mergeCell ref="A31:B31"/>
    <mergeCell ref="A32:B32"/>
    <mergeCell ref="A34:B34"/>
    <mergeCell ref="A35:B35"/>
    <mergeCell ref="A37:B37"/>
    <mergeCell ref="A38:B38"/>
    <mergeCell ref="B8:F8"/>
    <mergeCell ref="B15:F15"/>
    <mergeCell ref="C17:D17"/>
    <mergeCell ref="G17:H17"/>
    <mergeCell ref="A19:B19"/>
    <mergeCell ref="B23:F23"/>
    <mergeCell ref="C25:D25"/>
  </mergeCells>
  <printOptions/>
  <pageMargins bottom="0.75" footer="0.0" header="0.0" left="0.7" right="0.7" top="0.75"/>
  <pageSetup orientation="landscape"/>
  <drawing r:id="rId1"/>
</worksheet>
</file>