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6470"/>
  </bookViews>
  <sheets>
    <sheet name="Profit computation-Jan-25" sheetId="2" r:id="rId1"/>
    <sheet name="Traditional P &amp; L - taxdis" sheetId="3" r:id="rId2"/>
    <sheet name="Input Sheet" sheetId="6" r:id="rId3"/>
    <sheet name="Product &amp; stock detail -Jan-25" sheetId="11" r:id="rId4"/>
    <sheet name="Monthly Average price-Jan-25" sheetId="1" r:id="rId5"/>
    <sheet name="Costing Breakup" sheetId="4" r:id="rId6"/>
    <sheet name="Clos Stock op cf val -Jan 25" sheetId="12" r:id="rId7"/>
    <sheet name="Quarry Stock-Val" sheetId="5" r:id="rId8"/>
    <sheet name="Cost sheet - Detailed" sheetId="10" r:id="rId9"/>
    <sheet name="Sales monthly" sheetId="7" r:id="rId10"/>
    <sheet name="Product &amp; stock detail -Jan (3)" sheetId="15" r:id="rId11"/>
    <sheet name="Product &amp; stock detail -Jan (2)" sheetId="14" r:id="rId12"/>
    <sheet name="TB-Jan-25" sheetId="8" r:id="rId13"/>
    <sheet name="Working-Jan-25" sheetId="9" r:id="rId14"/>
    <sheet name="Expenses Category" sheetId="13" r:id="rId15"/>
    <sheet name="Sheet1" sheetId="16" r:id="rId16"/>
    <sheet name="Sheet2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'Profit computation-Jan-25'!$C$5:$J$43</definedName>
    <definedName name="_xlnm._FilterDatabase" localSheetId="6" hidden="1">'Clos Stock op cf val -Jan 25'!$A$2:$J$15</definedName>
    <definedName name="_xlnm._FilterDatabase" localSheetId="12" hidden="1">'TB-Jan-25'!$I$11:$M$222</definedName>
    <definedName name="_xlnm._FilterDatabase" localSheetId="13" hidden="1">'Working-Jan-25'!$C$3:$M$590</definedName>
    <definedName name="_xlnm._FilterDatabase" localSheetId="8" hidden="1">'Cost sheet - Detailed'!$KI$10:$KY$44</definedName>
    <definedName name="_xlnm._FilterDatabase" localSheetId="2" hidden="1">'Input Sheet'!#REF!</definedName>
    <definedName name="_xlnm.Print_Area" localSheetId="8">'Cost sheet - Detailed'!$A$1:$KX$71</definedName>
    <definedName name="_xlnm.Print_Area" localSheetId="14">'Expenses Category'!$D$2:$E$14</definedName>
    <definedName name="_xlnm.Print_Area" localSheetId="4">'Monthly Average price-Jan-25'!$C$3:$F$20</definedName>
    <definedName name="_xlnm.Print_Area" localSheetId="11">'Product &amp; stock detail -Jan (2)'!$B$1:$G$38</definedName>
    <definedName name="_xlnm.Print_Area" localSheetId="10">'Product &amp; stock detail -Jan (3)'!$B$1:$G$38</definedName>
    <definedName name="_xlnm.Print_Area" localSheetId="3">'Product &amp; stock detail -Jan-25'!$B$1:$G$38</definedName>
    <definedName name="_xlnm.Print_Area" localSheetId="0">'Profit computation-Jan-25'!$E$3:$J$73</definedName>
    <definedName name="_xlnm.Print_Area" localSheetId="9">'Sales monthly'!$C$1:$N$36</definedName>
    <definedName name="_xlnm.Print_Area" localSheetId="1">'Traditional P &amp; L - taxdis'!$C$3:$H$54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tc={6E9CB40B-CEE8-4A1C-ABD7-0EF716E28345}</author>
  </authors>
  <commentList>
    <comment ref="B10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Quarry Stock</t>
        </r>
      </text>
    </comment>
  </commentList>
</comments>
</file>

<file path=xl/comments2.xml><?xml version="1.0" encoding="utf-8"?>
<comments xmlns="http://schemas.openxmlformats.org/spreadsheetml/2006/main">
  <authors>
    <author>tc={7FCEA65F-834F-48A6-9658-6B0917CA423C}</author>
    <author>tc={47BC8762-BC40-4A6B-8FFE-EB92C1ABCCF1}</author>
    <author>tc={2B41B7EC-8593-4547-A3B5-82BF7914F356}</author>
    <author>tc={FCC5A2FA-7DB2-4B45-9B3F-4081CDF3C1C2}</author>
    <author>tc={E0FF7E32-7CBB-4867-89CB-E56039992BB3}</author>
    <author>tc={971C829B-5297-457D-B142-60648E72156F}</author>
    <author>tc={7DB172F7-51E0-4D45-B75B-CBB5AA4F0286}</author>
    <author>tc={8FD406DA-5C17-43CA-BA7B-9A89D279AB31}</author>
    <author>tc={7DCF5A65-A80A-4931-8B7C-CBA3059BFFEA}</author>
    <author>tc={6E69F45B-4CBB-4DB3-976D-220C5FDB4D71}</author>
    <author>tc={D2C1A379-A3B2-404E-A747-9AD00C3BBEAD}</author>
    <author>tc={A7E10B35-4606-43F9-BFA2-C102911A7B6D}</author>
    <author>tc={7E14C8FB-85FD-4858-B1A0-F2FCACC07C0B}</author>
    <author>tc={F3936FD9-B9CF-408F-AA11-47E89BAA07B9}</author>
    <author>tc={9AAA161E-33F4-4135-B99E-5EB3E428A274}</author>
    <author>tc={CD67BAF6-ED2A-4968-A2EC-B562F19AE9A8}</author>
    <author>tc={6E25D656-E99D-4BF1-AD1E-7AA7A0F2FEF0}</author>
    <author>tc={E14C9E9C-DCA6-475A-9B65-F5D0C2949822}</author>
    <author>tc={0B68B03A-6E4D-4E0E-A640-4A928B2DD2ED}</author>
    <author>tc={2A06D403-24ED-4F10-89AF-B548AF3E0FED}</author>
    <author>tc={A8528FCB-A2DA-4391-95EC-C5320DF7D4FE}</author>
    <author>tc={EF6B38DC-1AAF-406D-9207-D69DA7B322D7}</author>
    <author>tc={54764B28-422D-40B8-AF12-DB3A6868F292}</author>
    <author>tc={45DE3654-47DF-4BB1-BE96-B7ED63BC1B1D}</author>
    <author>tc={D082CA42-E0E3-4117-9967-B12CE8BD0620}</author>
    <author>tc={6DE7119E-3DB0-41DE-9E69-9EA9F6B83424}</author>
    <author>tc={67B5A507-2F14-4140-AA81-FE2F9EFC4F3F}</author>
    <author>tc={91EC0E5F-C1F4-42B1-AFF8-16A0C5EE80CC}</author>
    <author>tc={0258023C-B0FA-4270-8973-FF232FE518F0}</author>
    <author>tc={98722CA6-52EF-44E3-A1C8-9A978C327E40}</author>
    <author>tc={10F9F4E0-36F9-44B1-A146-4FAB8EECD7EE}</author>
  </authors>
  <commentList>
    <comment ref="CE4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G4" authorId="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I4" authorId="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K4" authorId="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M4" authorId="4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O4" authorId="5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Q4" authorId="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S4" authorId="7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U4" authorId="8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W4" authorId="9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E5" authorId="1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G5" authorId="1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I5" authorId="1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K5" authorId="1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M5" authorId="14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O5" authorId="15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Q5" authorId="1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S5" authorId="17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U5" authorId="18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W5" authorId="19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E6" authorId="2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G6" authorId="21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I6" authorId="2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K6" authorId="2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M6" authorId="24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O6" authorId="25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Q6" authorId="26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S6" authorId="27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U6" authorId="28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CW6" authorId="29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 change
</t>
        </r>
      </text>
    </comment>
    <comment ref="KD35" authorId="3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Internet Expenses</t>
        </r>
      </text>
    </comment>
  </commentList>
</comments>
</file>

<file path=xl/sharedStrings.xml><?xml version="1.0" encoding="utf-8"?>
<sst xmlns="http://schemas.openxmlformats.org/spreadsheetml/2006/main" count="7343" uniqueCount="1536">
  <si>
    <t>RMK Sands</t>
  </si>
  <si>
    <t>Brown</t>
  </si>
  <si>
    <t>PROFIT COMPUTATION - Dec 2024</t>
  </si>
  <si>
    <t>Black</t>
  </si>
  <si>
    <t>PRODUCT</t>
  </si>
  <si>
    <t>Sales qty</t>
  </si>
  <si>
    <t>Average
 price per MT</t>
  </si>
  <si>
    <t>Average
 cost per MT</t>
  </si>
  <si>
    <t>Margin per MT</t>
  </si>
  <si>
    <t>Value</t>
  </si>
  <si>
    <t>White</t>
  </si>
  <si>
    <t>Revenue</t>
  </si>
  <si>
    <t>a</t>
  </si>
  <si>
    <t>12MM [Brown] - Opening</t>
  </si>
  <si>
    <t>20MM [Brown] - Opening</t>
  </si>
  <si>
    <t>Msand [Brown] - Opening</t>
  </si>
  <si>
    <t>Msand [Black] - Opening</t>
  </si>
  <si>
    <t>Psand [Black] - Opening</t>
  </si>
  <si>
    <t>12MM Black - Opening</t>
  </si>
  <si>
    <t>Psand [Brown] - Opening</t>
  </si>
  <si>
    <t>Msand [White] - Opening</t>
  </si>
  <si>
    <t>Psand [White] - Opening</t>
  </si>
  <si>
    <t>GSB - Opening</t>
  </si>
  <si>
    <t>20MM [Black] - Opening</t>
  </si>
  <si>
    <t>Dust - Opening</t>
  </si>
  <si>
    <t>WMM - Opening</t>
  </si>
  <si>
    <t>C/s</t>
  </si>
  <si>
    <t>O/S CF</t>
  </si>
  <si>
    <t>12MM [Brown]</t>
  </si>
  <si>
    <t>20MM [Brown]</t>
  </si>
  <si>
    <t>Input</t>
  </si>
  <si>
    <t>Quarry profit</t>
  </si>
  <si>
    <t>Quarry</t>
  </si>
  <si>
    <t>Crusher</t>
  </si>
  <si>
    <t>After</t>
  </si>
  <si>
    <t>Msand [Brown]</t>
  </si>
  <si>
    <t>Road Tax</t>
  </si>
  <si>
    <t>Psand [Brown]</t>
  </si>
  <si>
    <t>Interest</t>
  </si>
  <si>
    <t>Net profit</t>
  </si>
  <si>
    <t>GST on Expenses - SMKL</t>
  </si>
  <si>
    <t>Profit</t>
  </si>
  <si>
    <t>EMI</t>
  </si>
  <si>
    <t>Msand [Black]</t>
  </si>
  <si>
    <t>Monthly commitment-SMKL</t>
  </si>
  <si>
    <t>Psand [Black]</t>
  </si>
  <si>
    <t>Other Expenses-Transport</t>
  </si>
  <si>
    <t>12MM Black</t>
  </si>
  <si>
    <t>Msand [White]</t>
  </si>
  <si>
    <t>Psand [White]</t>
  </si>
  <si>
    <t>GSB</t>
  </si>
  <si>
    <t>20MM [Black]</t>
  </si>
  <si>
    <t>Dust</t>
  </si>
  <si>
    <t>WMM</t>
  </si>
  <si>
    <t>Sub Total</t>
  </si>
  <si>
    <t>Unbilled supply</t>
  </si>
  <si>
    <t xml:space="preserve">Psand [Brown]-Opening </t>
  </si>
  <si>
    <t>12MM [Black]</t>
  </si>
  <si>
    <t>Total</t>
  </si>
  <si>
    <t>Scalp</t>
  </si>
  <si>
    <t>Gravel</t>
  </si>
  <si>
    <t>Slurry</t>
  </si>
  <si>
    <t>Pass Income</t>
  </si>
  <si>
    <t>Scrap Sales</t>
  </si>
  <si>
    <t>Transport Income</t>
  </si>
  <si>
    <t>Trading Profit</t>
  </si>
  <si>
    <t>Other income</t>
  </si>
  <si>
    <t>Stock Correction</t>
  </si>
  <si>
    <t>Less : Income reversal</t>
  </si>
  <si>
    <t>Less: Stock Correction</t>
  </si>
  <si>
    <t>Value Adjusted due to cash to GST</t>
  </si>
  <si>
    <t>Sale Value before GST</t>
  </si>
  <si>
    <t>Add : GST income (5% on GST sales)</t>
  </si>
  <si>
    <t>Total Value</t>
  </si>
  <si>
    <t xml:space="preserve">Less : GST expenses </t>
  </si>
  <si>
    <t>Gross profit</t>
  </si>
  <si>
    <t>Less : Fixed cost</t>
  </si>
  <si>
    <t>Less:Sales &amp; Marketing</t>
  </si>
  <si>
    <t>Less: Quarry development expense</t>
  </si>
  <si>
    <t>Net Profit</t>
  </si>
  <si>
    <t>Less:Capital expense</t>
  </si>
  <si>
    <t>Less: FC work - Development expenses</t>
  </si>
  <si>
    <t xml:space="preserve">INPUT </t>
  </si>
  <si>
    <t>MATERIAL SELLING LIST</t>
  </si>
  <si>
    <t>RMK SANDS PRIVATE LIMITED</t>
  </si>
  <si>
    <t xml:space="preserve">PROFIT AND LOSS ACCOUNT </t>
  </si>
  <si>
    <t>INWARD</t>
  </si>
  <si>
    <t>White (MT)</t>
  </si>
  <si>
    <t>Brown (MT)</t>
  </si>
  <si>
    <t>Black (MT)</t>
  </si>
  <si>
    <t>CONSUMPTION</t>
  </si>
  <si>
    <t>Closing Stock in MT</t>
  </si>
  <si>
    <t>Material Name</t>
  </si>
  <si>
    <t>Oct'2024</t>
  </si>
  <si>
    <t>Chakkai Stock at crusher</t>
  </si>
  <si>
    <t>SALES</t>
  </si>
  <si>
    <t>Filter chakkai</t>
  </si>
  <si>
    <t>12 mm
[Brown]</t>
  </si>
  <si>
    <t>20 mm
[Brown]</t>
  </si>
  <si>
    <t>M-sand
[Brown]</t>
  </si>
  <si>
    <t>P-sand
[Brown]</t>
  </si>
  <si>
    <t>M-sand
[Black]</t>
  </si>
  <si>
    <t>P-sand
[Black]</t>
  </si>
  <si>
    <t>PARTICULARS</t>
  </si>
  <si>
    <t>M-sand
[White]</t>
  </si>
  <si>
    <t>INR</t>
  </si>
  <si>
    <t>P-sand
[White]</t>
  </si>
  <si>
    <t>Sales</t>
  </si>
  <si>
    <t>Gravel Sales</t>
  </si>
  <si>
    <t>Closing stock</t>
  </si>
  <si>
    <t>Other Income</t>
  </si>
  <si>
    <t>EXPENSES</t>
  </si>
  <si>
    <t>Opening Stock in MT</t>
  </si>
  <si>
    <t>Opening stock</t>
  </si>
  <si>
    <t>Chetpet quarry</t>
  </si>
  <si>
    <t>Veeram quarry</t>
  </si>
  <si>
    <t>Transportation from chetpet quarry</t>
  </si>
  <si>
    <t>Transportation from veeram quarry</t>
  </si>
  <si>
    <t>Black Quarry</t>
  </si>
  <si>
    <t>Transportation from Black quarry</t>
  </si>
  <si>
    <t>Office expenses</t>
  </si>
  <si>
    <t>Sales &amp; Marketing</t>
  </si>
  <si>
    <t>GST expenses</t>
  </si>
  <si>
    <t>Capital expenses</t>
  </si>
  <si>
    <t>Quarry Development expense</t>
  </si>
  <si>
    <t>12mm Black</t>
  </si>
  <si>
    <t>20mm Black</t>
  </si>
  <si>
    <t>Total Expenses</t>
  </si>
  <si>
    <t>Filter Chakkai-Black</t>
  </si>
  <si>
    <t>Profit before one time payments</t>
  </si>
  <si>
    <t>Less: Diwali Bonus</t>
  </si>
  <si>
    <t>Less: Diwali and Ayudha Pooja Expenses</t>
  </si>
  <si>
    <t>Profit Before Taxes</t>
  </si>
  <si>
    <t>Less: Deferred Expenses</t>
  </si>
  <si>
    <t>Less: Capex</t>
  </si>
  <si>
    <t>Less: Taxes Paid</t>
  </si>
  <si>
    <t>Net profit(Post Taxes)</t>
  </si>
  <si>
    <t>CASH</t>
  </si>
  <si>
    <t>GST</t>
  </si>
  <si>
    <t>Qty</t>
  </si>
  <si>
    <t>12MM Brown</t>
  </si>
  <si>
    <t>Golden</t>
  </si>
  <si>
    <t>20MM Brown</t>
  </si>
  <si>
    <t>SRMK</t>
  </si>
  <si>
    <t>20MM Black</t>
  </si>
  <si>
    <t>Brown Msand</t>
  </si>
  <si>
    <t>Sales Input</t>
  </si>
  <si>
    <t>Month Wise</t>
  </si>
  <si>
    <t>Brown Psand</t>
  </si>
  <si>
    <t>Black Msand</t>
  </si>
  <si>
    <t>Material List</t>
  </si>
  <si>
    <t>Income Type</t>
  </si>
  <si>
    <t xml:space="preserve">Sales </t>
  </si>
  <si>
    <t>Billed/Unbilled</t>
  </si>
  <si>
    <t>Month</t>
  </si>
  <si>
    <t>QUARRY</t>
  </si>
  <si>
    <t>Black Psand</t>
  </si>
  <si>
    <t>MSAND</t>
  </si>
  <si>
    <t>Msand</t>
  </si>
  <si>
    <t>Psand</t>
  </si>
  <si>
    <t>Sub total</t>
  </si>
  <si>
    <t>Unbilled Supply</t>
  </si>
  <si>
    <t>Value Adjusted - GST Difference</t>
  </si>
  <si>
    <t>Sub total (as per daily report)</t>
  </si>
  <si>
    <t>Value Adjusted</t>
  </si>
  <si>
    <t>GST @5 %</t>
  </si>
  <si>
    <t>Closing Stock</t>
  </si>
  <si>
    <t>Closing Stock as on 31/01/2025</t>
  </si>
  <si>
    <t>Material</t>
  </si>
  <si>
    <t>Name</t>
  </si>
  <si>
    <t>White Msand</t>
  </si>
  <si>
    <t xml:space="preserve">Closing Stock as on </t>
  </si>
  <si>
    <t>31.01.2025</t>
  </si>
  <si>
    <t>Stock</t>
  </si>
  <si>
    <t>White Psand</t>
  </si>
  <si>
    <t>MT</t>
  </si>
  <si>
    <t>Quarry 1- White Chakkai</t>
  </si>
  <si>
    <t>As On</t>
  </si>
  <si>
    <t>Plant Type</t>
  </si>
  <si>
    <t>Quarry 2 -Brown Chakkai</t>
  </si>
  <si>
    <t>Quarry 3 - Black Chakkai</t>
  </si>
  <si>
    <t>12mm Brown</t>
  </si>
  <si>
    <t>20mm Brown</t>
  </si>
  <si>
    <t>Filter Chakkai-White</t>
  </si>
  <si>
    <t>White boulder</t>
  </si>
  <si>
    <t>S. No</t>
  </si>
  <si>
    <t>REGISTERED OWNER</t>
  </si>
  <si>
    <t>REGN. NO</t>
  </si>
  <si>
    <t>RC 
YES  NO</t>
  </si>
  <si>
    <t>Loan No.</t>
  </si>
  <si>
    <t>ASSET MAKE 
&amp; MODEL</t>
  </si>
  <si>
    <t>SEGMENT (HCV, LCV, ETC)</t>
  </si>
  <si>
    <t>BODY (TIPPER,
 GOODS, ETC)</t>
  </si>
  <si>
    <t>YOM</t>
  </si>
  <si>
    <t>OWNING SINCE</t>
  </si>
  <si>
    <t>FINANCED BY</t>
  </si>
  <si>
    <t>Date of Loan Disbursement</t>
  </si>
  <si>
    <t>LOAN AMOUNT</t>
  </si>
  <si>
    <t>Loan Principal paid 
till date</t>
  </si>
  <si>
    <t>Interest paid till date</t>
  </si>
  <si>
    <t>EMI Start Date</t>
  </si>
  <si>
    <t>EMI End Date</t>
  </si>
  <si>
    <t>TOTAL No. of EMI</t>
  </si>
  <si>
    <t>No. of EMI PAID</t>
  </si>
  <si>
    <t>BALANCE No. of EMI</t>
  </si>
  <si>
    <t>LOAN PRINCIPAL OUTSTANDING</t>
  </si>
  <si>
    <t>Remarks</t>
  </si>
  <si>
    <t>RMK Sands Private Limited</t>
  </si>
  <si>
    <t>-</t>
  </si>
  <si>
    <t>No</t>
  </si>
  <si>
    <t>808-70001892</t>
  </si>
  <si>
    <t>CAT 323D3</t>
  </si>
  <si>
    <t>ETC</t>
  </si>
  <si>
    <t>EXCAVATOR</t>
  </si>
  <si>
    <t>CAT FINANCIALS</t>
  </si>
  <si>
    <t>Loan Closed</t>
  </si>
  <si>
    <t>CEL000500651309</t>
  </si>
  <si>
    <t>HSI</t>
  </si>
  <si>
    <t>NA</t>
  </si>
  <si>
    <t>Yes bank</t>
  </si>
  <si>
    <t>Term loan</t>
  </si>
  <si>
    <t>CEL000500651814</t>
  </si>
  <si>
    <t>CWC Import Pvt. Ltd.</t>
  </si>
  <si>
    <t>CVR008205305974</t>
  </si>
  <si>
    <t>Eicher</t>
  </si>
  <si>
    <t>Axis Bank</t>
  </si>
  <si>
    <t>Same in Excel</t>
  </si>
  <si>
    <t>CVR008205306129</t>
  </si>
  <si>
    <t>CEL000500612316</t>
  </si>
  <si>
    <t>Propel</t>
  </si>
  <si>
    <t>CEL000500612334</t>
  </si>
  <si>
    <t>01060017</t>
  </si>
  <si>
    <t>Prowash</t>
  </si>
  <si>
    <t>808-70003319</t>
  </si>
  <si>
    <t>TN97W8183</t>
  </si>
  <si>
    <t>Yes</t>
  </si>
  <si>
    <t>808-70003337</t>
  </si>
  <si>
    <t>SEM 650</t>
  </si>
  <si>
    <t>SEM LOADER</t>
  </si>
  <si>
    <t>S. Ramprakash 
(K. Sankar)</t>
  </si>
  <si>
    <t>10143286</t>
  </si>
  <si>
    <t>Benz GLS</t>
  </si>
  <si>
    <t>Daimler</t>
  </si>
  <si>
    <t>UCE000501060619</t>
  </si>
  <si>
    <t>First 24 months only Interest paid</t>
  </si>
  <si>
    <t>808-70000944</t>
  </si>
  <si>
    <t>SEM</t>
  </si>
  <si>
    <t>808-70000050</t>
  </si>
  <si>
    <t>808-70004337</t>
  </si>
  <si>
    <t>28.08.2024</t>
  </si>
  <si>
    <t xml:space="preserve">Development expenses incurred </t>
  </si>
  <si>
    <t>INPUTS</t>
  </si>
  <si>
    <t>Date</t>
  </si>
  <si>
    <t>Based In plant shift basis</t>
  </si>
  <si>
    <t>Based on day basis</t>
  </si>
  <si>
    <t>White boulders</t>
  </si>
  <si>
    <t>Black M/P sand &amp;12/20mm</t>
  </si>
  <si>
    <t>Black  GSB</t>
  </si>
  <si>
    <t>Brown Boulders</t>
  </si>
  <si>
    <t>Stock at Crusher</t>
  </si>
  <si>
    <t>Stock at SMK Quarry</t>
  </si>
  <si>
    <t>Consumption</t>
  </si>
  <si>
    <t>Brown Boulders/Recycle</t>
  </si>
  <si>
    <t>TOTAL</t>
  </si>
  <si>
    <t>VSI Hours</t>
  </si>
  <si>
    <t>Jaw Running Hrs</t>
  </si>
  <si>
    <t>Jaw feeding per Hour</t>
  </si>
  <si>
    <t>VSI Running Hrs</t>
  </si>
  <si>
    <t>VSI Efficiency</t>
  </si>
  <si>
    <t>INPUT</t>
  </si>
  <si>
    <t>Black M/P</t>
  </si>
  <si>
    <t>Black Aggregates</t>
  </si>
  <si>
    <t>Vehicle Trip Sheet</t>
  </si>
  <si>
    <t>NOTES</t>
  </si>
  <si>
    <t>Inward &amp; Consumption [MT]</t>
  </si>
  <si>
    <t>Particulars</t>
  </si>
  <si>
    <t>Chetpat</t>
  </si>
  <si>
    <t>Veeram</t>
  </si>
  <si>
    <t>Inward / Purchase</t>
  </si>
  <si>
    <t>Less : Scalp (INPUT)</t>
  </si>
  <si>
    <t>This means that chakkai weighed and kept separately.  This does not include the chakkai stock inside the quarry</t>
  </si>
  <si>
    <t>RMK - stock correction</t>
  </si>
  <si>
    <t>Opening Stock</t>
  </si>
  <si>
    <t>Opening fileter chakkai</t>
  </si>
  <si>
    <t xml:space="preserve">Inward </t>
  </si>
  <si>
    <t>Less : Stock at crusher</t>
  </si>
  <si>
    <t>This means that chakkai reached the crusher, kept inside the crusher and not fed into Jaw</t>
  </si>
  <si>
    <t>Net inward</t>
  </si>
  <si>
    <t>Material Swap</t>
  </si>
  <si>
    <t xml:space="preserve">This means that the scalp material separated from the Jaw Crusher is weighed and deducted proportionately to arrive at </t>
  </si>
  <si>
    <t>Net consumption</t>
  </si>
  <si>
    <t>the net consumption</t>
  </si>
  <si>
    <t>P Sand Brown</t>
  </si>
  <si>
    <t>Slurry working [MT]</t>
  </si>
  <si>
    <t>PRODUCTION / SALES / STOCK DETAILS [MT]</t>
  </si>
  <si>
    <t>Change in stock of FP</t>
  </si>
  <si>
    <t>Net consumption(incl. Filter Chakkai Opening)</t>
  </si>
  <si>
    <t>Stock at crusher</t>
  </si>
  <si>
    <t>Quarry Stock - Chetpet</t>
  </si>
  <si>
    <t>Quarry Stock - Veeram</t>
  </si>
  <si>
    <t>Quarry Stock - Black</t>
  </si>
  <si>
    <t>GSB/WMM</t>
  </si>
  <si>
    <t>Dust - Brown</t>
  </si>
  <si>
    <t>Stock correction</t>
  </si>
  <si>
    <t>Less : Production</t>
  </si>
  <si>
    <t>Less : Stock correction</t>
  </si>
  <si>
    <t>Add : Closing stock</t>
  </si>
  <si>
    <t>Variation in stock</t>
  </si>
  <si>
    <t>Less : Opening stock</t>
  </si>
  <si>
    <t>Production</t>
  </si>
  <si>
    <t>Slurry (%) on total consumption</t>
  </si>
  <si>
    <t>12 mm</t>
  </si>
  <si>
    <t>Scalp (%) on net inward</t>
  </si>
  <si>
    <t>DUST CONSUMPTION</t>
  </si>
  <si>
    <t>20 mm</t>
  </si>
  <si>
    <t>Total wastage on net inward</t>
  </si>
  <si>
    <t>Bro</t>
  </si>
  <si>
    <t>Bla</t>
  </si>
  <si>
    <t>W</t>
  </si>
  <si>
    <t>M-sand</t>
  </si>
  <si>
    <t>VALUATION OF CLOSING STOCK</t>
  </si>
  <si>
    <t>P-sand</t>
  </si>
  <si>
    <t>Qty considered for costing purpose</t>
  </si>
  <si>
    <t>Closing Stock at Quarry</t>
  </si>
  <si>
    <t>Opening Stock at Quarry</t>
  </si>
  <si>
    <t xml:space="preserve">12MM </t>
  </si>
  <si>
    <t>Chakkai from Chetpat</t>
  </si>
  <si>
    <t>Closing stock (MT)</t>
  </si>
  <si>
    <t>Chakkai from Veeram</t>
  </si>
  <si>
    <t>Rate</t>
  </si>
  <si>
    <t>Transport from Chetpat</t>
  </si>
  <si>
    <t>Transport from Veeram</t>
  </si>
  <si>
    <t>Chakkai from Black</t>
  </si>
  <si>
    <t>CHAKKAI STOCK AT CRUSHER</t>
  </si>
  <si>
    <t>DUST STOCK AT CRUSHER</t>
  </si>
  <si>
    <t>20MM</t>
  </si>
  <si>
    <t>Transport from Black</t>
  </si>
  <si>
    <t>Purchase of Raw Material</t>
  </si>
  <si>
    <t>Opening</t>
  </si>
  <si>
    <t>Transport [Purchase]</t>
  </si>
  <si>
    <t>Add : This month</t>
  </si>
  <si>
    <t>Oct</t>
  </si>
  <si>
    <t>Nov</t>
  </si>
  <si>
    <t>Dec</t>
  </si>
  <si>
    <t>Jan</t>
  </si>
  <si>
    <t xml:space="preserve">Qty </t>
  </si>
  <si>
    <t xml:space="preserve">Rate </t>
  </si>
  <si>
    <t>Less : Consumption</t>
  </si>
  <si>
    <t>Closing</t>
  </si>
  <si>
    <t>White Boulders Difference</t>
  </si>
  <si>
    <t>PBC Figure</t>
  </si>
  <si>
    <t>Arrived</t>
  </si>
  <si>
    <t>LAST MONTH CLSOING = OPENING THIS MONTH</t>
  </si>
  <si>
    <t>Difference</t>
  </si>
  <si>
    <t>CONSUMPLTION - PRODUCED</t>
  </si>
  <si>
    <t>ok</t>
  </si>
  <si>
    <t>PRODCUTION = SOLD QTY + CLOSING STOCK - OPENING STOCK</t>
  </si>
  <si>
    <t>500+2000-1000</t>
  </si>
  <si>
    <t>Cost</t>
  </si>
  <si>
    <t>MONTHLY AVERAGE PRICE AND AMOUNT SOLD IN STOCK OR PRODUCTION</t>
  </si>
  <si>
    <t>Monthly Average Price</t>
  </si>
  <si>
    <t>Product</t>
  </si>
  <si>
    <t>Sale Qty</t>
  </si>
  <si>
    <t>from opening</t>
  </si>
  <si>
    <t>from current month</t>
  </si>
  <si>
    <t>Average price</t>
  </si>
  <si>
    <t>Op Qty</t>
  </si>
  <si>
    <t>Sale from CM</t>
  </si>
  <si>
    <t>C/f</t>
  </si>
  <si>
    <t>Sale from O/s</t>
  </si>
  <si>
    <t>Clo stock c/f from ope stk</t>
  </si>
  <si>
    <t>Opening stock as per costing sheet</t>
  </si>
  <si>
    <t>Diff</t>
  </si>
  <si>
    <t>CHECK</t>
  </si>
  <si>
    <t>TOTAL SALES OF THE SAME MATERIAL / TOTAL SALES IN QTY</t>
  </si>
  <si>
    <t>PRODUCTION COST  FOR METRIAL COLOUR WISE  (WITH VSI AND BUCKET EXPENSES)</t>
  </si>
  <si>
    <t>Aggregate/Sand</t>
  </si>
  <si>
    <t>Opening Stock of Chakkai &amp; Filter Chakkai(White)</t>
  </si>
  <si>
    <t>chakkai</t>
  </si>
  <si>
    <t>Opening Stock of Filter Chakkai</t>
  </si>
  <si>
    <t>filter chakkai</t>
  </si>
  <si>
    <t>Add: Current Month Cost</t>
  </si>
  <si>
    <t>Add: Crusher Cost - Current month</t>
  </si>
  <si>
    <t>Less: Closing Stock</t>
  </si>
  <si>
    <t>Arrived Cost</t>
  </si>
  <si>
    <t>Qty for Costing</t>
  </si>
  <si>
    <t>PRODUCTION</t>
  </si>
  <si>
    <t>Opening Qty</t>
  </si>
  <si>
    <t>OPENING STOCK VALUE</t>
  </si>
  <si>
    <t>Opening Cost</t>
  </si>
  <si>
    <t>This month production Cost</t>
  </si>
  <si>
    <t>Per Unit Cost</t>
  </si>
  <si>
    <t>What chane from others</t>
  </si>
  <si>
    <t>Cost Center</t>
  </si>
  <si>
    <t>Transport</t>
  </si>
  <si>
    <t>NOT FOR PRINT</t>
  </si>
  <si>
    <t xml:space="preserve">VSI HOURS </t>
  </si>
  <si>
    <t>QUARRY COST AND TRANSPORT COST FOR THAT QUARRY</t>
  </si>
  <si>
    <t>PRODUCT COST ( BOULDERS AND GSB )</t>
  </si>
  <si>
    <t>CRUSHER EXPENSE / TOTAL HOURS * INVIDUAL VSI HOURS</t>
  </si>
  <si>
    <t xml:space="preserve">TOTAL QTY PRODUCED </t>
  </si>
  <si>
    <t>Total Qty Sold from current month prod.</t>
  </si>
  <si>
    <t>Closing Stock from Currnet prod.</t>
  </si>
  <si>
    <t>Current month produc Cost</t>
  </si>
  <si>
    <t>COST CALCULATION MATERIAL WISE</t>
  </si>
  <si>
    <t>Opening Stock C/f</t>
  </si>
  <si>
    <t>Fresh production</t>
  </si>
  <si>
    <t>Current month cost</t>
  </si>
  <si>
    <t>Opening Stock Cost</t>
  </si>
  <si>
    <t>Total Opening Cost</t>
  </si>
  <si>
    <t>Weighted Average Rate</t>
  </si>
  <si>
    <t>Opening rate</t>
  </si>
  <si>
    <t>Current rate</t>
  </si>
  <si>
    <t>Sales from Opening Stock</t>
  </si>
  <si>
    <t>COGS - Current period Stock</t>
  </si>
  <si>
    <t>Closing Stock C/f</t>
  </si>
  <si>
    <t>(+)Closing Stock</t>
  </si>
  <si>
    <t>Black Filter Chakkai not considered and added to stock adjustment</t>
  </si>
  <si>
    <t>(-) Opening Stock C/f</t>
  </si>
  <si>
    <t>Negative productions added to stock adjustment</t>
  </si>
  <si>
    <t>Opening Stock as per Product sheet</t>
  </si>
  <si>
    <t>Total Current month cost as per summary</t>
  </si>
  <si>
    <t>Openign Stock Tally</t>
  </si>
  <si>
    <t>Opening Stock Value as per previous month</t>
  </si>
  <si>
    <t>COGS for O/s Sale</t>
  </si>
  <si>
    <t>Total Cost Center Cost</t>
  </si>
  <si>
    <t>Crusher Cost</t>
  </si>
  <si>
    <t>Quarry Stock adjustment</t>
  </si>
  <si>
    <t>COGS</t>
  </si>
  <si>
    <t>Less: Opening Stock Value</t>
  </si>
  <si>
    <t>QTY TALLY</t>
  </si>
  <si>
    <t>Add: Production</t>
  </si>
  <si>
    <t>Less: Sales</t>
  </si>
  <si>
    <t>a) from O/s</t>
  </si>
  <si>
    <t>b) from C/s</t>
  </si>
  <si>
    <t>Closing Stock(Arrived)</t>
  </si>
  <si>
    <t>Closing Stock as per MIS</t>
  </si>
  <si>
    <t xml:space="preserve">This is GSB opening stock. </t>
  </si>
  <si>
    <t>Adj in stk adjustment.</t>
  </si>
  <si>
    <t>Cost working based on per unit</t>
  </si>
  <si>
    <t>To be debited to Costing PL</t>
  </si>
  <si>
    <t>To be shown in C/s</t>
  </si>
  <si>
    <t>C/s QTY other than from opening</t>
  </si>
  <si>
    <t>Chetpet Quarry</t>
  </si>
  <si>
    <t>Veeram Quarry</t>
  </si>
  <si>
    <t>FIRST TIME ENTRY</t>
  </si>
  <si>
    <t>INPUT TABLE</t>
  </si>
  <si>
    <t>Inward qty [MT]</t>
  </si>
  <si>
    <t>Consumption qty [MT]</t>
  </si>
  <si>
    <t>Qty for costing [MT]</t>
  </si>
  <si>
    <t>Cost per MT- Production</t>
  </si>
  <si>
    <t>Cost per MT- Own Transport-Production</t>
  </si>
  <si>
    <t>Cost per MT- Own Transport</t>
  </si>
  <si>
    <t>Cost per MT</t>
  </si>
  <si>
    <t>Cost per MT- Non Production</t>
  </si>
  <si>
    <t>Cost per MT- Own Transport-Non Production</t>
  </si>
  <si>
    <t>Cost per MT- Vendor Transport</t>
  </si>
  <si>
    <t>s</t>
  </si>
  <si>
    <t>FIXED EXPENSE</t>
  </si>
  <si>
    <t>CHETPAT QUARRY</t>
  </si>
  <si>
    <t>VEERAM QUARRY</t>
  </si>
  <si>
    <t>TRANSPORTATION FROM CHETPAT QUARRY</t>
  </si>
  <si>
    <t>TRANSPORTATION FROM VEERAM QUARRY</t>
  </si>
  <si>
    <t>BLACK QUARRY</t>
  </si>
  <si>
    <t>TRANSPORTATION FROM BLACK QUARRY</t>
  </si>
  <si>
    <t>CRUSHER</t>
  </si>
  <si>
    <t>CRUSHER - EXPENSE BREAKUP</t>
  </si>
  <si>
    <t>OFFICE EXPENSES</t>
  </si>
  <si>
    <t>SALES &amp; DISTRIBUTION SUPPORTING EXPENSES</t>
  </si>
  <si>
    <t>Per MT</t>
  </si>
  <si>
    <t>Vendor Transport</t>
  </si>
  <si>
    <t>Explosives</t>
  </si>
  <si>
    <t>Transport charges-Other Vendors</t>
  </si>
  <si>
    <t>Fuel Equipments-Excavators</t>
  </si>
  <si>
    <t>Electricity charges</t>
  </si>
  <si>
    <t>EMI-Excavator</t>
  </si>
  <si>
    <t>EMI-Term Loan &amp; GLS Loan</t>
  </si>
  <si>
    <t>Driver bata</t>
  </si>
  <si>
    <t>Compressor rent</t>
  </si>
  <si>
    <t>Fuel expenses - Eicher</t>
  </si>
  <si>
    <t>Transport- Intercart Development</t>
  </si>
  <si>
    <t>Repairs &amp; maintenance - Plant</t>
  </si>
  <si>
    <t>Royalty</t>
  </si>
  <si>
    <t>Repairs &amp; maintenance - Excavators</t>
  </si>
  <si>
    <t>Repairs &amp; maintenance - SEM</t>
  </si>
  <si>
    <t>Fuel Equipments</t>
  </si>
  <si>
    <t>Own Transport-Production</t>
  </si>
  <si>
    <t>Repairs &amp; maintenance - Eicher</t>
  </si>
  <si>
    <t>Fuel - RMK Lorries</t>
  </si>
  <si>
    <t>Chemical expenses</t>
  </si>
  <si>
    <t>Insurance Propel - Crusher - 054</t>
  </si>
  <si>
    <t>Director salary</t>
  </si>
  <si>
    <t xml:space="preserve">Salary </t>
  </si>
  <si>
    <t>Salary</t>
  </si>
  <si>
    <t>Repairs &amp; maintenance - Quarry</t>
  </si>
  <si>
    <t>Drivers Salary</t>
  </si>
  <si>
    <t>Driver Salary</t>
  </si>
  <si>
    <t>Labour charges</t>
  </si>
  <si>
    <t>Diesel-SMKL Transport</t>
  </si>
  <si>
    <t>Transport charges - others</t>
  </si>
  <si>
    <t>Repairs &amp; Maintenance - Cone - 084</t>
  </si>
  <si>
    <t>Interest on investors loan</t>
  </si>
  <si>
    <t>Travelling &amp; conveyance</t>
  </si>
  <si>
    <t>Travelling &amp; conveyance - Sales</t>
  </si>
  <si>
    <t>Drivers Salary-SMKL</t>
  </si>
  <si>
    <t>Crane hire charges</t>
  </si>
  <si>
    <t>Repairs &amp; Maintenance - Conveyor - 085</t>
  </si>
  <si>
    <t>Interest on bill discounting</t>
  </si>
  <si>
    <t>R&amp;M-SMKL Transport</t>
  </si>
  <si>
    <t>Repairs &amp; Maintenance - Crusher - 086</t>
  </si>
  <si>
    <t>Chakkai Pass</t>
  </si>
  <si>
    <t>EMI-SEM</t>
  </si>
  <si>
    <t>Bata - Others(below Rs.20,000)</t>
  </si>
  <si>
    <t>Transport - Intercart</t>
  </si>
  <si>
    <t>Repairs &amp; Maintenance - Jaw - 403</t>
  </si>
  <si>
    <t>Gift</t>
  </si>
  <si>
    <t>Drivers Salary - RMK Lorries</t>
  </si>
  <si>
    <t>DG hire charges - 62.50 KVA</t>
  </si>
  <si>
    <t>Diesel - Intercart</t>
  </si>
  <si>
    <t>Transport charges/Inter cart</t>
  </si>
  <si>
    <t>JCB rent</t>
  </si>
  <si>
    <t>R&amp;M-RMK Lorries</t>
  </si>
  <si>
    <t>Driver Salary - Intercart</t>
  </si>
  <si>
    <t>Transit Pass</t>
  </si>
  <si>
    <t>Electrical expenses</t>
  </si>
  <si>
    <t>Inward transport (own vehicle)</t>
  </si>
  <si>
    <t>Bata - Others</t>
  </si>
  <si>
    <t>Gravel pass</t>
  </si>
  <si>
    <t>Own Transport-Non Production</t>
  </si>
  <si>
    <t>Non Production</t>
  </si>
  <si>
    <t>Repairs &amp; maintenance - Tanker</t>
  </si>
  <si>
    <t>Repairs &amp; Maintenance - Plant Spares - 094</t>
  </si>
  <si>
    <t>PF employer contribution</t>
  </si>
  <si>
    <t>Transport charges</t>
  </si>
  <si>
    <t>EMI- SMKL Transport</t>
  </si>
  <si>
    <t>Fuel Equipments - Non operating</t>
  </si>
  <si>
    <t>Repairs &amp; Maintenance - Pro Wash - 448</t>
  </si>
  <si>
    <t>Bonus</t>
  </si>
  <si>
    <t>Staff welfare</t>
  </si>
  <si>
    <t>Road Tax/Penalty</t>
  </si>
  <si>
    <t>Fuel - tanker</t>
  </si>
  <si>
    <t>Repairs &amp; Maintenance - Screen Spares - 095</t>
  </si>
  <si>
    <t>Production incentive</t>
  </si>
  <si>
    <t>Conveyance</t>
  </si>
  <si>
    <t>Repairs &amp; maintenance - Vehicles*</t>
  </si>
  <si>
    <t>FIXED COSTS</t>
  </si>
  <si>
    <t>Repairs &amp; Maintenance - Thickener - 100</t>
  </si>
  <si>
    <t>Fastag Expenses</t>
  </si>
  <si>
    <t>Repairs &amp; maintenance - Vehicles</t>
  </si>
  <si>
    <t>Repairs &amp; Maintenance - VSI - 102</t>
  </si>
  <si>
    <t>Board expenses</t>
  </si>
  <si>
    <t>Food Expenses</t>
  </si>
  <si>
    <t>Repair &amp; maintenance - Others</t>
  </si>
  <si>
    <t>Oxygen Cylinder - Crusher - 070</t>
  </si>
  <si>
    <t>Consulting fees</t>
  </si>
  <si>
    <t>Repairs &amp; Maintenance Lorry</t>
  </si>
  <si>
    <t>EMI-CAT-4</t>
  </si>
  <si>
    <t>Plant Maintenance - Crusher - 379</t>
  </si>
  <si>
    <t>Office rent</t>
  </si>
  <si>
    <t>Fastag</t>
  </si>
  <si>
    <t>EMI-CAT-5</t>
  </si>
  <si>
    <t>Fuel expenses - Others (for previous months)</t>
  </si>
  <si>
    <t>Transport Charges</t>
  </si>
  <si>
    <t>Quarry development</t>
  </si>
  <si>
    <t>Water expenses</t>
  </si>
  <si>
    <t>Staff medical expenses</t>
  </si>
  <si>
    <t>Tyre Expenses</t>
  </si>
  <si>
    <t>Vehicle Insurance</t>
  </si>
  <si>
    <t>Insurance CAT 1 - Crusher – 052</t>
  </si>
  <si>
    <t>Canteen expenses</t>
  </si>
  <si>
    <t>Insurance - RMK Lorries</t>
  </si>
  <si>
    <t>Slurry maintenance</t>
  </si>
  <si>
    <t>Insurance SEM Loader - 1 - 455</t>
  </si>
  <si>
    <t>Printer rent</t>
  </si>
  <si>
    <t>Printing &amp; stationery</t>
  </si>
  <si>
    <t>Diesel</t>
  </si>
  <si>
    <t>Repairs &amp; Maintenance - CAT - 081</t>
  </si>
  <si>
    <t>Pooja expenses</t>
  </si>
  <si>
    <t>Repairs &amp; Maintenance - CAT 2 - 407</t>
  </si>
  <si>
    <t>Courier expenses</t>
  </si>
  <si>
    <t>Fuel expenses - Others</t>
  </si>
  <si>
    <t>Repairs &amp; Maintenance - CAT 3 - 083</t>
  </si>
  <si>
    <t>Mobile, email and internet charges</t>
  </si>
  <si>
    <t>Other Expense</t>
  </si>
  <si>
    <t>Repairs &amp; Maintenance - CAT 4 - 452</t>
  </si>
  <si>
    <t>Pet expenses</t>
  </si>
  <si>
    <t>EB expenses - Others</t>
  </si>
  <si>
    <t>Repairs &amp; Maintenance - CAT 5 - 460</t>
  </si>
  <si>
    <t>Office expenses - admin</t>
  </si>
  <si>
    <t>Repairs &amp; Maintenance - Hyundai - 090</t>
  </si>
  <si>
    <t>Other expenses - admin</t>
  </si>
  <si>
    <t>Repairs &amp; maintenance - Cars</t>
  </si>
  <si>
    <t>R&amp;M - RMK Lorries</t>
  </si>
  <si>
    <t>Repairs &amp; Maintenance - Hyundai/CAT - Crusher - 091</t>
  </si>
  <si>
    <t>Repair &amp; maintenance - Computers</t>
  </si>
  <si>
    <t>Repairs &amp; Maintenance - JCB - 092</t>
  </si>
  <si>
    <t>Repairs &amp; Maintenance-Admin (for previous months)</t>
  </si>
  <si>
    <t>Repairs &amp; Maintenance - JCB 170 - 453</t>
  </si>
  <si>
    <t>Bank charges</t>
  </si>
  <si>
    <t>Repairs &amp; Maintenance - SEM Loader - 096</t>
  </si>
  <si>
    <t>EB charges - admin</t>
  </si>
  <si>
    <t>R &amp; M</t>
  </si>
  <si>
    <t>Repairs &amp; Maintenance Breaker - 469</t>
  </si>
  <si>
    <t>Field visit data collection &amp; plan</t>
  </si>
  <si>
    <t>Repairs &amp; Maintenance - SEM Loader 2 - 454</t>
  </si>
  <si>
    <t>Forex Gain Or Loss</t>
  </si>
  <si>
    <t>Business Promotion</t>
  </si>
  <si>
    <t>Site Development</t>
  </si>
  <si>
    <t>AMC Charges - Transformer- 441</t>
  </si>
  <si>
    <t>Repairs &amp; Maintenance-Admin</t>
  </si>
  <si>
    <t>Rounding off account</t>
  </si>
  <si>
    <t>RMK Lorries:</t>
  </si>
  <si>
    <t>Safety Items</t>
  </si>
  <si>
    <t>Bad debts</t>
  </si>
  <si>
    <t>Slurry-Crusher</t>
  </si>
  <si>
    <t>Discount</t>
  </si>
  <si>
    <t>Repair &amp; maintenance - Plumbing</t>
  </si>
  <si>
    <t>Non operating expenses</t>
  </si>
  <si>
    <t>Fuel expenses - admin</t>
  </si>
  <si>
    <t>Office / Admin Expenses</t>
  </si>
  <si>
    <t>Insurance</t>
  </si>
  <si>
    <t>Fuel - RMK lorries</t>
  </si>
  <si>
    <t>Transit pass</t>
  </si>
  <si>
    <t>EMI-Propel</t>
  </si>
  <si>
    <t>FIXED COST</t>
  </si>
  <si>
    <t>Repairs &amp; maintenance - Lorries</t>
  </si>
  <si>
    <t>Fuel expenses - Lorry</t>
  </si>
  <si>
    <t>Sample testing</t>
  </si>
  <si>
    <t>Drivers Salary-SMKL Transport</t>
  </si>
  <si>
    <t>Other Expenses-SMKL Transport</t>
  </si>
  <si>
    <t>Repairs &amp; maintenance - Equipments</t>
  </si>
  <si>
    <t>TRADING PROFIT CALCULATION  - INPUT</t>
  </si>
  <si>
    <t>Monthly Sales Details</t>
  </si>
  <si>
    <t>Cash sales</t>
  </si>
  <si>
    <t>GST sales</t>
  </si>
  <si>
    <t>GST Value</t>
  </si>
  <si>
    <t>%</t>
  </si>
  <si>
    <t>Other Income:</t>
  </si>
  <si>
    <t>SEM Rental Income</t>
  </si>
  <si>
    <t>Breaker Rental Income</t>
  </si>
  <si>
    <t>Income from Scrap Sales</t>
  </si>
  <si>
    <t>Fixed deposit Interest</t>
  </si>
  <si>
    <t>NOT IN USE CASE</t>
  </si>
  <si>
    <t>Less : Scalp</t>
  </si>
  <si>
    <t>CLOSING STOCK AND VALUE CALCULATION - PRODUCTION</t>
  </si>
  <si>
    <t>RMK SANDS</t>
  </si>
  <si>
    <t>Voora JK Tower, 4th Floor, 4A, No 28,</t>
  </si>
  <si>
    <t>Bazullah Road, T Nagar</t>
  </si>
  <si>
    <t>Bazullah Road, T Nagar,</t>
  </si>
  <si>
    <t>Chennai</t>
  </si>
  <si>
    <t>CIN: U14100TN2019PTC128916</t>
  </si>
  <si>
    <t>Trial Balance</t>
  </si>
  <si>
    <t>1-Jan-25 to 31-Jan-25</t>
  </si>
  <si>
    <t/>
  </si>
  <si>
    <t>1.RMK SANDS PRIVATE LIMITED - (from 1-Apr-2021)</t>
  </si>
  <si>
    <t>2.RMK SANDS PRIVATE LTD - (from 1-Apr-2021)</t>
  </si>
  <si>
    <t>Transactions</t>
  </si>
  <si>
    <t>Balance</t>
  </si>
  <si>
    <t>Debit</t>
  </si>
  <si>
    <t>Credit</t>
  </si>
  <si>
    <t>Indirect Incomes</t>
  </si>
  <si>
    <t>Heading</t>
  </si>
  <si>
    <t>Indirect Expenses</t>
  </si>
  <si>
    <t>Interest Received</t>
  </si>
  <si>
    <t>Ignore</t>
  </si>
  <si>
    <t>GST Expenses</t>
  </si>
  <si>
    <t>Cost of Materials</t>
  </si>
  <si>
    <t>Quarry 1</t>
  </si>
  <si>
    <t>Q1 Explosives - Quarry</t>
  </si>
  <si>
    <t>Q1 Explosives - Quarry - 275</t>
  </si>
  <si>
    <t>Q1 Other Quarry Cost</t>
  </si>
  <si>
    <t>Q1 Employee Cost - Quarry</t>
  </si>
  <si>
    <t>Q1 Staff Welfare - Quarry</t>
  </si>
  <si>
    <t>Q1 Food Expenses - Quarry - 276</t>
  </si>
  <si>
    <t>Q1 Fuel Expenses - Quarry</t>
  </si>
  <si>
    <t>Q1 Salary - Quarry - 300</t>
  </si>
  <si>
    <t>Q1 Fuel Cat 6 Quarry-572</t>
  </si>
  <si>
    <t>Q1 Sathish Bike Petrol - Quarry - 301</t>
  </si>
  <si>
    <t>Q1 Other Expenses - Quarry</t>
  </si>
  <si>
    <t>Hire Charges - (62.5 KVA SP DG Set) - Chetpat - 447</t>
  </si>
  <si>
    <t>Q1 Transit Pass Expenses - Quarry - 303</t>
  </si>
  <si>
    <t>Q1 Repairs &amp; Maintenance - Quarry</t>
  </si>
  <si>
    <t>Q1 Maintenanace - Bike - Quarry - 288</t>
  </si>
  <si>
    <t>Q1 Repair &amp; Maintenance - Quarry - 294</t>
  </si>
  <si>
    <t>Q1 Labour - Explosives - 287</t>
  </si>
  <si>
    <t>Q1 Bata - Explosives - 266</t>
  </si>
  <si>
    <t>Q1 Permit Expenses - Quarry</t>
  </si>
  <si>
    <t>Q1 Compressor Rent - Quarry - 270</t>
  </si>
  <si>
    <t>Q1 Chakkai Pass - 269</t>
  </si>
  <si>
    <t>Q1 Fuel Genset 62.5kva - 543</t>
  </si>
  <si>
    <t>Q1 Transport Expenses</t>
  </si>
  <si>
    <t>Q1 Royalty Fee - 299</t>
  </si>
  <si>
    <t>Q1 Transport Charges Inward - 326</t>
  </si>
  <si>
    <t>Quarry 2</t>
  </si>
  <si>
    <t>Q2 EB Charges - Quarry - 308</t>
  </si>
  <si>
    <t>Q1-Repairs &amp; Maintenance - CAT 6-571</t>
  </si>
  <si>
    <t>Quarry 3</t>
  </si>
  <si>
    <t>Q3 Fuel Expenses - Quarry</t>
  </si>
  <si>
    <t>Q3 Fuel CAT 3 Quarry - 470</t>
  </si>
  <si>
    <t>Q2 Employee Cost - Quarry</t>
  </si>
  <si>
    <t>Q3 Fuel Cat 5 Quarry - 475</t>
  </si>
  <si>
    <t>Q2 Salary - Quarry - 322</t>
  </si>
  <si>
    <t>Q3 Compressor Rent - Quarry - 479</t>
  </si>
  <si>
    <t>Q3 Fuel Cat 4 Quarry - 515</t>
  </si>
  <si>
    <t>Q3 Employee Cost - Quarry</t>
  </si>
  <si>
    <t>Q3 Fuel Genset 82.5kva - 547</t>
  </si>
  <si>
    <t>Q3 Salary - Quarry - 513</t>
  </si>
  <si>
    <t>Q3-Hire Charges - (62.5 KVA SP DG Set) -538</t>
  </si>
  <si>
    <t>Q3 Explosives - Quarry</t>
  </si>
  <si>
    <t>Employee Cost</t>
  </si>
  <si>
    <t>Q3 Explosives - Quarry - 480</t>
  </si>
  <si>
    <t>Gross Salary - 398</t>
  </si>
  <si>
    <t>PF employer - 400</t>
  </si>
  <si>
    <t>Non Operating Expenses</t>
  </si>
  <si>
    <t>Non Operating Expenses - Crusher</t>
  </si>
  <si>
    <t>Q3 Other Quarry Cost</t>
  </si>
  <si>
    <t>Repairs &amp; Maintenance - Non Operating Crusher - 184</t>
  </si>
  <si>
    <t>Q3 Bata - Explosives - 511</t>
  </si>
  <si>
    <t>Q1 Repairs &amp; Maintenance - Non Operating Quarry</t>
  </si>
  <si>
    <t>Q3 Labour - Explosives - 481</t>
  </si>
  <si>
    <t>Q1 Repair &amp; Maintenance - Non Operating - Quarry - 180</t>
  </si>
  <si>
    <t>Q3 Chakkai Pass - 539</t>
  </si>
  <si>
    <t>EMI - Car GLS - 167</t>
  </si>
  <si>
    <t>Other Admin &amp; Finance Cost</t>
  </si>
  <si>
    <t>Director Remuneration</t>
  </si>
  <si>
    <t>Q3 Fuel Charges (Rmk Lorry)-501</t>
  </si>
  <si>
    <t>Director Remuneration - Sankar - 202</t>
  </si>
  <si>
    <t>Q3 Gravel Pass - 538</t>
  </si>
  <si>
    <t>Director Remuneration - S.Ramprakash - 201</t>
  </si>
  <si>
    <t>Q3 Repair &amp; Maintenance - 505</t>
  </si>
  <si>
    <t>Employee Cost - Admin</t>
  </si>
  <si>
    <t>Q3-Repairs &amp; Maintenance - CAT 3-523</t>
  </si>
  <si>
    <t>Staff Welfare - Admin</t>
  </si>
  <si>
    <t>Q3-Repairs &amp; Maintenance - CAT 4 - 520</t>
  </si>
  <si>
    <t>Staff Welfare - Admin - 217</t>
  </si>
  <si>
    <t>Q3-Repairs &amp; Maintenance - CAT 5-526</t>
  </si>
  <si>
    <t>Finance Cost - Admin</t>
  </si>
  <si>
    <t>Q3 R&amp;M  (Rmk Lorry )-558</t>
  </si>
  <si>
    <t>Interest on Term Loan</t>
  </si>
  <si>
    <t>Q3 Salary-  (Rmk Lorry )-552</t>
  </si>
  <si>
    <t>Interest Paid on Caterpillar Loan - 155</t>
  </si>
  <si>
    <t>Q3 Transport Charges Inward - 542</t>
  </si>
  <si>
    <t>Interest Paid on Caterpillar Loan -545</t>
  </si>
  <si>
    <t>Q3 Transport Intercart Charges-491</t>
  </si>
  <si>
    <t>Interest Paid on Loader Loan - 157</t>
  </si>
  <si>
    <t>Interest Paid on Pro Wash Loan - 414</t>
  </si>
  <si>
    <t>Interest Paid on Term Loan (MSME) - 160</t>
  </si>
  <si>
    <t>Interest on Thar Car Loan - 459</t>
  </si>
  <si>
    <t>Non Operating Expenses - Chetpet</t>
  </si>
  <si>
    <t>Interest Paid on Bills Discounting</t>
  </si>
  <si>
    <t>Q1 Site Development - Chetpet Non Operating - 396</t>
  </si>
  <si>
    <t>Other Admin Expenses</t>
  </si>
  <si>
    <t>Communication Expenses - Admin</t>
  </si>
  <si>
    <t>Bike Service - Non Operating - 164</t>
  </si>
  <si>
    <t>Telephone/CUG Expenses- Admin - 223</t>
  </si>
  <si>
    <t>Black Quarry - Non Operating Expenses -489</t>
  </si>
  <si>
    <t>Postage &amp; Courier - Admin</t>
  </si>
  <si>
    <t>Pet Expenses - 175</t>
  </si>
  <si>
    <t>Courier Expenses - Admin - 199</t>
  </si>
  <si>
    <t>Printing &amp; Stationary - Admin</t>
  </si>
  <si>
    <t>Printing &amp; Stationery Expenses-Admin - 213</t>
  </si>
  <si>
    <t>Business Promotion - Admin</t>
  </si>
  <si>
    <t>Travelling &amp; Conveyance - Admin</t>
  </si>
  <si>
    <t>Gift - Admin - 208</t>
  </si>
  <si>
    <t>Travelling &amp; Conveyance - Admin - 226</t>
  </si>
  <si>
    <t>Bank Charges - 195</t>
  </si>
  <si>
    <t>Salary - Admin</t>
  </si>
  <si>
    <t>EB Charges - Admin - 447</t>
  </si>
  <si>
    <t>Salary - Admin - 215</t>
  </si>
  <si>
    <t>Office Rent - 424</t>
  </si>
  <si>
    <t>Other Expenses - Admin - 211</t>
  </si>
  <si>
    <t>Interest Paid</t>
  </si>
  <si>
    <t>Pooja Expenses - Admin - 212</t>
  </si>
  <si>
    <t>Interest - Kishore - 148</t>
  </si>
  <si>
    <t>Rounded Off - 214</t>
  </si>
  <si>
    <t>Interest - Krishnan - 149</t>
  </si>
  <si>
    <t>Audit Fees - 426</t>
  </si>
  <si>
    <t>Interest - Ramprakash - 151</t>
  </si>
  <si>
    <t>Business Promotion - Admin - 196</t>
  </si>
  <si>
    <t>Professional charges - 445</t>
  </si>
  <si>
    <t>Production Expenses</t>
  </si>
  <si>
    <t>Chemicals - Crusher</t>
  </si>
  <si>
    <t>N-Floc - Crusher - 363</t>
  </si>
  <si>
    <t>Electricity Charges - Crusher</t>
  </si>
  <si>
    <t>Director Fuel Expenses</t>
  </si>
  <si>
    <t>Electricity Charges HT - Crusher - 027</t>
  </si>
  <si>
    <t>Fuel - Ramprakash - 361</t>
  </si>
  <si>
    <t>Employee Cost - Crusher</t>
  </si>
  <si>
    <t>Donation - Admin - 203</t>
  </si>
  <si>
    <t>Staff Welfare - Crusher</t>
  </si>
  <si>
    <t>Canteen Expenses - Crusher</t>
  </si>
  <si>
    <t>Chicken - Canteen - 015</t>
  </si>
  <si>
    <t>Eggs - Canteen - 025</t>
  </si>
  <si>
    <t>Gas Cylinder - Canteen - 046</t>
  </si>
  <si>
    <t>Salary - Crusher</t>
  </si>
  <si>
    <t>Milk - Canteen - 063</t>
  </si>
  <si>
    <t>Salary - Crusher - 107</t>
  </si>
  <si>
    <t>Provisions/ Groceries - Canteen - 079</t>
  </si>
  <si>
    <t>Salary O&amp;M - Crusher - 108</t>
  </si>
  <si>
    <t>Rice - Canteen - 105</t>
  </si>
  <si>
    <t>Vegetables - Canteen - 132</t>
  </si>
  <si>
    <t>Fuel - Crusher</t>
  </si>
  <si>
    <t>Caterers - 011</t>
  </si>
  <si>
    <t>Fuel Bolero New Crusher - 397</t>
  </si>
  <si>
    <t>Fuel Bolero TN07CT8761 Crusher - 029</t>
  </si>
  <si>
    <t>Kadai - Canteen - 055</t>
  </si>
  <si>
    <t>Fuel Discount - 034</t>
  </si>
  <si>
    <t>Mutton - Canteen - 064</t>
  </si>
  <si>
    <t>Fuel Genset 75kva Crusher - 036</t>
  </si>
  <si>
    <t>Packing Materials - Canteen - 071</t>
  </si>
  <si>
    <t>Fuel Hyundai Crusher - 039</t>
  </si>
  <si>
    <t>Fuel JCB 170 Crusher - 456</t>
  </si>
  <si>
    <t>Repairs &amp; Maintenance - Canteen - 080</t>
  </si>
  <si>
    <t>Fuel JCB Crusher - 040</t>
  </si>
  <si>
    <t>Fuel Loader 2 Crusher - 451</t>
  </si>
  <si>
    <t>Food Expenses - Crusher - 028</t>
  </si>
  <si>
    <t>Fuel Loader Crusher - 368</t>
  </si>
  <si>
    <t>Bonus - Crusher - 009</t>
  </si>
  <si>
    <t>Insurance Paid - Crusher</t>
  </si>
  <si>
    <t>Company Bike Petrol - Crusher - 016</t>
  </si>
  <si>
    <t>Other Expenses - Crusher</t>
  </si>
  <si>
    <t>Fuel CAT3 Crusher - 031</t>
  </si>
  <si>
    <t>Other Crusher Cost</t>
  </si>
  <si>
    <t>Fuel CAT 4 Crusher - 461</t>
  </si>
  <si>
    <t>Printing &amp; Stationery - Crusher</t>
  </si>
  <si>
    <t>Fuel CAT 5 Crusher - 457</t>
  </si>
  <si>
    <t>Printing &amp; Stationery - Crusher - 077</t>
  </si>
  <si>
    <t>Fuel Company Bike - Crusher - 032</t>
  </si>
  <si>
    <t>Royalty-Govt Fee</t>
  </si>
  <si>
    <t>Rental Expenses - Crusher</t>
  </si>
  <si>
    <t>Hire Charges - (62.5 KVA SP DG Set) - Crusher - 048</t>
  </si>
  <si>
    <t>Repairs &amp; Maintenance - Crusher</t>
  </si>
  <si>
    <t>Repairs &amp; Maintenance - Excavator</t>
  </si>
  <si>
    <t>Intercart - Crusher</t>
  </si>
  <si>
    <t>Fuel Charges- Crusher (Rmk Lorry )-547</t>
  </si>
  <si>
    <t>R&amp;M- Crusher  (Rmk Lorry )-559</t>
  </si>
  <si>
    <t>Salary -Crusher  (Rmk Lorry )-553</t>
  </si>
  <si>
    <t>Transport Charges - Intercart - 425</t>
  </si>
  <si>
    <t>Repairs &amp; Maintenance - CAT 6-544</t>
  </si>
  <si>
    <t>Monthly Commitment &amp; Testing - Crusher</t>
  </si>
  <si>
    <t>Repairs &amp; Maintenance - Loader</t>
  </si>
  <si>
    <t>AD Mines - 265</t>
  </si>
  <si>
    <t>Cheyyar Thasildhar -</t>
  </si>
  <si>
    <t>Dy. Thasildhar - Chetpet - 391</t>
  </si>
  <si>
    <t>Repairs &amp; Maintenance - Others Crusher</t>
  </si>
  <si>
    <t>EB AE (Reading) - 024</t>
  </si>
  <si>
    <t>Bike Service - Crusher - 007</t>
  </si>
  <si>
    <t>Police - Chetpet - 117</t>
  </si>
  <si>
    <t>Maintenance Bolero - Crusher - 060</t>
  </si>
  <si>
    <t>Police - Highway patrol - 389</t>
  </si>
  <si>
    <t>Maintenance Bolero TN07CT8761 Crusher - 061</t>
  </si>
  <si>
    <t>Police - Perunagar - 386</t>
  </si>
  <si>
    <t>Repairs &amp; Maintenance - Electrical Spares (Crusher) - 089</t>
  </si>
  <si>
    <t>Police - Perunagar- SI - 387</t>
  </si>
  <si>
    <t>Repairs &amp; Maintenance - Plant</t>
  </si>
  <si>
    <t>Police - Ponnur - 384</t>
  </si>
  <si>
    <t>Police - Thesur - 388</t>
  </si>
  <si>
    <t>Police - Uthiramerur - 404</t>
  </si>
  <si>
    <t>Police - Vadavanakampadi - 385</t>
  </si>
  <si>
    <t>Police - Vandavasi Inspector - 406</t>
  </si>
  <si>
    <t>Police - Vandavasi SI - 405</t>
  </si>
  <si>
    <t>Police - Vandavasi South - 383</t>
  </si>
  <si>
    <t>Police - Vandavasi town - 104</t>
  </si>
  <si>
    <t>RI - Cheyyar -</t>
  </si>
  <si>
    <t>Tanker Expenses</t>
  </si>
  <si>
    <t>RI - Devikapuram - 394</t>
  </si>
  <si>
    <t>Repairs &amp; Maintenance - Tanker (SMK) - 098</t>
  </si>
  <si>
    <t>RI / VAO - Veerambakkam - 317</t>
  </si>
  <si>
    <t>Water Expenses</t>
  </si>
  <si>
    <t>Special RI Villupuram JD Mines - 510</t>
  </si>
  <si>
    <t>Fuel - SMK Water Tanker - 358</t>
  </si>
  <si>
    <t>Thasildhar - Chetpet - 390</t>
  </si>
  <si>
    <t>Transport Charges - Crusher - 122</t>
  </si>
  <si>
    <t>Thasildhar Driver - Chetpet - 392</t>
  </si>
  <si>
    <t>Quarry Development - Black Quarry</t>
  </si>
  <si>
    <t>Thasildhar OA - Chetpet - 393</t>
  </si>
  <si>
    <t>Compressor Rent -Black Quarry Development - 483</t>
  </si>
  <si>
    <t>VAO - Muruganandhal - 395</t>
  </si>
  <si>
    <t>Selling &amp; Distribution Expenses</t>
  </si>
  <si>
    <t>VAO Soundaryapuram - 509</t>
  </si>
  <si>
    <t>Driver Bata - S&amp;D - 330</t>
  </si>
  <si>
    <t>Pooja Expenses - Crusher</t>
  </si>
  <si>
    <t>Transport Control Group</t>
  </si>
  <si>
    <t>Pooja Expenses - Crusher - 075</t>
  </si>
  <si>
    <t>CWC - Eicher 1 - 10 Wheeler</t>
  </si>
  <si>
    <t>Fuel - CWC 1 - 235</t>
  </si>
  <si>
    <t>Repairs &amp; Maintenance - CWC 1 - 238</t>
  </si>
  <si>
    <t>Travelling &amp; Conveyance - Crusher</t>
  </si>
  <si>
    <t>CWC - Eicher 2 - 10 wheeler</t>
  </si>
  <si>
    <t>Conveyance - Crusher - 018</t>
  </si>
  <si>
    <t>Fuel - CWC 2 - 240</t>
  </si>
  <si>
    <t>Travelling &amp; Conveyance - Crusher - 130</t>
  </si>
  <si>
    <t>Repairs &amp; Maintenance - CWC 2 - 243</t>
  </si>
  <si>
    <t>Prudential - Bharath Benz - 6 Wheeler</t>
  </si>
  <si>
    <t>Fuel - Prudential 6 Wheeler - 250</t>
  </si>
  <si>
    <t>Repairs &amp; Maintenance - Prudential 6 Wheeler - 380</t>
  </si>
  <si>
    <t>Vehicle Rental Charges-509</t>
  </si>
  <si>
    <t>Profit &amp; Loss A/c</t>
  </si>
  <si>
    <t>Grand Total</t>
  </si>
  <si>
    <t>Electrical Materials/Work - Others Crusher - 026</t>
  </si>
  <si>
    <t>Slurry Maintenance - Crusher</t>
  </si>
  <si>
    <t>Fuel Charges- Slurry (Rmk Lorry )-548</t>
  </si>
  <si>
    <t>Fuel Excavator - Slurry Maintenance - 035</t>
  </si>
  <si>
    <t>Repairs &amp; Maintenance - Slurry - 097</t>
  </si>
  <si>
    <t>R&amp;M- Slurry (Rmk Lorry )-560</t>
  </si>
  <si>
    <t>Salary Slurry-537</t>
  </si>
  <si>
    <t>Salary - Slurry (Rmk Lorry )-554</t>
  </si>
  <si>
    <t>Fuel -Development Black Quarry-502</t>
  </si>
  <si>
    <t>Q3 Explosives - Black Quarry Development - 482</t>
  </si>
  <si>
    <t>Q3 Fuel Intercart -Development-496</t>
  </si>
  <si>
    <t>Q3 Labour Explosives - Quarry Development - 484</t>
  </si>
  <si>
    <t>Q3 Repair &amp; Maintenance - Quarry Development-534</t>
  </si>
  <si>
    <t>Q3-Salary-Quarry Development-536</t>
  </si>
  <si>
    <t>Fuel Expenses - S&amp;D</t>
  </si>
  <si>
    <t>Fuel Excavator - S&amp;D - 331</t>
  </si>
  <si>
    <t>Transport Charges - S&amp;D</t>
  </si>
  <si>
    <t>Transport Charges - S&amp;D - 333</t>
  </si>
  <si>
    <t>Transport Charges - S&amp;D - Trading</t>
  </si>
  <si>
    <t>Fuel Charges- Sales (Rmk Lorry )-549</t>
  </si>
  <si>
    <t>Repair &amp; Maintenance - S&amp;D-535</t>
  </si>
  <si>
    <t>R&amp;M- Sales (Rmk Lorry )-561</t>
  </si>
  <si>
    <t>Salary Marketing- 514</t>
  </si>
  <si>
    <t>Salary - Sales - 332</t>
  </si>
  <si>
    <t>Salary - Sales (Rmk Lorry )-555</t>
  </si>
  <si>
    <t>EXPENSE WORKING - INPUT EXCEL</t>
  </si>
  <si>
    <t xml:space="preserve">New Category </t>
  </si>
  <si>
    <t>LIST OF LEDGERS</t>
  </si>
  <si>
    <t>Category 1</t>
  </si>
  <si>
    <t>Category 2</t>
  </si>
  <si>
    <t>Category 3</t>
  </si>
  <si>
    <t>Reporting group</t>
  </si>
  <si>
    <t>Bucket</t>
  </si>
  <si>
    <t>Production/Non Production</t>
  </si>
  <si>
    <t>Tally 1</t>
  </si>
  <si>
    <t>Tally 2</t>
  </si>
  <si>
    <t>P &amp; L</t>
  </si>
  <si>
    <t>Quarry Chetpat</t>
  </si>
  <si>
    <t>Chetpat quarry</t>
  </si>
  <si>
    <t>Q1 Drinking Water - Quarry - 272</t>
  </si>
  <si>
    <t>Annexure</t>
  </si>
  <si>
    <t>Staff / labour welfare - Other expenses - Quarry</t>
  </si>
  <si>
    <t>Q1 Staff Welfare - Quarry - 302</t>
  </si>
  <si>
    <t>Employee salary</t>
  </si>
  <si>
    <t>Q1 Diesel Pump - Quarry - 365</t>
  </si>
  <si>
    <t>Q1 Fuel Cat 1 Quarry - 279</t>
  </si>
  <si>
    <t>Q1 Fuel Cat 2 Quarry - 280</t>
  </si>
  <si>
    <t>Q1 Fuel CAT 3 Quarry - 444</t>
  </si>
  <si>
    <t>Q1 Fuel Cat 4 Quarry - 465</t>
  </si>
  <si>
    <t>Q1 Fuel Cat 5 Quarry</t>
  </si>
  <si>
    <t>Q1 Fuel - Compressor - 277</t>
  </si>
  <si>
    <t>Q1 Fuel Compressor - Quarry - 281</t>
  </si>
  <si>
    <t>Q1 Fuel - Diesel Pump - 278</t>
  </si>
  <si>
    <t>Q1 Fuel Others - Quarry - 282</t>
  </si>
  <si>
    <t>DG hire charges - Other direct cost</t>
  </si>
  <si>
    <t>Q1 Pet Expenses - Quarry - 292</t>
  </si>
  <si>
    <t>Other expenses - Quarry</t>
  </si>
  <si>
    <t>Q1 Printing &amp; Stationery - Quarry - 293</t>
  </si>
  <si>
    <t>Printing &amp; stationery  - Other expenses - Quarry</t>
  </si>
  <si>
    <t>Transit pass / Permit</t>
  </si>
  <si>
    <t>Chakkai pass</t>
  </si>
  <si>
    <t>Other</t>
  </si>
  <si>
    <t>Q1 JCB Rent - Quarry - 286</t>
  </si>
  <si>
    <t>JCB Rent - Other expenses - Quarry</t>
  </si>
  <si>
    <t>Repairs &amp; maintenance - Bike - Other expenses - Quarry</t>
  </si>
  <si>
    <t>Repairs &amp; maintenance - Quarry site - Other expenses - Quarry</t>
  </si>
  <si>
    <t>Q1 Repairs &amp; Maintenance - CAT 1 - 295</t>
  </si>
  <si>
    <t>Repairs &amp; maintenance - Excavator - Other expenses - Quarry</t>
  </si>
  <si>
    <t>Q1 Repairs &amp; Maintenance - CAT 2 - 296</t>
  </si>
  <si>
    <t>Q1 Repairs &amp; Maintenance - Excavator - 297</t>
  </si>
  <si>
    <t>Q1 Bike Petrol - Rajesh - Quarry - 268</t>
  </si>
  <si>
    <t>Travelling &amp; conveyance - Other expenses - Quarry</t>
  </si>
  <si>
    <t>Q1 Conveyance - Quarry - 271</t>
  </si>
  <si>
    <t>Bata - Operator - Other expenses - Quarry</t>
  </si>
  <si>
    <t>Q1 Bata - Others - 267</t>
  </si>
  <si>
    <t>Q1 EB Charges - Quarry - 274</t>
  </si>
  <si>
    <t>Electricity</t>
  </si>
  <si>
    <t>Q1 Insurance CAT 1- Quarry - 284</t>
  </si>
  <si>
    <t>Insurance - CAT 1 - Other expenses - Quarry</t>
  </si>
  <si>
    <t>Q1 Insurance CAT 2 - Quarry - 285</t>
  </si>
  <si>
    <t>Insurance - CAT 2 - Other expenses - Quarry</t>
  </si>
  <si>
    <t>Labour charges quarry - Other expenses - Quarry</t>
  </si>
  <si>
    <t>Q1 Matt - Quarry - 289</t>
  </si>
  <si>
    <t>Matt / Metal box expenses (explosives) - Other expenses - Quarry</t>
  </si>
  <si>
    <t>Q1 Operator Bata - Quarry - 291</t>
  </si>
  <si>
    <t>Q1 Gravel Pass - 283</t>
  </si>
  <si>
    <t>Q1 RMK Chakkai Pass - 298</t>
  </si>
  <si>
    <t>Q1 Driver Bata - Transport - 273</t>
  </si>
  <si>
    <t>Driver bata - Site expenses</t>
  </si>
  <si>
    <t>Conveyance - Transport - 264</t>
  </si>
  <si>
    <t>Inward transport (Rented vehicle)</t>
  </si>
  <si>
    <t>Transportation from Chetpat Quarry</t>
  </si>
  <si>
    <t>Q1 Transport Charges Inward - CWC 1 - 327</t>
  </si>
  <si>
    <t>Q1 Transport Charges Inward - Prudential 12 Wheeler - 328</t>
  </si>
  <si>
    <t>Q1 Transport Charges Inward - SMK 12 Wheeler - 329</t>
  </si>
  <si>
    <t>Q1 Transport Charges Inward - SMK 4141 - 435</t>
  </si>
  <si>
    <t>Q1 Transport Charges Inward - SMK 4142 - 436</t>
  </si>
  <si>
    <t>Q1 Transport Charges Inward - SMK 4143 - 437</t>
  </si>
  <si>
    <t>Q1 Transport Charges Inward - SMK 4144 - 438</t>
  </si>
  <si>
    <t>Q1 Transport Charges Inward - SMK 4145 - 439</t>
  </si>
  <si>
    <t>Q1 Transport Charges Inward - SMK 4146 - 440</t>
  </si>
  <si>
    <t>Q1 Transport Charges - Quarry - 325</t>
  </si>
  <si>
    <t>Transport - Others - Other expenses - Quarry</t>
  </si>
  <si>
    <t>Royalty fee</t>
  </si>
  <si>
    <t>Q1 Rajesh Bike Service - Quarry - 179</t>
  </si>
  <si>
    <t>Repair &amp; Maintenance - Non operating - Non Operating expenses</t>
  </si>
  <si>
    <t>Q1 Annual Subscription - Quarry - 178</t>
  </si>
  <si>
    <t>Annual subscription expenses - Other expenses - Quarry</t>
  </si>
  <si>
    <t>Site development expenses - Non Operating expenses</t>
  </si>
  <si>
    <t>Site development</t>
  </si>
  <si>
    <t>VAO / Thasildar</t>
  </si>
  <si>
    <t>Chakkai Pass - Others</t>
  </si>
  <si>
    <t>Quarry Veeram</t>
  </si>
  <si>
    <t>Cloud Data Storage- 570</t>
  </si>
  <si>
    <t>Other admin expenses - Admin Expenses</t>
  </si>
  <si>
    <t>SUB TOTAL</t>
  </si>
  <si>
    <t>Q2 Royalty Fee - 321</t>
  </si>
  <si>
    <t>Q2 Explosives - Quarry - 309</t>
  </si>
  <si>
    <t>Q2 Fuel Ashok Leyland Demo Lorry - Quarry - 366</t>
  </si>
  <si>
    <t>Q2 Fuel Cat 6 Quarry -569</t>
  </si>
  <si>
    <t>Q2 Fuel CAT1 Quarry - 311</t>
  </si>
  <si>
    <t>Q2 Fuel CAT2 Quarry - 427</t>
  </si>
  <si>
    <t>Q2 Fuel CAT 3 Quarry - 310</t>
  </si>
  <si>
    <t>Q2 Fuel Charges (Rmk Lorry) -500</t>
  </si>
  <si>
    <t>Transportation from Veeram Quarry</t>
  </si>
  <si>
    <t>Q2 Fuel Cat 4 Quarry - 448</t>
  </si>
  <si>
    <t>Q2 Fuel Cat 5 Quarry - 449</t>
  </si>
  <si>
    <t>Q2 Fuel Hyundai Quarry - 401</t>
  </si>
  <si>
    <t>Q2 Fuel JCB Quarry - 312</t>
  </si>
  <si>
    <t>Q2 Fuel Roy &amp; Co. Demo 2 Lorry - Quarry - 367</t>
  </si>
  <si>
    <t>Q2 Fuel Roy &amp; Co. Demo Lorry - Quarry - 313</t>
  </si>
  <si>
    <t>Q2 Fuel Sathish - Quarry - 314</t>
  </si>
  <si>
    <t>Q2 Conveyance - Quarry - 307</t>
  </si>
  <si>
    <t>Q2 Binding Wire - Quarry - 304</t>
  </si>
  <si>
    <t>Other quarry expenses - Other expenses - Quarry</t>
  </si>
  <si>
    <t>Q2 Labour Explosives - Quarry - 316</t>
  </si>
  <si>
    <t>Q2 Operator Bata - Quarry - 318</t>
  </si>
  <si>
    <t>Q2 Security Guard Salary - Quarry - 323</t>
  </si>
  <si>
    <t>Q2 Chakkai Pass - 305</t>
  </si>
  <si>
    <t>Q2 Gravel Pass - 315</t>
  </si>
  <si>
    <t>Q2 Transit Pass Expenses - Quarry - 324</t>
  </si>
  <si>
    <t>Q2 Repair &amp; Maintenance - Quarry - 319</t>
  </si>
  <si>
    <t>Q2 Repairs &amp; Maintenance - CAT 3 - 320</t>
  </si>
  <si>
    <t>Q2 Transport Charges Inward - CWC 1 - 341</t>
  </si>
  <si>
    <t>Q2 Transport Charges Inward - CWC 2 - 342</t>
  </si>
  <si>
    <t>Q2 Transport Charges Inward - Prudential 12 Wheeler - 343</t>
  </si>
  <si>
    <t>Q2 Transport Charges Inward - Prudential 6 Wheeler - 344</t>
  </si>
  <si>
    <t>Q2 Transport Charges Inward - SMK 10 Wheeler - 345</t>
  </si>
  <si>
    <t>Q2 Transport Charges Inward - SMK 12 Wheeler - 346</t>
  </si>
  <si>
    <t>Q2 Transport Charges Inward - SMK 4141 - 429</t>
  </si>
  <si>
    <t>Q2 Transport Charges Inward - SMK 4142 - 430</t>
  </si>
  <si>
    <t>Q2 Transport Charges Inward - SMK 4143 - 431</t>
  </si>
  <si>
    <t>Q2 Transport Charges Inward - SMK 4144 - 432</t>
  </si>
  <si>
    <t>Q2 Transport Charges Inward - SMK 4145 - 433</t>
  </si>
  <si>
    <t>Q2 Transport Charges Inward - SMK 4146 - 434</t>
  </si>
  <si>
    <t>Q2 Transport Charges - Quarry - 340</t>
  </si>
  <si>
    <t>Q2 Compressor Rent - Quarry - 306</t>
  </si>
  <si>
    <t>Q2 Repair &amp; Maintenance - Non Operating Quarry - 181</t>
  </si>
  <si>
    <t>Compressor Rent - Veerambakkam Quarry Development - 347</t>
  </si>
  <si>
    <t>Quarry development - Veerambakkam</t>
  </si>
  <si>
    <t>Fuel Excavator - Veerambakkam Quarry Development - 348</t>
  </si>
  <si>
    <t>Labour Explosives - Veerambakkam Quarry Development - 349</t>
  </si>
  <si>
    <t>Q2 Explosives - Veerambakkam Quarry Development - 350</t>
  </si>
  <si>
    <t>Q2 Labour Explosives - Quarry Development - 351</t>
  </si>
  <si>
    <t>Transport Charges - Veerambakkam Quarry Development - 352</t>
  </si>
  <si>
    <t>Transport Charges - Veerambakkam Road Work - 353</t>
  </si>
  <si>
    <t>Other government department</t>
  </si>
  <si>
    <t>GNP Excavator Rent - 446</t>
  </si>
  <si>
    <t>Q2 Repair &amp; Maintenance - Quarry Development-533</t>
  </si>
  <si>
    <t>Overtime - 399</t>
  </si>
  <si>
    <t>Total P &amp; F Charges</t>
  </si>
  <si>
    <t>Other expenses - Site expenses</t>
  </si>
  <si>
    <t>Giridhar Payment - Chetpet - 172</t>
  </si>
  <si>
    <t>AC Maintenance - Non Operating Crusher - 162</t>
  </si>
  <si>
    <t>Repair &amp; maintenance - AC</t>
  </si>
  <si>
    <t>Bike Service - Dhanasekar - 163</t>
  </si>
  <si>
    <t>Travelling &amp; Conveyance - Site expenses</t>
  </si>
  <si>
    <t>Corona Relief Fund - 165</t>
  </si>
  <si>
    <t>Annual subscription expenses - Non Operating expenses</t>
  </si>
  <si>
    <t>Crane Hire Charges - Non Operating Crusher - 166</t>
  </si>
  <si>
    <t>Crane hire charges - Non operation - Non Operating expenses</t>
  </si>
  <si>
    <t>Fuel Excavator - Crusher (Non Operating) - 168</t>
  </si>
  <si>
    <t>Fuel expenses - Excavator - Non Operating expenses</t>
  </si>
  <si>
    <t>Fuel Hyundai - Crusher Site Development - 170</t>
  </si>
  <si>
    <t>Fuel JCB - Crusher Site Development - 171</t>
  </si>
  <si>
    <t>Labour - Crusher Civil Work - 173</t>
  </si>
  <si>
    <t>Pet expenses - Non Operating expenses</t>
  </si>
  <si>
    <t>Plumbing Materials/Work - Crusher Non Operating Exp - 176</t>
  </si>
  <si>
    <t>Plumbing Work - Non Operating Expenses - 177</t>
  </si>
  <si>
    <t>Safety Items - Crusher - 187</t>
  </si>
  <si>
    <t>Safety items - Site expenses</t>
  </si>
  <si>
    <t>Safety items</t>
  </si>
  <si>
    <t>Scaffolding Materials - Non Operating - 188</t>
  </si>
  <si>
    <t>Site Development - Non Operating Expenses - 381</t>
  </si>
  <si>
    <t>SMK Quarry - Expenses - 112</t>
  </si>
  <si>
    <t>SMK quarry - expenses - Non Operating expenses</t>
  </si>
  <si>
    <t>Transport Charges - Crusher (Non Operating) - 190</t>
  </si>
  <si>
    <t>Transportation - others - Non Operating expenses</t>
  </si>
  <si>
    <t>Transport Charges - Crusher Site Development - 191</t>
  </si>
  <si>
    <t>Transport Charges - Non Operating Expenses - 192</t>
  </si>
  <si>
    <t>Fuel Expenses - Demo Lorry - 169</t>
  </si>
  <si>
    <t>Transport - Intercart (all cost)</t>
  </si>
  <si>
    <t>Insurance - Car GLS - 408</t>
  </si>
  <si>
    <t>Insurance - GLS - Non Operating expenses</t>
  </si>
  <si>
    <t>Repairs &amp; Maintenance - Computer - 182</t>
  </si>
  <si>
    <t>Repair &amp; maintenance - Computers - Admin Expenses</t>
  </si>
  <si>
    <t>Sponsorship  / Donation expenses - Admin Expenses</t>
  </si>
  <si>
    <t>Medical Expenses - Directors - 210</t>
  </si>
  <si>
    <t>Staff medical expenses - Admin - Admin Expenses</t>
  </si>
  <si>
    <t>Staff welfare - Admin - Admin Expenses</t>
  </si>
  <si>
    <t>Staff Welfare - Admin - CC - 218</t>
  </si>
  <si>
    <t>Staff Welfare - Kishan - 219</t>
  </si>
  <si>
    <t>Staff Medical Expenses - Admin - 216</t>
  </si>
  <si>
    <t>Loan Processing Fee - 161</t>
  </si>
  <si>
    <t>Bank charges - Admin Expenses</t>
  </si>
  <si>
    <t>Insurance - Car - Sankar - 209</t>
  </si>
  <si>
    <t>Email Charges - Admin - 204</t>
  </si>
  <si>
    <t>Email domain subscription - Admin Expenses</t>
  </si>
  <si>
    <t>Telephone/BB Expenses - Admin - 222</t>
  </si>
  <si>
    <t>Communication expenses - Admin Expenses</t>
  </si>
  <si>
    <t>Telephone Expenses - Marketing - 221</t>
  </si>
  <si>
    <t>Printing &amp; stationary - Admin Expenses</t>
  </si>
  <si>
    <t>Zoom/netlook/Apple - CC - 228</t>
  </si>
  <si>
    <t>Car Maintenance - GLS - 198</t>
  </si>
  <si>
    <t>Vehicle maintenance - non operation - Admin Expenses</t>
  </si>
  <si>
    <t>Car Maintenance - Ramprakash - 360</t>
  </si>
  <si>
    <t>Amazon Purchase - 193</t>
  </si>
  <si>
    <t>Travelling &amp; Conveyance - Admin - Admin Expenses</t>
  </si>
  <si>
    <t>Fuel Expenses - Gopinath - Admin - 206</t>
  </si>
  <si>
    <t>Fuel Faizal - Admin - 207</t>
  </si>
  <si>
    <t>Field Visit Data Collection &amp; Plan - 205</t>
  </si>
  <si>
    <t>Office rent - Admin Expenses</t>
  </si>
  <si>
    <t>Pooja expenses - Admin - Admin Expenses</t>
  </si>
  <si>
    <t>Rounding off account - Admin Expenses</t>
  </si>
  <si>
    <t>Tally Yearly Expenses</t>
  </si>
  <si>
    <t>Tips - Police Others - 224</t>
  </si>
  <si>
    <t>Videography - Admin - 227</t>
  </si>
  <si>
    <t>AMC - CCTV - 412</t>
  </si>
  <si>
    <t>Audit fee - Admin Expenses</t>
  </si>
  <si>
    <t>Bad Debts - 194</t>
  </si>
  <si>
    <t>Professional fee - Admin Expenses</t>
  </si>
  <si>
    <t>Chem Floc - Crusher - 013</t>
  </si>
  <si>
    <t>Chemical purchase</t>
  </si>
  <si>
    <t>Chemicals - Crusher - 014</t>
  </si>
  <si>
    <t>Tharmital-12 - Crusher - 364</t>
  </si>
  <si>
    <t>CW 08 - Chemicals - 463</t>
  </si>
  <si>
    <t>Security Guard Salary - Crusher - 111</t>
  </si>
  <si>
    <t>Security charges</t>
  </si>
  <si>
    <t>Biriyani - Canteen - 008</t>
  </si>
  <si>
    <t>Canteen expenses - Other than salary - Site expenses</t>
  </si>
  <si>
    <t>Charcoal - Canteen - 012</t>
  </si>
  <si>
    <t>Conveyance - Canteen - 017</t>
  </si>
  <si>
    <t>Curd - Canteen - 020</t>
  </si>
  <si>
    <t>Labour - Canteen - 056</t>
  </si>
  <si>
    <t>Other Expenses - Canteen - 068</t>
  </si>
  <si>
    <t>Salary - Canteen - 362</t>
  </si>
  <si>
    <t>Q1-Repairs &amp; Maintenance - CAT 4 - 518</t>
  </si>
  <si>
    <t>Q1-Repairs &amp; Maintenance - CAT 3-521</t>
  </si>
  <si>
    <t>Q2 Fuel JCB -517</t>
  </si>
  <si>
    <t>Q2-Repairs &amp; Maintenance - CAT 3-522</t>
  </si>
  <si>
    <t>Q2-Repairs &amp; Maintenance - CAT 4 - 519</t>
  </si>
  <si>
    <t>Q2-Repairs &amp; Maintenance - CAT 5-525</t>
  </si>
  <si>
    <t>Q2-Repairs &amp; Maintenance - JCB-530</t>
  </si>
  <si>
    <t>Quarry Black</t>
  </si>
  <si>
    <t>Black quarry</t>
  </si>
  <si>
    <t>Q3 Fuel Hyundai-516</t>
  </si>
  <si>
    <t>Q3 Fuel JCB Quarry - 478</t>
  </si>
  <si>
    <t>Q3-Repairs &amp; Maintenance - Hyundai-529</t>
  </si>
  <si>
    <t>Q3-Repairs &amp; Maintenance - JCB-531</t>
  </si>
  <si>
    <t>Quarry Development - Black</t>
  </si>
  <si>
    <t>Q3 Transport Intercart-Development-495</t>
  </si>
  <si>
    <t>Q3-Repairs &amp; Maintenance - CAT 6-545</t>
  </si>
  <si>
    <t>x</t>
  </si>
  <si>
    <t>Transport Charges - Canteen - 121</t>
  </si>
  <si>
    <t>Various Kitchen Items - Canteen - 131</t>
  </si>
  <si>
    <t>Water Expenses - Canteen - 134</t>
  </si>
  <si>
    <t>Water Vehicle Rent - Canteen - 136</t>
  </si>
  <si>
    <t>Staff welfare - Site expenses</t>
  </si>
  <si>
    <t>Staff Medical Expenses - Crusher - 113</t>
  </si>
  <si>
    <t>Staff medical expenses - Site expenses</t>
  </si>
  <si>
    <t>Staff Welfare - Crusher - 114</t>
  </si>
  <si>
    <t>Overtime Pay O&amp;M - Crusher - 069</t>
  </si>
  <si>
    <t>Production - Incentive - 078</t>
  </si>
  <si>
    <t>Dhanachezian Bike Petrol - 021</t>
  </si>
  <si>
    <t>Dhanasekaran Bike Petrol - Crusher - 022</t>
  </si>
  <si>
    <t>Fuel CAT1 Crusher - 030</t>
  </si>
  <si>
    <t>Fuel CAT2 Crusher - 428</t>
  </si>
  <si>
    <t>Fuel - Tata Hitachi Excavator - 462</t>
  </si>
  <si>
    <t>Fuel Dhanachezhian - Crusher - 033</t>
  </si>
  <si>
    <t>Fuel Expenses-Diesel Loss-416</t>
  </si>
  <si>
    <t>Fuel GNP Sany - Crusher - 037</t>
  </si>
  <si>
    <t>Fuel SEM Loader</t>
  </si>
  <si>
    <t>Fuel Pumpset - Crusher - 041</t>
  </si>
  <si>
    <t>Fuel - Rental JCB -</t>
  </si>
  <si>
    <t>Fuel Sathish - Crusher - 043</t>
  </si>
  <si>
    <t>Fuel Tractor Crusher - 045</t>
  </si>
  <si>
    <t>Gopi Bike Petrol - 047</t>
  </si>
  <si>
    <t>Mani Bike Petrol - Crusher - 062</t>
  </si>
  <si>
    <t>Insurance Bike - Crusher - 050</t>
  </si>
  <si>
    <t>Insurance Bolero - Crusher - 051</t>
  </si>
  <si>
    <t>Insurance - Bolero - Site expenses</t>
  </si>
  <si>
    <t>Insurance - CAT 1 - Other direct cost</t>
  </si>
  <si>
    <t>Insurance Hyundai - Crusher - 417</t>
  </si>
  <si>
    <t>Insurance - Hyundai - Other direct cost</t>
  </si>
  <si>
    <t>Insurance JCB - Crusher - 053</t>
  </si>
  <si>
    <t>Insurance - JCB - Other direct cost</t>
  </si>
  <si>
    <t>Insurance - SEM Loader 1 - Other direct cost</t>
  </si>
  <si>
    <t>Insurance - Propel - Other direct cost</t>
  </si>
  <si>
    <t>Transport Charges Intercart - CWC 1 - 124</t>
  </si>
  <si>
    <t>Transport Charges Intercart - CWC 2 - 125</t>
  </si>
  <si>
    <t>Transport Charges Intercart - Prudential 12 Wheeler - 126</t>
  </si>
  <si>
    <t>Transport Charges Intercart - Prudential 6 Wheeler - 127</t>
  </si>
  <si>
    <t>Transport Charges Intercart - SMK 10 Wheeler - 128</t>
  </si>
  <si>
    <t>Transport Charges Intercart - SMK 12 Wheeler - 129</t>
  </si>
  <si>
    <t>AD Mines</t>
  </si>
  <si>
    <t>JE - Mangal - 413</t>
  </si>
  <si>
    <t>Police - Tips</t>
  </si>
  <si>
    <t>RDO - Cheyyar - 290</t>
  </si>
  <si>
    <t>Pooja expenses - Site expenses</t>
  </si>
  <si>
    <t>Printing and stationary - Site expenses</t>
  </si>
  <si>
    <t>Fuel Gopinath Crusher – 038</t>
  </si>
  <si>
    <t>Operator Bata - Sany - Crusher - 066</t>
  </si>
  <si>
    <t>Sany operator Bata - Other direct cost</t>
  </si>
  <si>
    <t>Operator bata</t>
  </si>
  <si>
    <t>Operator Salary - GNP Sany - Crusher - 067</t>
  </si>
  <si>
    <t>GNP Sany operator salary - Other direct cost</t>
  </si>
  <si>
    <t>Operator salary</t>
  </si>
  <si>
    <t>Packing &amp; Forwarding - 369</t>
  </si>
  <si>
    <t>Transportation - others - Other direct cost</t>
  </si>
  <si>
    <t>Bata - CAT - 004</t>
  </si>
  <si>
    <t>Bata - Others - 005</t>
  </si>
  <si>
    <t>Crane Hire Charges - Crusher - 019</t>
  </si>
  <si>
    <t>Loading/unloading Expenses - Crusher - 059</t>
  </si>
  <si>
    <t>Police Fine - Others Crusher - 074</t>
  </si>
  <si>
    <t>Fine and penalties</t>
  </si>
  <si>
    <t>Purchase of Material - 415</t>
  </si>
  <si>
    <t>Purchase of raw material</t>
  </si>
  <si>
    <t>Sample Testing - Crusher - 109</t>
  </si>
  <si>
    <t>Sample testing - Other direct cost</t>
  </si>
  <si>
    <t>Printer Rent Crusher - 076</t>
  </si>
  <si>
    <t>Room Rent - Crusher - 106</t>
  </si>
  <si>
    <t>Sany Rent - Crusher - 110</t>
  </si>
  <si>
    <t>Sany hire charges</t>
  </si>
  <si>
    <t>Sany rent</t>
  </si>
  <si>
    <t>Tractor Rent - Crusher - 120</t>
  </si>
  <si>
    <t>Tractor hire charges - Other direct cost</t>
  </si>
  <si>
    <t>Tractor rent</t>
  </si>
  <si>
    <t>AMC Charges - CAT - 002</t>
  </si>
  <si>
    <t>AMC - Crusher - Other direct cost</t>
  </si>
  <si>
    <t>AMC Charges - Hyundai - Crusher - 003</t>
  </si>
  <si>
    <t>Repairs &amp; maintenance - Excavator - Other direct cost</t>
  </si>
  <si>
    <t>AMC Charges - Loader 1 - 464</t>
  </si>
  <si>
    <t>Repairs &amp; Maintenance - CAT 1 - 082</t>
  </si>
  <si>
    <t>Repairs &amp; maintenance - Others - Other direct cost</t>
  </si>
  <si>
    <t>Repairs &amp; maintenance - Bolero - Other direct cost</t>
  </si>
  <si>
    <t>Plumbing Materials/Work - Others Crusher - 073</t>
  </si>
  <si>
    <t>Repairs &amp; Maintenance - EB Crusher - 087</t>
  </si>
  <si>
    <t>Repairs &amp; Maintenance - Others Crusher - 093</t>
  </si>
  <si>
    <t>Repairs &amp; Maintenance - Tractor - 101</t>
  </si>
  <si>
    <t>Repairs &amp; Maintenance - Welding Machine - 103</t>
  </si>
  <si>
    <t>Service Charges</t>
  </si>
  <si>
    <t>Tools From Progressive - Crusher - 119</t>
  </si>
  <si>
    <t>Lubricant - Crusher - 116</t>
  </si>
  <si>
    <t>Omala S2 Oil - Crusher - 065</t>
  </si>
  <si>
    <t>Repairs &amp; maintenance - Plant - Other direct cost</t>
  </si>
  <si>
    <t>Freight</t>
  </si>
  <si>
    <t>Repairs &amp; Maintenance - Eco Wash - 088</t>
  </si>
  <si>
    <t>Repairs &amp; Maintenance - General/tools - 378</t>
  </si>
  <si>
    <t>Woven Wire Mesh &amp; Beeding - Crusher - 137</t>
  </si>
  <si>
    <t>AMC - Transformer - Other direct cost</t>
  </si>
  <si>
    <t>Maintenance Campher - Crusher - 402</t>
  </si>
  <si>
    <t>Steel Plate - Hardox-400 - 115</t>
  </si>
  <si>
    <t>Transport Charges - Slurry Maintenance - 123</t>
  </si>
  <si>
    <t>Driver Bata - Tanker - 023</t>
  </si>
  <si>
    <t>Fuel Tanker - TN19AE0524 - 044</t>
  </si>
  <si>
    <t>Repairs &amp; maintenance - Tanker - Other direct cost</t>
  </si>
  <si>
    <t>Repairs &amp; Maintenance - Tanker TN19AE0524 - 099</t>
  </si>
  <si>
    <t>Salary - Tanker - 370</t>
  </si>
  <si>
    <t>Driver Bata - Water Tanker - 356</t>
  </si>
  <si>
    <t>Fuel Pumpset - Elacheri - 357</t>
  </si>
  <si>
    <t>Water charges</t>
  </si>
  <si>
    <t>Water tanker rent and fuel charges - Other direct cost</t>
  </si>
  <si>
    <t>Repairs &amp; Maintenance - Diesel Engine - 354</t>
  </si>
  <si>
    <t>Water Expenses - Crusher - 135</t>
  </si>
  <si>
    <t>Ad Blue Oil - Crusher - 001</t>
  </si>
  <si>
    <t>Vehicle maintenance</t>
  </si>
  <si>
    <t>Purchase Taxable</t>
  </si>
  <si>
    <t>Expenses on accounted of traded goods</t>
  </si>
  <si>
    <t>Purchase</t>
  </si>
  <si>
    <t>Less  : Transport charges / Driver batta</t>
  </si>
  <si>
    <t>Transport charges - sales</t>
  </si>
  <si>
    <t>Transport Charges S&amp;D - CWC 1 - 334</t>
  </si>
  <si>
    <t>Transport Charges S&amp;D - CWC 2 - 335</t>
  </si>
  <si>
    <t>Transport Charges S&amp;D - Prudential 12 Wheeler - 336</t>
  </si>
  <si>
    <t>Transport Charges S&amp;D - Prudential 6 Wheeler - 337</t>
  </si>
  <si>
    <t>Transport Charges S&amp;D - SMK 10 Wheeler - 338</t>
  </si>
  <si>
    <t>Transport Charges S&amp;D - SMK 12 Wheeler - 339</t>
  </si>
  <si>
    <t>Q2-Repairs &amp; Maintenance - CAT 6-568</t>
  </si>
  <si>
    <t>Fuel - Eicher</t>
  </si>
  <si>
    <t>Insurance - TN11AS2851 - Transport - 236</t>
  </si>
  <si>
    <t>Insurance - Trucks</t>
  </si>
  <si>
    <t>Overtime Pay - CWC 1 - 237</t>
  </si>
  <si>
    <t>Salary - CWC 1 - 239</t>
  </si>
  <si>
    <t>Q2 R&amp;M  (Rmk Lorry )-557</t>
  </si>
  <si>
    <t>Q2 Salary-  (Rmk Lorry )-551</t>
  </si>
  <si>
    <t>Driver salary</t>
  </si>
  <si>
    <t>Transportation from Black Quarry</t>
  </si>
  <si>
    <t>Insurance - TN11AS2874 - Transport - 241</t>
  </si>
  <si>
    <t>Overtime Pay - CWC 2 - 242</t>
  </si>
  <si>
    <t>Salary - CWC 2 - 244</t>
  </si>
  <si>
    <t>Fuel - Prudential 12 Wheeler - 245</t>
  </si>
  <si>
    <t>Insurance - Prudential 12 Wheeler - 246</t>
  </si>
  <si>
    <t>Overtime Pay - Prudential 12 Wheeler - 247</t>
  </si>
  <si>
    <t>Repairs &amp; Maintenance - Prudential 12 Wheeler - 248</t>
  </si>
  <si>
    <t>Salary - Prudential 12 Wheeler - 249</t>
  </si>
  <si>
    <t>Insurance - Prudential 6 Wheeler - 251</t>
  </si>
  <si>
    <t>Overtime Pay - Prudential 6 Wheeler - 252</t>
  </si>
  <si>
    <t>Salary - Prudential 6 Wheeler - 253</t>
  </si>
  <si>
    <t>Fuel - SMK 10 Wheeler - 254</t>
  </si>
  <si>
    <t>Insurance - SMK 10 Wheeler - 255</t>
  </si>
  <si>
    <t>Overtime Pay - SMK 10 Wheeler - 256</t>
  </si>
  <si>
    <t>Repairs &amp; Maintenance - SMK 10 Wheeler - 257</t>
  </si>
  <si>
    <t>Salary - SMK 10 Wheeler - 258</t>
  </si>
  <si>
    <t>Fuel - SMK 12 Wheeler - 259</t>
  </si>
  <si>
    <t>Insurance - SMK 12 Wheeler - 260</t>
  </si>
  <si>
    <t>Overtime Pay - SMK 12 Wheeler - 261</t>
  </si>
  <si>
    <t>Repairs &amp; Maintenance - SMK 12 Wheeler - 262</t>
  </si>
  <si>
    <t>Salary - SMK 12 Wheeler - 263</t>
  </si>
  <si>
    <t>Driver Salary - Roy &amp; Co. - 229</t>
  </si>
  <si>
    <t>Fuel - SMK PVT (TN97W4141)- 418</t>
  </si>
  <si>
    <t>Fuel - SMK PVT (TN97W4142)- 419</t>
  </si>
  <si>
    <t>Fuel - SMK PVT (TN97W4143)- 420</t>
  </si>
  <si>
    <t>Fuel - SMK PVT (TN97W4144)- 421</t>
  </si>
  <si>
    <t>Fuel CAT 6 Crusher - 473</t>
  </si>
  <si>
    <t>Fuel - SMK PVT (TN97W4145)- 422</t>
  </si>
  <si>
    <t>Fuel - SMK PVT (TN97W4146)- 423</t>
  </si>
  <si>
    <t>Insurance - Transport - 230</t>
  </si>
  <si>
    <t>Overtime Pay - Transport - 231</t>
  </si>
  <si>
    <t>Repairs &amp; Maintenance - Transport - 232</t>
  </si>
  <si>
    <t>Road Tax - CWC 1 - 371</t>
  </si>
  <si>
    <t>Road Tax - CWC 2 - 372</t>
  </si>
  <si>
    <t>Road Tax - Prudential 12 Wheeler - 373</t>
  </si>
  <si>
    <t>Road Tax - Prudential 6 Wheeler - 374</t>
  </si>
  <si>
    <t>Road Tax - SMK 10 Wheeler - 375</t>
  </si>
  <si>
    <t>Road Tax - SMK 12 Wheeler - 376</t>
  </si>
  <si>
    <t>Salary - Transport - 233</t>
  </si>
  <si>
    <t>Mixer Machine Rent - Non Operating - 174</t>
  </si>
  <si>
    <t>Repairs &amp; Maintenance - Crusher (Additional) - 183</t>
  </si>
  <si>
    <t>Room Rent - Non Operating Charges - 186</t>
  </si>
  <si>
    <t>Road Work - Non Operating Expenses - 185</t>
  </si>
  <si>
    <t>Tips - Maalayittankuppam - 189</t>
  </si>
  <si>
    <t>Transportation Charges - BD - 225</t>
  </si>
  <si>
    <t>Business development - Admin Expenses</t>
  </si>
  <si>
    <t>Car EMI - Faizal - 411</t>
  </si>
  <si>
    <t>Interest to investors</t>
  </si>
  <si>
    <t>Interest - Ramkishan - 150</t>
  </si>
  <si>
    <t>Interest - Sankar - 152</t>
  </si>
  <si>
    <t>Telephone Expenses - Gopi Electrical - 220</t>
  </si>
  <si>
    <t>Board Expenses - Monthly - 443</t>
  </si>
  <si>
    <t>Board expenses - Monthly - Admin Expenses</t>
  </si>
  <si>
    <t>Fuel Rajesh - Crusher - 042</t>
  </si>
  <si>
    <t>Insurance CAT 1 - Crusher - 052</t>
  </si>
  <si>
    <t>AD (RI) - 410</t>
  </si>
  <si>
    <t>EB AE (Reading) - 382</t>
  </si>
  <si>
    <t>Gift Others - 118</t>
  </si>
  <si>
    <t>Panchayat Payment - 072</t>
  </si>
  <si>
    <t>Police - Mangal - 409</t>
  </si>
  <si>
    <t>Bike Petrol - Poongavanam - 006</t>
  </si>
  <si>
    <t>Fuel Gopinath Crusher - 038</t>
  </si>
  <si>
    <t>Suresh Bike Petrol - Crusher</t>
  </si>
  <si>
    <t>Inspection Charges EB - Crusher - 049</t>
  </si>
  <si>
    <t>Material From SMK Quarry</t>
  </si>
  <si>
    <t>Labour - Crusher - 057</t>
  </si>
  <si>
    <t>Labour - O&amp;M - 058</t>
  </si>
  <si>
    <t>Salary - Tanker</t>
  </si>
  <si>
    <t>Repairs &amp; Maintenance - Diesel Engine (Elapakkam) - 355</t>
  </si>
  <si>
    <t>Water Tanker Rent - 442</t>
  </si>
  <si>
    <t>Tanker rent</t>
  </si>
  <si>
    <t>Reversal - Prudential 6 Wheeler</t>
  </si>
  <si>
    <t>Transport Charges - Demo Vehicles - 234</t>
  </si>
  <si>
    <t>Diwali Expenses - 458</t>
  </si>
  <si>
    <t>Busniess promotion - Diwali expenses - Non Operating expenses</t>
  </si>
  <si>
    <t>Business development</t>
  </si>
  <si>
    <t>Busniess promotion</t>
  </si>
  <si>
    <t>Transport inward - Raw material (purchase)</t>
  </si>
  <si>
    <t>Interest Paid on Caterpillar 3 Loan - 154</t>
  </si>
  <si>
    <t>Interest Paid on HSI Loan - 156</t>
  </si>
  <si>
    <t>Interest Paid on Propel Loan-1 - 158</t>
  </si>
  <si>
    <t>Interest Paid on Propel Loan-2 - 159</t>
  </si>
  <si>
    <t>Interest on ECB Loan</t>
  </si>
  <si>
    <t>EMI TN11AS2851 - Lease Hold - 144</t>
  </si>
  <si>
    <t>EMI TN11AS2874 - Lease Hold - 145</t>
  </si>
  <si>
    <t>EMI JCB - Lease Hold - 143</t>
  </si>
  <si>
    <t>EMI TN14T7312 - Lease Hold - 146</t>
  </si>
  <si>
    <t>EMI TN14T7387 - Lease Hold - 147</t>
  </si>
  <si>
    <t>EMI Breaker - Lease Hold - 140</t>
  </si>
  <si>
    <t>EMI Cat 2 - Lease Hold - 141</t>
  </si>
  <si>
    <t>EMI Hyundai - Lease Hold - 142</t>
  </si>
  <si>
    <t>REMT Lease Expenses - 377</t>
  </si>
  <si>
    <t>EMI 7273 - Lease Hold - 138</t>
  </si>
  <si>
    <t>EMI 7372 - Lease Hold - 139</t>
  </si>
  <si>
    <t>Interest on Loan (2C) - 153</t>
  </si>
  <si>
    <t>Q3 Transport Charges - Quarry - 474</t>
  </si>
  <si>
    <t>Q3 Fuel Genset 62.5kva - 476</t>
  </si>
  <si>
    <t>Q3 EB Charges - Quarry - 488</t>
  </si>
  <si>
    <t>Fuel -Development Chetpat Quarry</t>
  </si>
  <si>
    <t>Quarry development - Chetpat</t>
  </si>
  <si>
    <t>Q1 Fuel Intercart -Development-498</t>
  </si>
  <si>
    <t>Q1 Repair &amp; Maintenance - Quarry Development-532</t>
  </si>
  <si>
    <t>Q1-Salary-Quarry Development-546</t>
  </si>
  <si>
    <t>Q1 Transport Intercart-Development-493</t>
  </si>
  <si>
    <t>Q3 Fuel Intercart  Charges-501</t>
  </si>
  <si>
    <t>Fuel equipments</t>
  </si>
  <si>
    <t>Q3 Fuel CAT 6 Quarry - 541</t>
  </si>
  <si>
    <t>Q3 Electrical Expenses- 477</t>
  </si>
  <si>
    <t>Fuel - Ram Earth Water Tanker - 507</t>
  </si>
  <si>
    <t>Road Tax-Sem1</t>
  </si>
  <si>
    <t>Road Tax-Sem2</t>
  </si>
  <si>
    <t>Road Tax - Water Tanker 4833-508</t>
  </si>
  <si>
    <t>Q1 Transport Intercart Charges-490</t>
  </si>
  <si>
    <t>Fuel -Development Veerambakkam Quarry-504</t>
  </si>
  <si>
    <t>Q2 Bata - Explosives - 512</t>
  </si>
  <si>
    <t>Fuel -Development Chetpat Quarry-503</t>
  </si>
  <si>
    <t>GRAND TOTAL</t>
  </si>
  <si>
    <t xml:space="preserve">As Per TB </t>
  </si>
  <si>
    <t>IGNORE</t>
  </si>
  <si>
    <t>Other Income directly taken to PL</t>
  </si>
  <si>
    <t>Transport charges - Purchase</t>
  </si>
  <si>
    <t>Driver bata - sales</t>
  </si>
  <si>
    <t>Not Picked</t>
  </si>
  <si>
    <t>Unreconciled diff</t>
  </si>
  <si>
    <t>Entries not considered for costing as it is picked separtely</t>
  </si>
  <si>
    <t>Manual Entries</t>
  </si>
  <si>
    <t>QD Considered separately</t>
  </si>
  <si>
    <t>Unreconciled difference</t>
  </si>
  <si>
    <t>EXPENSES CATEGORY</t>
  </si>
  <si>
    <t>Sl.No.</t>
  </si>
  <si>
    <t>Category</t>
  </si>
  <si>
    <t>Excel Upload</t>
  </si>
  <si>
    <t>TB DATA</t>
  </si>
  <si>
    <t>CLOSING STOCK</t>
  </si>
  <si>
    <t>VSI HOUR</t>
  </si>
  <si>
    <t xml:space="preserve">PRODUCTION </t>
  </si>
  <si>
    <t>Income</t>
  </si>
  <si>
    <t>GST EXPENSE</t>
  </si>
  <si>
    <t>OUTPUT</t>
  </si>
  <si>
    <t>P&amp;L Report</t>
  </si>
  <si>
    <t>Traditional Report</t>
  </si>
  <si>
    <t>Bucket Wise Report</t>
  </si>
  <si>
    <t>Cost Calculation</t>
  </si>
  <si>
    <t>Master</t>
  </si>
  <si>
    <t>Quarry Name</t>
  </si>
  <si>
    <t>Expense Group</t>
  </si>
  <si>
    <t>No Edit</t>
  </si>
  <si>
    <t>Bucket Name</t>
  </si>
  <si>
    <t>Only Update</t>
  </si>
  <si>
    <t>Expense Type</t>
  </si>
  <si>
    <t>Other Incomes</t>
  </si>
  <si>
    <t>Year</t>
  </si>
  <si>
    <t>Sales In Tons</t>
  </si>
  <si>
    <t>Sales In Value</t>
  </si>
  <si>
    <t>Production/Stock</t>
  </si>
  <si>
    <t>Billed Or Unbilled</t>
  </si>
  <si>
    <t>GST / CASH</t>
  </si>
  <si>
    <t>January</t>
  </si>
  <si>
    <t>Billed</t>
  </si>
  <si>
    <t>Aggregates</t>
  </si>
  <si>
    <t>Blue</t>
  </si>
  <si>
    <t>Unbilled</t>
  </si>
  <si>
    <t>P-Sand</t>
  </si>
  <si>
    <t>Biled</t>
  </si>
  <si>
    <t>TB Data</t>
  </si>
  <si>
    <t>List Of Ledgers</t>
  </si>
  <si>
    <t>Amount</t>
  </si>
  <si>
    <t>Income Name</t>
  </si>
  <si>
    <t>Income Expense</t>
  </si>
  <si>
    <t>ALL METRAILS COMPULSORY</t>
  </si>
  <si>
    <t>PLANT</t>
  </si>
  <si>
    <t>HOURS</t>
  </si>
  <si>
    <t>INPUT PAGE :</t>
  </si>
  <si>
    <t>Net Inward Entry</t>
  </si>
  <si>
    <t>NET INWARD CALCULATION</t>
  </si>
  <si>
    <t>Inward</t>
  </si>
  <si>
    <t>Quarry 1 /Material Wise</t>
  </si>
  <si>
    <t>Quarry 2 /Material Wise</t>
  </si>
  <si>
    <t>Quarry 3 /Material Wise</t>
  </si>
  <si>
    <t>or Excel Upload</t>
  </si>
  <si>
    <t>With Netward , Closing Stock and Net Sales we Can Get Production.</t>
  </si>
  <si>
    <t>Input Page</t>
  </si>
  <si>
    <t xml:space="preserve">Production </t>
  </si>
  <si>
    <t>Master:</t>
  </si>
  <si>
    <t xml:space="preserve">Plant </t>
  </si>
  <si>
    <t>Expense Ledger</t>
  </si>
  <si>
    <t>Other Expenses</t>
  </si>
  <si>
    <t>Expenses</t>
  </si>
  <si>
    <t>Plant</t>
  </si>
  <si>
    <t>Production/Development</t>
  </si>
  <si>
    <t xml:space="preserve">Name </t>
  </si>
  <si>
    <t>Ledger Name Master</t>
  </si>
  <si>
    <t xml:space="preserve">Other Expenses </t>
  </si>
  <si>
    <t xml:space="preserve">Other Income </t>
  </si>
  <si>
    <t>Yard Yes/No</t>
  </si>
  <si>
    <t>Plant Master</t>
  </si>
  <si>
    <t>Short Name</t>
  </si>
  <si>
    <t>Quarry / Crusher/ Office</t>
  </si>
  <si>
    <t>CHAKKAI / FILTER CHAKKAI / PRODUCT / SLURRY</t>
  </si>
  <si>
    <t>QUARRY / CRUSHER PRODUCTION</t>
  </si>
  <si>
    <t>Output Screen</t>
  </si>
  <si>
    <t>Bucket Wise Expense</t>
  </si>
  <si>
    <t>BUCKET 1</t>
  </si>
  <si>
    <t>Expense Group 1</t>
  </si>
  <si>
    <t>Exoense Type 2</t>
  </si>
  <si>
    <t>Sales Price</t>
  </si>
  <si>
    <t>Quarry Wise</t>
  </si>
  <si>
    <t>Total Sold quantity of Product for Each Quarry / Sold Amount From Sales master</t>
  </si>
  <si>
    <t>Material Cost</t>
  </si>
  <si>
    <t>Month  &amp; Quarry wise</t>
  </si>
  <si>
    <t>1. Opening Stock Value Of Boulders and Chakkan For Each Quarry</t>
  </si>
  <si>
    <t>2. Each quarry Cost + Transport Cost</t>
  </si>
  <si>
    <t>3. Crusher Cost calculated as per VSI hours</t>
  </si>
  <si>
    <t>4.Less Clsoing Stock Vale</t>
  </si>
  <si>
    <t>5. With 1&amp;4 we get Comsumption Stock Value</t>
  </si>
  <si>
    <t>6. Last Month Stock Value</t>
  </si>
  <si>
    <t>1.Cosumption of Material Qty from Production for qty</t>
  </si>
  <si>
    <t xml:space="preserve">2. Last Month Stock Qty </t>
  </si>
  <si>
    <t>Value/qty = cost</t>
  </si>
  <si>
    <t>Raw Material Cost</t>
  </si>
  <si>
    <t>Quarry Cost (Production) Bucket / Material Production</t>
  </si>
  <si>
    <t>Production Report</t>
  </si>
  <si>
    <t>Closing Qty</t>
  </si>
  <si>
    <t>This Month Qty From Iput Master</t>
  </si>
  <si>
    <t xml:space="preserve">Opening Qty  </t>
  </si>
  <si>
    <t>Last Month Closing Qty</t>
  </si>
  <si>
    <t xml:space="preserve">Last Month Closing Qty -  Sales Input + This Month Closing Qty </t>
  </si>
  <si>
    <t>Stock and Stock Value Report</t>
  </si>
  <si>
    <t>Qty is from Input and Value is Qty*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</si>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</sst>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_ * #,##0_ ;_ * \-#,##0_ ;_ * &quot;-&quot;??_ ;_ @_ "/>
    <numFmt numFmtId="182" formatCode="_ * #,##0.0_ ;_ * \-#,##0.0_ ;_ * &quot;-&quot;??_ ;_ @_ "/>
    <numFmt numFmtId="183" formatCode="&quot;&quot;0"/>
    <numFmt numFmtId="184" formatCode="&quot;&quot;0.00"/>
    <numFmt numFmtId="185" formatCode="&quot;&quot;0.00&quot; Cr&quot;"/>
    <numFmt numFmtId="186" formatCode="&quot;&quot;0.00&quot; Dr&quot;"/>
    <numFmt numFmtId="187" formatCode="_ &quot;₹&quot;\ * #,##0.00_ ;_ &quot;₹&quot;\ * \-#,##0.00_ ;_ &quot;₹&quot;\ * &quot;-&quot;??_ ;_ @_ "/>
    <numFmt numFmtId="188" formatCode="dd/mmm/yy"/>
    <numFmt numFmtId="189" formatCode="dd/mm/yyyy"/>
    <numFmt numFmtId="190" formatCode="&quot;Rs.&quot;0.00"/>
  </numFmts>
  <fonts count="89"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5"/>
      <color theme="1"/>
      <name val="Aptos Narrow"/>
      <charset val="134"/>
      <scheme val="minor"/>
    </font>
    <font>
      <b/>
      <sz val="15"/>
      <color theme="0"/>
      <name val="Aptos Narrow"/>
      <charset val="134"/>
      <scheme val="minor"/>
    </font>
    <font>
      <b/>
      <sz val="15"/>
      <color theme="1"/>
      <name val="Aptos Narrow"/>
      <charset val="134"/>
      <scheme val="minor"/>
    </font>
    <font>
      <sz val="15"/>
      <name val="Aptos Narrow"/>
      <charset val="134"/>
      <scheme val="minor"/>
    </font>
    <font>
      <b/>
      <sz val="15"/>
      <name val="Aptos Narrow"/>
      <charset val="134"/>
      <scheme val="minor"/>
    </font>
    <font>
      <i/>
      <sz val="9"/>
      <color theme="1"/>
      <name val="Arial"/>
      <charset val="134"/>
    </font>
    <font>
      <sz val="13"/>
      <color theme="1"/>
      <name val="Aptos Narrow"/>
      <charset val="134"/>
      <scheme val="minor"/>
    </font>
    <font>
      <sz val="48"/>
      <color theme="1"/>
      <name val="Times New Roman"/>
      <charset val="134"/>
    </font>
    <font>
      <sz val="36"/>
      <color theme="1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b/>
      <i/>
      <sz val="9"/>
      <color theme="1"/>
      <name val="Arial"/>
      <charset val="134"/>
    </font>
    <font>
      <sz val="11"/>
      <color theme="1"/>
      <name val="Aptos Narrow"/>
      <charset val="134"/>
      <scheme val="minor"/>
    </font>
    <font>
      <sz val="36"/>
      <color theme="1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sz val="11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sz val="10"/>
      <color theme="1"/>
      <name val="Aptos Narrow"/>
      <charset val="134"/>
      <scheme val="minor"/>
    </font>
    <font>
      <b/>
      <sz val="22"/>
      <color rgb="FF002060"/>
      <name val="Aptos Narrow"/>
      <charset val="134"/>
      <scheme val="minor"/>
    </font>
    <font>
      <b/>
      <sz val="13"/>
      <color theme="1"/>
      <name val="Aptos Narrow"/>
      <charset val="134"/>
      <scheme val="minor"/>
    </font>
    <font>
      <b/>
      <sz val="13"/>
      <name val="Aptos Narrow"/>
      <charset val="134"/>
      <scheme val="minor"/>
    </font>
    <font>
      <b/>
      <sz val="13"/>
      <color rgb="FFFF0000"/>
      <name val="Aptos Narrow"/>
      <charset val="134"/>
      <scheme val="minor"/>
    </font>
    <font>
      <sz val="13"/>
      <color rgb="FFFF0000"/>
      <name val="Aptos Narrow"/>
      <charset val="134"/>
      <scheme val="minor"/>
    </font>
    <font>
      <b/>
      <sz val="13"/>
      <color rgb="FF00B050"/>
      <name val="Aptos Narrow"/>
      <charset val="134"/>
      <scheme val="minor"/>
    </font>
    <font>
      <sz val="13"/>
      <name val="Aptos Narrow"/>
      <charset val="134"/>
      <scheme val="minor"/>
    </font>
    <font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sz val="13"/>
      <name val="Times New Roman"/>
      <charset val="134"/>
    </font>
    <font>
      <sz val="13"/>
      <color rgb="FFFF0000"/>
      <name val="Times New Roman"/>
      <charset val="134"/>
    </font>
    <font>
      <sz val="13"/>
      <color theme="0"/>
      <name val="Aptos Narrow"/>
      <charset val="134"/>
      <scheme val="minor"/>
    </font>
    <font>
      <b/>
      <sz val="13"/>
      <color rgb="FF0070C0"/>
      <name val="Aptos Narrow"/>
      <charset val="134"/>
      <scheme val="minor"/>
    </font>
    <font>
      <sz val="16"/>
      <color theme="1"/>
      <name val="Times New Roman"/>
      <charset val="134"/>
    </font>
    <font>
      <sz val="11"/>
      <color rgb="FFFF0000"/>
      <name val="Times New Roman"/>
      <charset val="134"/>
    </font>
    <font>
      <b/>
      <sz val="10"/>
      <color theme="1"/>
      <name val="Aptos Narrow"/>
      <charset val="134"/>
      <scheme val="minor"/>
    </font>
    <font>
      <b/>
      <sz val="11"/>
      <name val="Aptos Narrow"/>
      <charset val="134"/>
      <scheme val="minor"/>
    </font>
    <font>
      <sz val="10"/>
      <name val="Aptos Narrow"/>
      <charset val="134"/>
      <scheme val="minor"/>
    </font>
    <font>
      <b/>
      <sz val="10"/>
      <color rgb="FFFF0000"/>
      <name val="Aptos Narrow"/>
      <charset val="134"/>
      <scheme val="minor"/>
    </font>
    <font>
      <b/>
      <sz val="10"/>
      <name val="Aptos Narrow"/>
      <charset val="134"/>
      <scheme val="minor"/>
    </font>
    <font>
      <b/>
      <sz val="11"/>
      <color indexed="8"/>
      <name val="Calibri"/>
      <charset val="134"/>
    </font>
    <font>
      <sz val="8"/>
      <color indexed="8"/>
      <name val="Calibri"/>
      <charset val="134"/>
    </font>
    <font>
      <sz val="11"/>
      <color indexed="8"/>
      <name val="Calibri"/>
      <charset val="134"/>
    </font>
    <font>
      <b/>
      <sz val="9"/>
      <name val="Calibri"/>
      <charset val="134"/>
    </font>
    <font>
      <sz val="9"/>
      <name val="Calibri"/>
      <charset val="134"/>
    </font>
    <font>
      <sz val="9"/>
      <color indexed="56"/>
      <name val="Calibri"/>
      <charset val="134"/>
    </font>
    <font>
      <b/>
      <sz val="9"/>
      <color indexed="56"/>
      <name val="Calibri"/>
      <charset val="134"/>
    </font>
    <font>
      <sz val="11"/>
      <color theme="1"/>
      <name val="Calibri  "/>
      <charset val="134"/>
    </font>
    <font>
      <b/>
      <sz val="11"/>
      <color theme="1"/>
      <name val="Calibri  "/>
      <charset val="134"/>
    </font>
    <font>
      <sz val="11"/>
      <name val="Calibri  "/>
      <charset val="134"/>
    </font>
    <font>
      <u val="singleAccounting"/>
      <sz val="11"/>
      <color theme="1"/>
      <name val="Calibri  "/>
      <charset val="134"/>
    </font>
    <font>
      <b/>
      <sz val="12"/>
      <color theme="1"/>
      <name val="Calibri  "/>
      <charset val="134"/>
    </font>
    <font>
      <sz val="10"/>
      <color rgb="FFFF0000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b/>
      <sz val="9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2"/>
      <color theme="1"/>
      <name val="Aptos Narrow"/>
      <charset val="129"/>
      <scheme val="minor"/>
    </font>
    <font>
      <sz val="10"/>
      <color rgb="FF000000"/>
      <name val="Times New Roman"/>
      <charset val="134"/>
    </font>
    <font>
      <sz val="10"/>
      <name val="Arial"/>
      <charset val="134"/>
    </font>
    <font>
      <sz val="10"/>
      <name val="SimSun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9F6F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B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EF6F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176" fontId="0" fillId="0" borderId="0" applyFont="0" applyFill="0" applyBorder="0" applyAlignment="0" applyProtection="0"/>
    <xf numFmtId="177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178" fontId="65" fillId="0" borderId="0" applyFont="0" applyFill="0" applyBorder="0" applyAlignment="0" applyProtection="0">
      <alignment vertical="center"/>
    </xf>
    <xf numFmtId="179" fontId="65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44" borderId="19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3" fillId="0" borderId="21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45" borderId="22" applyNumberFormat="0" applyAlignment="0" applyProtection="0">
      <alignment vertical="center"/>
    </xf>
    <xf numFmtId="0" fontId="75" fillId="46" borderId="23" applyNumberFormat="0" applyAlignment="0" applyProtection="0">
      <alignment vertical="center"/>
    </xf>
    <xf numFmtId="0" fontId="76" fillId="46" borderId="22" applyNumberFormat="0" applyAlignment="0" applyProtection="0">
      <alignment vertical="center"/>
    </xf>
    <xf numFmtId="0" fontId="77" fillId="47" borderId="24" applyNumberFormat="0" applyAlignment="0" applyProtection="0">
      <alignment vertical="center"/>
    </xf>
    <xf numFmtId="0" fontId="78" fillId="0" borderId="25" applyNumberFormat="0" applyFill="0" applyAlignment="0" applyProtection="0">
      <alignment vertical="center"/>
    </xf>
    <xf numFmtId="0" fontId="79" fillId="0" borderId="26" applyNumberFormat="0" applyFill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1" fillId="49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4" fillId="52" borderId="0" applyNumberFormat="0" applyBorder="0" applyAlignment="0" applyProtection="0">
      <alignment vertical="center"/>
    </xf>
    <xf numFmtId="0" fontId="84" fillId="53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4" fillId="56" borderId="0" applyNumberFormat="0" applyBorder="0" applyAlignment="0" applyProtection="0">
      <alignment vertical="center"/>
    </xf>
    <xf numFmtId="0" fontId="84" fillId="57" borderId="0" applyNumberFormat="0" applyBorder="0" applyAlignment="0" applyProtection="0">
      <alignment vertical="center"/>
    </xf>
    <xf numFmtId="0" fontId="83" fillId="58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84" fillId="60" borderId="0" applyNumberFormat="0" applyBorder="0" applyAlignment="0" applyProtection="0">
      <alignment vertical="center"/>
    </xf>
    <xf numFmtId="0" fontId="84" fillId="61" borderId="0" applyNumberFormat="0" applyBorder="0" applyAlignment="0" applyProtection="0">
      <alignment vertical="center"/>
    </xf>
    <xf numFmtId="0" fontId="83" fillId="62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84" fillId="64" borderId="0" applyNumberFormat="0" applyBorder="0" applyAlignment="0" applyProtection="0">
      <alignment vertical="center"/>
    </xf>
    <xf numFmtId="0" fontId="84" fillId="65" borderId="0" applyNumberFormat="0" applyBorder="0" applyAlignment="0" applyProtection="0">
      <alignment vertical="center"/>
    </xf>
    <xf numFmtId="0" fontId="83" fillId="66" borderId="0" applyNumberFormat="0" applyBorder="0" applyAlignment="0" applyProtection="0">
      <alignment vertical="center"/>
    </xf>
    <xf numFmtId="0" fontId="83" fillId="67" borderId="0" applyNumberFormat="0" applyBorder="0" applyAlignment="0" applyProtection="0">
      <alignment vertical="center"/>
    </xf>
    <xf numFmtId="0" fontId="84" fillId="68" borderId="0" applyNumberFormat="0" applyBorder="0" applyAlignment="0" applyProtection="0">
      <alignment vertical="center"/>
    </xf>
    <xf numFmtId="0" fontId="84" fillId="69" borderId="0" applyNumberFormat="0" applyBorder="0" applyAlignment="0" applyProtection="0">
      <alignment vertical="center"/>
    </xf>
    <xf numFmtId="0" fontId="83" fillId="70" borderId="0" applyNumberFormat="0" applyBorder="0" applyAlignment="0" applyProtection="0">
      <alignment vertical="center"/>
    </xf>
    <xf numFmtId="0" fontId="83" fillId="71" borderId="0" applyNumberFormat="0" applyBorder="0" applyAlignment="0" applyProtection="0">
      <alignment vertical="center"/>
    </xf>
    <xf numFmtId="0" fontId="84" fillId="72" borderId="0" applyNumberFormat="0" applyBorder="0" applyAlignment="0" applyProtection="0">
      <alignment vertical="center"/>
    </xf>
    <xf numFmtId="0" fontId="84" fillId="73" borderId="0" applyNumberFormat="0" applyBorder="0" applyAlignment="0" applyProtection="0">
      <alignment vertical="center"/>
    </xf>
    <xf numFmtId="0" fontId="83" fillId="74" borderId="0" applyNumberFormat="0" applyBorder="0" applyAlignment="0" applyProtection="0">
      <alignment vertical="center"/>
    </xf>
    <xf numFmtId="176" fontId="85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85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7" fillId="0" borderId="0" applyNumberFormat="0" applyFill="0" applyBorder="0" applyAlignment="0" applyProtection="0"/>
    <xf numFmtId="9" fontId="52" fillId="0" borderId="0" applyFont="0" applyFill="0" applyBorder="0" applyAlignment="0" applyProtection="0"/>
  </cellStyleXfs>
  <cellXfs count="79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4" fillId="0" borderId="0" xfId="57" applyFont="1"/>
    <xf numFmtId="0" fontId="5" fillId="6" borderId="3" xfId="57" applyFont="1" applyFill="1" applyBorder="1" applyAlignment="1">
      <alignment horizontal="center"/>
    </xf>
    <xf numFmtId="0" fontId="5" fillId="6" borderId="0" xfId="57" applyFont="1" applyFill="1" applyAlignment="1">
      <alignment horizontal="center"/>
    </xf>
    <xf numFmtId="180" fontId="6" fillId="6" borderId="0" xfId="57" applyNumberFormat="1" applyFont="1" applyFill="1" applyAlignment="1">
      <alignment horizontal="center"/>
    </xf>
    <xf numFmtId="0" fontId="5" fillId="6" borderId="4" xfId="57" applyFont="1" applyFill="1" applyBorder="1" applyAlignment="1">
      <alignment horizontal="center"/>
    </xf>
    <xf numFmtId="0" fontId="5" fillId="6" borderId="5" xfId="57" applyFont="1" applyFill="1" applyBorder="1" applyAlignment="1">
      <alignment horizontal="center"/>
    </xf>
    <xf numFmtId="0" fontId="6" fillId="7" borderId="1" xfId="57" applyFont="1" applyFill="1" applyBorder="1" applyAlignment="1">
      <alignment horizontal="center"/>
    </xf>
    <xf numFmtId="180" fontId="6" fillId="7" borderId="1" xfId="57" applyNumberFormat="1" applyFont="1" applyFill="1" applyBorder="1" applyAlignment="1">
      <alignment horizontal="center"/>
    </xf>
    <xf numFmtId="0" fontId="7" fillId="0" borderId="1" xfId="57" applyFont="1" applyBorder="1" applyAlignment="1">
      <alignment horizontal="center" vertical="center"/>
    </xf>
    <xf numFmtId="0" fontId="8" fillId="0" borderId="1" xfId="57" applyFont="1" applyBorder="1" applyAlignment="1">
      <alignment horizontal="left" vertical="center" wrapText="1"/>
    </xf>
    <xf numFmtId="181" fontId="6" fillId="0" borderId="1" xfId="51" applyNumberFormat="1" applyFont="1" applyFill="1" applyBorder="1" applyAlignment="1">
      <alignment vertical="center"/>
    </xf>
    <xf numFmtId="4" fontId="4" fillId="0" borderId="0" xfId="57" applyNumberFormat="1" applyFont="1"/>
    <xf numFmtId="181" fontId="4" fillId="0" borderId="0" xfId="57" applyNumberFormat="1" applyFont="1"/>
    <xf numFmtId="49" fontId="9" fillId="0" borderId="0" xfId="55" applyNumberFormat="1" applyFont="1" applyAlignment="1">
      <alignment horizontal="left" vertical="top" indent="3"/>
    </xf>
    <xf numFmtId="0" fontId="2" fillId="0" borderId="0" xfId="0" applyFont="1"/>
    <xf numFmtId="181" fontId="2" fillId="0" borderId="0" xfId="1" applyNumberFormat="1" applyFont="1"/>
    <xf numFmtId="0" fontId="10" fillId="8" borderId="1" xfId="57" applyFont="1" applyFill="1" applyBorder="1"/>
    <xf numFmtId="0" fontId="11" fillId="0" borderId="0" xfId="0" applyFont="1"/>
    <xf numFmtId="0" fontId="12" fillId="0" borderId="0" xfId="0" applyFont="1"/>
    <xf numFmtId="0" fontId="3" fillId="9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/>
    <xf numFmtId="0" fontId="2" fillId="2" borderId="1" xfId="0" applyFont="1" applyFill="1" applyBorder="1"/>
    <xf numFmtId="49" fontId="2" fillId="10" borderId="1" xfId="0" applyNumberFormat="1" applyFont="1" applyFill="1" applyBorder="1" applyAlignment="1">
      <alignment vertical="top"/>
    </xf>
    <xf numFmtId="0" fontId="2" fillId="10" borderId="1" xfId="0" applyFont="1" applyFill="1" applyBorder="1"/>
    <xf numFmtId="181" fontId="2" fillId="0" borderId="0" xfId="0" applyNumberFormat="1" applyFont="1"/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/>
    </xf>
    <xf numFmtId="181" fontId="3" fillId="9" borderId="2" xfId="1" applyNumberFormat="1" applyFont="1" applyFill="1" applyBorder="1" applyAlignment="1">
      <alignment vertical="center"/>
    </xf>
    <xf numFmtId="181" fontId="3" fillId="9" borderId="8" xfId="1" applyNumberFormat="1" applyFont="1" applyFill="1" applyBorder="1" applyAlignment="1">
      <alignment vertical="center"/>
    </xf>
    <xf numFmtId="181" fontId="3" fillId="9" borderId="9" xfId="1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181" fontId="3" fillId="9" borderId="1" xfId="1" applyNumberFormat="1" applyFont="1" applyFill="1" applyBorder="1" applyAlignment="1">
      <alignment horizontal="center" vertical="center"/>
    </xf>
    <xf numFmtId="181" fontId="2" fillId="0" borderId="1" xfId="1" applyNumberFormat="1" applyFont="1" applyBorder="1"/>
    <xf numFmtId="176" fontId="2" fillId="0" borderId="0" xfId="1" applyFont="1"/>
    <xf numFmtId="49" fontId="3" fillId="0" borderId="1" xfId="0" applyNumberFormat="1" applyFont="1" applyBorder="1" applyAlignment="1">
      <alignment vertical="top"/>
    </xf>
    <xf numFmtId="0" fontId="3" fillId="0" borderId="1" xfId="0" applyFont="1" applyBorder="1"/>
    <xf numFmtId="181" fontId="3" fillId="0" borderId="1" xfId="1" applyNumberFormat="1" applyFont="1" applyBorder="1"/>
    <xf numFmtId="0" fontId="2" fillId="11" borderId="1" xfId="0" applyFont="1" applyFill="1" applyBorder="1"/>
    <xf numFmtId="49" fontId="2" fillId="2" borderId="1" xfId="0" applyNumberFormat="1" applyFont="1" applyFill="1" applyBorder="1" applyAlignment="1">
      <alignment vertical="top"/>
    </xf>
    <xf numFmtId="49" fontId="13" fillId="2" borderId="1" xfId="0" applyNumberFormat="1" applyFont="1" applyFill="1" applyBorder="1" applyAlignment="1">
      <alignment vertical="top"/>
    </xf>
    <xf numFmtId="0" fontId="13" fillId="2" borderId="1" xfId="0" applyFont="1" applyFill="1" applyBorder="1"/>
    <xf numFmtId="49" fontId="9" fillId="0" borderId="1" xfId="55" applyNumberFormat="1" applyFont="1" applyBorder="1" applyAlignment="1">
      <alignment horizontal="left" vertical="top" indent="3"/>
    </xf>
    <xf numFmtId="181" fontId="13" fillId="2" borderId="1" xfId="1" applyNumberFormat="1" applyFont="1" applyFill="1" applyBorder="1"/>
    <xf numFmtId="49" fontId="3" fillId="0" borderId="0" xfId="0" applyNumberFormat="1" applyFont="1" applyAlignment="1">
      <alignment vertical="top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181" fontId="14" fillId="2" borderId="1" xfId="1" applyNumberFormat="1" applyFont="1" applyFill="1" applyBorder="1"/>
    <xf numFmtId="181" fontId="2" fillId="0" borderId="1" xfId="1" applyNumberFormat="1" applyFont="1" applyFill="1" applyBorder="1"/>
    <xf numFmtId="181" fontId="15" fillId="0" borderId="1" xfId="1" applyNumberFormat="1" applyFont="1" applyBorder="1"/>
    <xf numFmtId="181" fontId="14" fillId="0" borderId="1" xfId="1" applyNumberFormat="1" applyFont="1" applyBorder="1"/>
    <xf numFmtId="181" fontId="2" fillId="2" borderId="1" xfId="1" applyNumberFormat="1" applyFont="1" applyFill="1" applyBorder="1"/>
    <xf numFmtId="181" fontId="14" fillId="0" borderId="1" xfId="1" applyNumberFormat="1" applyFont="1" applyFill="1" applyBorder="1"/>
    <xf numFmtId="176" fontId="2" fillId="0" borderId="0" xfId="0" applyNumberFormat="1" applyFont="1"/>
    <xf numFmtId="0" fontId="2" fillId="0" borderId="0" xfId="0" applyFont="1" applyAlignment="1">
      <alignment horizontal="right"/>
    </xf>
    <xf numFmtId="181" fontId="3" fillId="2" borderId="0" xfId="1" applyNumberFormat="1" applyFont="1" applyFill="1"/>
    <xf numFmtId="3" fontId="2" fillId="0" borderId="0" xfId="0" applyNumberFormat="1" applyFont="1"/>
    <xf numFmtId="181" fontId="2" fillId="0" borderId="0" xfId="1" applyNumberFormat="1" applyFont="1" applyBorder="1"/>
    <xf numFmtId="181" fontId="2" fillId="2" borderId="0" xfId="1" applyNumberFormat="1" applyFont="1" applyFill="1"/>
    <xf numFmtId="181" fontId="2" fillId="2" borderId="0" xfId="0" applyNumberFormat="1" applyFont="1" applyFill="1"/>
    <xf numFmtId="181" fontId="2" fillId="0" borderId="10" xfId="1" applyNumberFormat="1" applyFont="1" applyFill="1" applyBorder="1"/>
    <xf numFmtId="181" fontId="2" fillId="11" borderId="0" xfId="0" applyNumberFormat="1" applyFont="1" applyFill="1"/>
    <xf numFmtId="182" fontId="2" fillId="0" borderId="0" xfId="1" applyNumberFormat="1" applyFont="1"/>
    <xf numFmtId="181" fontId="14" fillId="2" borderId="0" xfId="0" applyNumberFormat="1" applyFont="1" applyFill="1"/>
    <xf numFmtId="3" fontId="2" fillId="2" borderId="0" xfId="1" applyNumberFormat="1" applyFont="1" applyFill="1"/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7" fillId="0" borderId="0" xfId="0" applyNumberFormat="1" applyFont="1" applyAlignment="1">
      <alignment vertical="top"/>
    </xf>
    <xf numFmtId="49" fontId="17" fillId="0" borderId="5" xfId="0" applyNumberFormat="1" applyFont="1" applyBorder="1" applyAlignment="1">
      <alignment vertical="top"/>
    </xf>
    <xf numFmtId="49" fontId="16" fillId="0" borderId="11" xfId="0" applyNumberFormat="1" applyFont="1" applyBorder="1" applyAlignment="1">
      <alignment vertical="top"/>
    </xf>
    <xf numFmtId="49" fontId="18" fillId="0" borderId="11" xfId="0" applyNumberFormat="1" applyFont="1" applyBorder="1" applyAlignment="1">
      <alignment horizontal="left" vertical="top" indent="3"/>
    </xf>
    <xf numFmtId="49" fontId="18" fillId="0" borderId="12" xfId="0" applyNumberFormat="1" applyFont="1" applyBorder="1" applyAlignment="1">
      <alignment horizontal="center" vertical="top" wrapText="1"/>
    </xf>
    <xf numFmtId="49" fontId="18" fillId="0" borderId="11" xfId="0" applyNumberFormat="1" applyFont="1" applyBorder="1" applyAlignment="1">
      <alignment horizontal="center" vertical="top" wrapText="1"/>
    </xf>
    <xf numFmtId="49" fontId="18" fillId="0" borderId="3" xfId="0" applyNumberFormat="1" applyFont="1" applyBorder="1" applyAlignment="1">
      <alignment horizontal="left" vertical="top" indent="3"/>
    </xf>
    <xf numFmtId="49" fontId="19" fillId="0" borderId="3" xfId="0" applyNumberFormat="1" applyFont="1" applyBorder="1" applyAlignment="1">
      <alignment horizontal="center" vertical="top" wrapText="1"/>
    </xf>
    <xf numFmtId="49" fontId="19" fillId="0" borderId="0" xfId="0" applyNumberFormat="1" applyFont="1" applyAlignment="1">
      <alignment horizontal="center" vertical="top" wrapText="1"/>
    </xf>
    <xf numFmtId="49" fontId="18" fillId="0" borderId="12" xfId="0" applyNumberFormat="1" applyFont="1" applyBorder="1" applyAlignment="1">
      <alignment horizontal="center" vertical="top"/>
    </xf>
    <xf numFmtId="49" fontId="18" fillId="0" borderId="11" xfId="0" applyNumberFormat="1" applyFont="1" applyBorder="1" applyAlignment="1">
      <alignment horizontal="center" vertical="top"/>
    </xf>
    <xf numFmtId="49" fontId="18" fillId="0" borderId="4" xfId="0" applyNumberFormat="1" applyFont="1" applyBorder="1" applyAlignment="1">
      <alignment horizontal="left" vertical="top" indent="3"/>
    </xf>
    <xf numFmtId="49" fontId="18" fillId="0" borderId="4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8" fillId="0" borderId="0" xfId="0" applyNumberFormat="1" applyFont="1" applyAlignment="1">
      <alignment vertical="top"/>
    </xf>
    <xf numFmtId="183" fontId="18" fillId="0" borderId="8" xfId="0" applyNumberFormat="1" applyFont="1" applyBorder="1" applyAlignment="1">
      <alignment horizontal="right" vertical="top"/>
    </xf>
    <xf numFmtId="183" fontId="9" fillId="0" borderId="8" xfId="0" applyNumberFormat="1" applyFont="1" applyBorder="1" applyAlignment="1">
      <alignment horizontal="right" vertical="top"/>
    </xf>
    <xf numFmtId="184" fontId="9" fillId="0" borderId="8" xfId="0" applyNumberFormat="1" applyFont="1" applyBorder="1" applyAlignment="1">
      <alignment horizontal="right" vertical="top"/>
    </xf>
    <xf numFmtId="185" fontId="18" fillId="0" borderId="8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indent="3"/>
    </xf>
    <xf numFmtId="183" fontId="9" fillId="0" borderId="0" xfId="0" applyNumberFormat="1" applyFont="1" applyAlignment="1">
      <alignment horizontal="right" vertical="top"/>
    </xf>
    <xf numFmtId="183" fontId="19" fillId="0" borderId="0" xfId="0" applyNumberFormat="1" applyFont="1" applyAlignment="1">
      <alignment horizontal="right" vertical="top"/>
    </xf>
    <xf numFmtId="184" fontId="19" fillId="0" borderId="0" xfId="0" applyNumberFormat="1" applyFont="1" applyAlignment="1">
      <alignment horizontal="right" vertical="top"/>
    </xf>
    <xf numFmtId="185" fontId="9" fillId="0" borderId="0" xfId="0" applyNumberFormat="1" applyFont="1" applyAlignment="1">
      <alignment horizontal="right" vertical="top"/>
    </xf>
    <xf numFmtId="183" fontId="18" fillId="0" borderId="5" xfId="0" applyNumberFormat="1" applyFont="1" applyBorder="1" applyAlignment="1">
      <alignment horizontal="right" vertical="top"/>
    </xf>
    <xf numFmtId="184" fontId="9" fillId="0" borderId="5" xfId="0" applyNumberFormat="1" applyFont="1" applyBorder="1" applyAlignment="1">
      <alignment horizontal="right" vertical="top"/>
    </xf>
    <xf numFmtId="186" fontId="18" fillId="0" borderId="5" xfId="0" applyNumberFormat="1" applyFont="1" applyBorder="1" applyAlignment="1">
      <alignment horizontal="right" vertical="top"/>
    </xf>
    <xf numFmtId="49" fontId="19" fillId="0" borderId="0" xfId="0" applyNumberFormat="1" applyFont="1" applyAlignment="1">
      <alignment horizontal="left" vertical="top" indent="2"/>
    </xf>
    <xf numFmtId="183" fontId="19" fillId="0" borderId="8" xfId="0" applyNumberFormat="1" applyFont="1" applyBorder="1" applyAlignment="1">
      <alignment horizontal="right" vertical="top"/>
    </xf>
    <xf numFmtId="184" fontId="19" fillId="0" borderId="8" xfId="0" applyNumberFormat="1" applyFont="1" applyBorder="1" applyAlignment="1">
      <alignment horizontal="right" vertical="top"/>
    </xf>
    <xf numFmtId="186" fontId="19" fillId="0" borderId="8" xfId="0" applyNumberFormat="1" applyFont="1" applyBorder="1" applyAlignment="1">
      <alignment horizontal="right" vertical="top"/>
    </xf>
    <xf numFmtId="49" fontId="19" fillId="0" borderId="0" xfId="0" applyNumberFormat="1" applyFont="1" applyAlignment="1">
      <alignment horizontal="left" vertical="top" indent="5"/>
    </xf>
    <xf numFmtId="185" fontId="9" fillId="0" borderId="8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indent="7"/>
    </xf>
    <xf numFmtId="183" fontId="9" fillId="0" borderId="5" xfId="0" applyNumberFormat="1" applyFont="1" applyBorder="1" applyAlignment="1">
      <alignment horizontal="right" vertical="top"/>
    </xf>
    <xf numFmtId="186" fontId="9" fillId="0" borderId="5" xfId="0" applyNumberFormat="1" applyFont="1" applyBorder="1" applyAlignment="1">
      <alignment horizontal="right" vertical="top"/>
    </xf>
    <xf numFmtId="49" fontId="19" fillId="0" borderId="0" xfId="0" applyNumberFormat="1" applyFont="1" applyAlignment="1">
      <alignment horizontal="left" vertical="top" indent="7"/>
    </xf>
    <xf numFmtId="49" fontId="19" fillId="0" borderId="0" xfId="0" applyNumberFormat="1" applyFont="1" applyAlignment="1">
      <alignment horizontal="left" vertical="top" indent="8"/>
    </xf>
    <xf numFmtId="186" fontId="9" fillId="0" borderId="8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indent="11"/>
    </xf>
    <xf numFmtId="186" fontId="9" fillId="0" borderId="0" xfId="0" applyNumberFormat="1" applyFont="1" applyAlignment="1">
      <alignment horizontal="right" vertical="top"/>
    </xf>
    <xf numFmtId="183" fontId="19" fillId="0" borderId="5" xfId="0" applyNumberFormat="1" applyFont="1" applyBorder="1" applyAlignment="1">
      <alignment horizontal="right" vertical="top"/>
    </xf>
    <xf numFmtId="184" fontId="19" fillId="0" borderId="5" xfId="0" applyNumberFormat="1" applyFont="1" applyBorder="1" applyAlignment="1">
      <alignment horizontal="right" vertical="top"/>
    </xf>
    <xf numFmtId="186" fontId="19" fillId="0" borderId="5" xfId="0" applyNumberFormat="1" applyFont="1" applyBorder="1" applyAlignment="1">
      <alignment horizontal="right" vertical="top"/>
    </xf>
    <xf numFmtId="49" fontId="9" fillId="0" borderId="0" xfId="0" applyNumberFormat="1" applyFont="1" applyAlignment="1">
      <alignment horizontal="left" vertical="top" indent="8"/>
    </xf>
    <xf numFmtId="184" fontId="9" fillId="0" borderId="0" xfId="0" applyNumberFormat="1" applyFont="1" applyAlignment="1">
      <alignment horizontal="right" vertical="top"/>
    </xf>
    <xf numFmtId="186" fontId="19" fillId="0" borderId="0" xfId="0" applyNumberFormat="1" applyFont="1" applyAlignment="1">
      <alignment horizontal="right" vertical="top"/>
    </xf>
    <xf numFmtId="49" fontId="9" fillId="0" borderId="0" xfId="0" applyNumberFormat="1" applyFont="1" applyAlignment="1">
      <alignment horizontal="left" vertical="top" indent="9"/>
    </xf>
    <xf numFmtId="49" fontId="9" fillId="0" borderId="0" xfId="0" applyNumberFormat="1" applyFont="1" applyAlignment="1">
      <alignment horizontal="left" vertical="top" indent="10"/>
    </xf>
    <xf numFmtId="49" fontId="9" fillId="0" borderId="0" xfId="0" applyNumberFormat="1" applyFont="1" applyAlignment="1">
      <alignment horizontal="left" vertical="top" indent="5"/>
    </xf>
    <xf numFmtId="49" fontId="9" fillId="0" borderId="0" xfId="0" applyNumberFormat="1" applyFont="1" applyAlignment="1">
      <alignment horizontal="left" vertical="top" indent="6"/>
    </xf>
    <xf numFmtId="49" fontId="19" fillId="0" borderId="0" xfId="0" applyNumberFormat="1" applyFont="1" applyAlignment="1">
      <alignment horizontal="left" vertical="top" indent="3"/>
    </xf>
    <xf numFmtId="185" fontId="19" fillId="0" borderId="5" xfId="0" applyNumberFormat="1" applyFont="1" applyBorder="1" applyAlignment="1">
      <alignment horizontal="right" vertical="top"/>
    </xf>
    <xf numFmtId="185" fontId="19" fillId="0" borderId="0" xfId="0" applyNumberFormat="1" applyFont="1" applyAlignment="1">
      <alignment horizontal="right" vertical="top"/>
    </xf>
    <xf numFmtId="185" fontId="9" fillId="0" borderId="5" xfId="0" applyNumberFormat="1" applyFont="1" applyBorder="1" applyAlignment="1">
      <alignment horizontal="right" vertical="top"/>
    </xf>
    <xf numFmtId="185" fontId="18" fillId="0" borderId="5" xfId="0" applyNumberFormat="1" applyFont="1" applyBorder="1" applyAlignment="1">
      <alignment horizontal="right" vertical="top"/>
    </xf>
    <xf numFmtId="49" fontId="19" fillId="0" borderId="0" xfId="0" applyNumberFormat="1" applyFont="1" applyAlignment="1">
      <alignment horizontal="left" vertical="top" indent="4"/>
    </xf>
    <xf numFmtId="49" fontId="19" fillId="0" borderId="0" xfId="0" applyNumberFormat="1" applyFont="1" applyAlignment="1">
      <alignment vertical="top"/>
    </xf>
    <xf numFmtId="49" fontId="18" fillId="0" borderId="8" xfId="0" applyNumberFormat="1" applyFont="1" applyBorder="1" applyAlignment="1">
      <alignment horizontal="left" vertical="top" indent="3"/>
    </xf>
    <xf numFmtId="184" fontId="20" fillId="0" borderId="8" xfId="0" applyNumberFormat="1" applyFont="1" applyBorder="1" applyAlignment="1">
      <alignment horizontal="right" vertical="top"/>
    </xf>
    <xf numFmtId="2" fontId="0" fillId="0" borderId="0" xfId="0" applyNumberFormat="1"/>
    <xf numFmtId="185" fontId="19" fillId="0" borderId="8" xfId="0" applyNumberFormat="1" applyFont="1" applyBorder="1" applyAlignment="1">
      <alignment horizontal="right" vertical="top"/>
    </xf>
    <xf numFmtId="0" fontId="21" fillId="0" borderId="0" xfId="57"/>
    <xf numFmtId="0" fontId="22" fillId="0" borderId="0" xfId="57" applyFont="1" applyAlignment="1">
      <alignment horizontal="left" indent="1"/>
    </xf>
    <xf numFmtId="181" fontId="21" fillId="0" borderId="0" xfId="57" applyNumberFormat="1"/>
    <xf numFmtId="0" fontId="23" fillId="6" borderId="0" xfId="57" applyFont="1" applyFill="1" applyAlignment="1">
      <alignment horizontal="center"/>
    </xf>
    <xf numFmtId="0" fontId="23" fillId="6" borderId="3" xfId="57" applyFont="1" applyFill="1" applyBorder="1" applyAlignment="1">
      <alignment horizontal="center"/>
    </xf>
    <xf numFmtId="0" fontId="24" fillId="6" borderId="5" xfId="57" applyFont="1" applyFill="1" applyBorder="1" applyAlignment="1">
      <alignment horizontal="center"/>
    </xf>
    <xf numFmtId="0" fontId="25" fillId="9" borderId="1" xfId="57" applyFont="1" applyFill="1" applyBorder="1" applyAlignment="1">
      <alignment horizontal="center"/>
    </xf>
    <xf numFmtId="0" fontId="21" fillId="0" borderId="1" xfId="57" applyBorder="1"/>
    <xf numFmtId="181" fontId="21" fillId="12" borderId="1" xfId="51" applyNumberFormat="1" applyFont="1" applyFill="1" applyBorder="1"/>
    <xf numFmtId="181" fontId="21" fillId="13" borderId="1" xfId="51" applyNumberFormat="1" applyFont="1" applyFill="1" applyBorder="1"/>
    <xf numFmtId="181" fontId="21" fillId="14" borderId="1" xfId="51" applyNumberFormat="1" applyFont="1" applyFill="1" applyBorder="1"/>
    <xf numFmtId="181" fontId="21" fillId="15" borderId="1" xfId="51" applyNumberFormat="1" applyFont="1" applyFill="1" applyBorder="1"/>
    <xf numFmtId="181" fontId="21" fillId="0" borderId="0" xfId="51" applyNumberFormat="1" applyFont="1"/>
    <xf numFmtId="176" fontId="21" fillId="0" borderId="0" xfId="57" applyNumberFormat="1"/>
    <xf numFmtId="181" fontId="21" fillId="12" borderId="1" xfId="1" applyNumberFormat="1" applyFont="1" applyFill="1" applyBorder="1"/>
    <xf numFmtId="0" fontId="25" fillId="0" borderId="1" xfId="57" applyFont="1" applyBorder="1"/>
    <xf numFmtId="181" fontId="25" fillId="12" borderId="1" xfId="51" applyNumberFormat="1" applyFont="1" applyFill="1" applyBorder="1"/>
    <xf numFmtId="181" fontId="25" fillId="13" borderId="1" xfId="51" applyNumberFormat="1" applyFont="1" applyFill="1" applyBorder="1"/>
    <xf numFmtId="181" fontId="25" fillId="14" borderId="1" xfId="51" applyNumberFormat="1" applyFont="1" applyFill="1" applyBorder="1"/>
    <xf numFmtId="181" fontId="25" fillId="15" borderId="1" xfId="51" applyNumberFormat="1" applyFont="1" applyFill="1" applyBorder="1"/>
    <xf numFmtId="0" fontId="25" fillId="9" borderId="1" xfId="57" applyFont="1" applyFill="1" applyBorder="1" applyAlignment="1">
      <alignment horizontal="center" vertical="center" wrapText="1"/>
    </xf>
    <xf numFmtId="181" fontId="21" fillId="0" borderId="1" xfId="57" applyNumberFormat="1" applyBorder="1"/>
    <xf numFmtId="0" fontId="21" fillId="0" borderId="0" xfId="57" applyAlignment="1">
      <alignment vertical="center" wrapText="1"/>
    </xf>
    <xf numFmtId="0" fontId="25" fillId="7" borderId="1" xfId="57" applyFont="1" applyFill="1" applyBorder="1" applyAlignment="1">
      <alignment horizontal="center" vertical="center" wrapText="1"/>
    </xf>
    <xf numFmtId="4" fontId="21" fillId="0" borderId="0" xfId="57" applyNumberFormat="1"/>
    <xf numFmtId="181" fontId="21" fillId="0" borderId="1" xfId="51" applyNumberFormat="1" applyFont="1" applyBorder="1"/>
    <xf numFmtId="0" fontId="21" fillId="0" borderId="2" xfId="57" applyBorder="1"/>
    <xf numFmtId="176" fontId="26" fillId="0" borderId="1" xfId="51" applyFont="1" applyBorder="1"/>
    <xf numFmtId="176" fontId="21" fillId="0" borderId="1" xfId="51" applyFont="1" applyBorder="1"/>
    <xf numFmtId="0" fontId="25" fillId="0" borderId="0" xfId="57" applyFont="1"/>
    <xf numFmtId="176" fontId="21" fillId="0" borderId="0" xfId="51" applyFont="1"/>
    <xf numFmtId="0" fontId="23" fillId="6" borderId="4" xfId="57" applyFont="1" applyFill="1" applyBorder="1" applyAlignment="1">
      <alignment horizontal="center"/>
    </xf>
    <xf numFmtId="0" fontId="24" fillId="6" borderId="5" xfId="57" applyFont="1" applyFill="1" applyBorder="1" applyAlignment="1">
      <alignment horizontal="center" vertical="center"/>
    </xf>
    <xf numFmtId="0" fontId="24" fillId="6" borderId="1" xfId="57" applyFont="1" applyFill="1" applyBorder="1" applyAlignment="1">
      <alignment vertical="center" wrapText="1"/>
    </xf>
    <xf numFmtId="176" fontId="24" fillId="6" borderId="1" xfId="57" applyNumberFormat="1" applyFont="1" applyFill="1" applyBorder="1" applyAlignment="1">
      <alignment horizontal="center" vertical="center"/>
    </xf>
    <xf numFmtId="181" fontId="21" fillId="0" borderId="2" xfId="57" applyNumberFormat="1" applyBorder="1"/>
    <xf numFmtId="181" fontId="21" fillId="0" borderId="1" xfId="1" applyNumberFormat="1" applyFont="1" applyBorder="1" applyAlignment="1"/>
    <xf numFmtId="181" fontId="21" fillId="0" borderId="1" xfId="1" applyNumberFormat="1" applyFont="1" applyBorder="1"/>
    <xf numFmtId="0" fontId="25" fillId="7" borderId="1" xfId="57" applyFont="1" applyFill="1" applyBorder="1" applyAlignment="1">
      <alignment horizontal="center"/>
    </xf>
    <xf numFmtId="181" fontId="27" fillId="0" borderId="1" xfId="51" applyNumberFormat="1" applyFont="1" applyBorder="1"/>
    <xf numFmtId="181" fontId="26" fillId="2" borderId="1" xfId="51" applyNumberFormat="1" applyFont="1" applyFill="1" applyBorder="1"/>
    <xf numFmtId="181" fontId="27" fillId="0" borderId="1" xfId="57" applyNumberFormat="1" applyFont="1" applyBorder="1"/>
    <xf numFmtId="181" fontId="21" fillId="0" borderId="1" xfId="51" applyNumberFormat="1" applyFont="1" applyFill="1" applyBorder="1"/>
    <xf numFmtId="3" fontId="21" fillId="0" borderId="1" xfId="57" applyNumberFormat="1" applyBorder="1"/>
    <xf numFmtId="182" fontId="21" fillId="0" borderId="1" xfId="1" applyNumberFormat="1" applyFont="1" applyBorder="1"/>
    <xf numFmtId="181" fontId="25" fillId="0" borderId="1" xfId="57" applyNumberFormat="1" applyFont="1" applyBorder="1"/>
    <xf numFmtId="181" fontId="21" fillId="0" borderId="0" xfId="51" applyNumberFormat="1" applyFont="1" applyFill="1"/>
    <xf numFmtId="181" fontId="25" fillId="0" borderId="0" xfId="51" applyNumberFormat="1" applyFont="1" applyFill="1"/>
    <xf numFmtId="181" fontId="25" fillId="0" borderId="0" xfId="57" applyNumberFormat="1" applyFont="1"/>
    <xf numFmtId="181" fontId="25" fillId="0" borderId="13" xfId="57" applyNumberFormat="1" applyFont="1" applyBorder="1"/>
    <xf numFmtId="0" fontId="23" fillId="6" borderId="5" xfId="57" applyFont="1" applyFill="1" applyBorder="1" applyAlignment="1">
      <alignment horizontal="center"/>
    </xf>
    <xf numFmtId="0" fontId="25" fillId="7" borderId="2" xfId="57" applyFont="1" applyFill="1" applyBorder="1" applyAlignment="1">
      <alignment horizontal="center" vertical="center" wrapText="1"/>
    </xf>
    <xf numFmtId="176" fontId="21" fillId="0" borderId="1" xfId="1" applyFont="1" applyBorder="1"/>
    <xf numFmtId="181" fontId="21" fillId="2" borderId="1" xfId="57" applyNumberFormat="1" applyFill="1" applyBorder="1"/>
    <xf numFmtId="181" fontId="21" fillId="16" borderId="1" xfId="57" applyNumberFormat="1" applyFill="1" applyBorder="1"/>
    <xf numFmtId="181" fontId="25" fillId="7" borderId="1" xfId="51" applyNumberFormat="1" applyFont="1" applyFill="1" applyBorder="1" applyAlignment="1">
      <alignment horizontal="center"/>
    </xf>
    <xf numFmtId="181" fontId="21" fillId="0" borderId="0" xfId="1" applyNumberFormat="1" applyFont="1"/>
    <xf numFmtId="181" fontId="26" fillId="0" borderId="1" xfId="51" applyNumberFormat="1" applyFont="1" applyFill="1" applyBorder="1"/>
    <xf numFmtId="181" fontId="27" fillId="0" borderId="1" xfId="51" applyNumberFormat="1" applyFont="1" applyFill="1" applyBorder="1"/>
    <xf numFmtId="181" fontId="21" fillId="0" borderId="0" xfId="51" applyNumberFormat="1" applyFont="1" applyBorder="1"/>
    <xf numFmtId="181" fontId="25" fillId="0" borderId="1" xfId="51" applyNumberFormat="1" applyFont="1" applyBorder="1"/>
    <xf numFmtId="181" fontId="25" fillId="0" borderId="0" xfId="51" applyNumberFormat="1" applyFont="1" applyBorder="1"/>
    <xf numFmtId="0" fontId="21" fillId="17" borderId="1" xfId="57" applyFill="1" applyBorder="1"/>
    <xf numFmtId="0" fontId="26" fillId="17" borderId="1" xfId="57" applyFont="1" applyFill="1" applyBorder="1"/>
    <xf numFmtId="0" fontId="28" fillId="17" borderId="1" xfId="57" applyFont="1" applyFill="1" applyBorder="1" applyAlignment="1">
      <alignment horizontal="center" vertical="center" wrapText="1"/>
    </xf>
    <xf numFmtId="181" fontId="28" fillId="0" borderId="1" xfId="51" applyNumberFormat="1" applyFont="1" applyBorder="1"/>
    <xf numFmtId="181" fontId="28" fillId="0" borderId="0" xfId="57" applyNumberFormat="1" applyFont="1"/>
    <xf numFmtId="181" fontId="28" fillId="0" borderId="0" xfId="51" applyNumberFormat="1" applyFont="1"/>
    <xf numFmtId="181" fontId="28" fillId="0" borderId="0" xfId="51" applyNumberFormat="1" applyFont="1" applyBorder="1"/>
    <xf numFmtId="181" fontId="28" fillId="2" borderId="0" xfId="51" applyNumberFormat="1" applyFont="1" applyFill="1"/>
    <xf numFmtId="0" fontId="21" fillId="0" borderId="0" xfId="57" applyAlignment="1">
      <alignment horizontal="right"/>
    </xf>
    <xf numFmtId="181" fontId="21" fillId="17" borderId="1" xfId="57" applyNumberFormat="1" applyFill="1" applyBorder="1"/>
    <xf numFmtId="181" fontId="26" fillId="17" borderId="1" xfId="57" applyNumberFormat="1" applyFont="1" applyFill="1" applyBorder="1"/>
    <xf numFmtId="180" fontId="21" fillId="0" borderId="0" xfId="57" applyNumberFormat="1"/>
    <xf numFmtId="181" fontId="26" fillId="17" borderId="1" xfId="57" applyNumberFormat="1" applyFont="1" applyFill="1" applyBorder="1" applyAlignment="1">
      <alignment vertical="center"/>
    </xf>
    <xf numFmtId="3" fontId="21" fillId="0" borderId="0" xfId="57" applyNumberFormat="1"/>
    <xf numFmtId="176" fontId="21" fillId="0" borderId="0" xfId="1" applyFont="1"/>
    <xf numFmtId="0" fontId="21" fillId="0" borderId="0" xfId="57" applyAlignment="1">
      <alignment horizontal="left" indent="1"/>
    </xf>
    <xf numFmtId="0" fontId="21" fillId="18" borderId="1" xfId="57" applyFill="1" applyBorder="1"/>
    <xf numFmtId="0" fontId="21" fillId="0" borderId="0" xfId="57" applyFont="1"/>
    <xf numFmtId="0" fontId="25" fillId="0" borderId="0" xfId="58" applyFont="1" applyAlignment="1">
      <alignment horizontal="center"/>
    </xf>
    <xf numFmtId="0" fontId="21" fillId="0" borderId="0" xfId="58"/>
    <xf numFmtId="0" fontId="21" fillId="0" borderId="0" xfId="58" applyFont="1"/>
    <xf numFmtId="0" fontId="23" fillId="6" borderId="0" xfId="58" applyFont="1" applyFill="1" applyAlignment="1">
      <alignment horizontal="center" wrapText="1"/>
    </xf>
    <xf numFmtId="0" fontId="24" fillId="6" borderId="5" xfId="58" applyFont="1" applyFill="1" applyBorder="1" applyAlignment="1">
      <alignment horizontal="center"/>
    </xf>
    <xf numFmtId="0" fontId="25" fillId="19" borderId="6" xfId="58" applyFont="1" applyFill="1" applyBorder="1" applyAlignment="1">
      <alignment horizontal="center" vertical="center"/>
    </xf>
    <xf numFmtId="0" fontId="25" fillId="19" borderId="2" xfId="58" applyFont="1" applyFill="1" applyBorder="1" applyAlignment="1">
      <alignment horizontal="center"/>
    </xf>
    <xf numFmtId="0" fontId="25" fillId="19" borderId="9" xfId="58" applyFont="1" applyFill="1" applyBorder="1" applyAlignment="1">
      <alignment horizontal="center"/>
    </xf>
    <xf numFmtId="0" fontId="25" fillId="19" borderId="8" xfId="58" applyFont="1" applyFill="1" applyBorder="1" applyAlignment="1">
      <alignment horizontal="center"/>
    </xf>
    <xf numFmtId="0" fontId="25" fillId="19" borderId="7" xfId="58" applyFont="1" applyFill="1" applyBorder="1" applyAlignment="1">
      <alignment horizontal="center" vertical="center"/>
    </xf>
    <xf numFmtId="0" fontId="25" fillId="19" borderId="1" xfId="58" applyFont="1" applyFill="1" applyBorder="1" applyAlignment="1">
      <alignment horizontal="center"/>
    </xf>
    <xf numFmtId="180" fontId="29" fillId="0" borderId="1" xfId="58" applyNumberFormat="1" applyFont="1" applyBorder="1" applyAlignment="1">
      <alignment horizontal="left"/>
    </xf>
    <xf numFmtId="181" fontId="29" fillId="12" borderId="1" xfId="52" applyNumberFormat="1" applyFont="1" applyFill="1" applyBorder="1"/>
    <xf numFmtId="10" fontId="29" fillId="12" borderId="1" xfId="52" applyNumberFormat="1" applyFont="1" applyFill="1" applyBorder="1"/>
    <xf numFmtId="181" fontId="29" fillId="14" borderId="1" xfId="52" applyNumberFormat="1" applyFont="1" applyFill="1" applyBorder="1"/>
    <xf numFmtId="0" fontId="25" fillId="0" borderId="0" xfId="58" applyFont="1"/>
    <xf numFmtId="181" fontId="25" fillId="12" borderId="0" xfId="52" applyNumberFormat="1" applyFont="1" applyFill="1" applyBorder="1"/>
    <xf numFmtId="181" fontId="25" fillId="14" borderId="0" xfId="52" applyNumberFormat="1" applyFont="1" applyFill="1" applyBorder="1"/>
    <xf numFmtId="0" fontId="21" fillId="7" borderId="2" xfId="58" applyFill="1" applyBorder="1"/>
    <xf numFmtId="0" fontId="25" fillId="7" borderId="9" xfId="58" applyFont="1" applyFill="1" applyBorder="1" applyAlignment="1">
      <alignment horizontal="center"/>
    </xf>
    <xf numFmtId="180" fontId="25" fillId="7" borderId="1" xfId="58" applyNumberFormat="1" applyFont="1" applyFill="1" applyBorder="1" applyAlignment="1">
      <alignment horizontal="center"/>
    </xf>
    <xf numFmtId="0" fontId="25" fillId="0" borderId="2" xfId="58" applyFont="1" applyBorder="1"/>
    <xf numFmtId="0" fontId="21" fillId="0" borderId="9" xfId="58" applyBorder="1" applyAlignment="1">
      <alignment horizontal="right"/>
    </xf>
    <xf numFmtId="181" fontId="25" fillId="0" borderId="1" xfId="1" applyNumberFormat="1" applyFont="1" applyBorder="1"/>
    <xf numFmtId="0" fontId="23" fillId="0" borderId="0" xfId="58" applyFont="1" applyAlignment="1">
      <alignment horizontal="center" wrapText="1"/>
    </xf>
    <xf numFmtId="0" fontId="24" fillId="0" borderId="0" xfId="58" applyFont="1" applyAlignment="1">
      <alignment horizontal="center"/>
    </xf>
    <xf numFmtId="0" fontId="25" fillId="19" borderId="14" xfId="58" applyFont="1" applyFill="1" applyBorder="1" applyAlignment="1">
      <alignment horizontal="center"/>
    </xf>
    <xf numFmtId="0" fontId="25" fillId="19" borderId="6" xfId="58" applyFont="1" applyFill="1" applyBorder="1" applyAlignment="1">
      <alignment horizontal="center" vertical="center" wrapText="1"/>
    </xf>
    <xf numFmtId="0" fontId="25" fillId="17" borderId="0" xfId="58" applyFont="1" applyFill="1" applyAlignment="1">
      <alignment horizontal="center"/>
    </xf>
    <xf numFmtId="0" fontId="25" fillId="19" borderId="7" xfId="58" applyFont="1" applyFill="1" applyBorder="1" applyAlignment="1">
      <alignment horizontal="center" vertical="center" wrapText="1"/>
    </xf>
    <xf numFmtId="10" fontId="29" fillId="14" borderId="1" xfId="52" applyNumberFormat="1" applyFont="1" applyFill="1" applyBorder="1"/>
    <xf numFmtId="181" fontId="29" fillId="15" borderId="1" xfId="52" applyNumberFormat="1" applyFont="1" applyFill="1" applyBorder="1"/>
    <xf numFmtId="181" fontId="29" fillId="0" borderId="0" xfId="52" applyNumberFormat="1" applyFont="1" applyFill="1" applyBorder="1"/>
    <xf numFmtId="181" fontId="25" fillId="15" borderId="0" xfId="52" applyNumberFormat="1" applyFont="1" applyFill="1" applyBorder="1"/>
    <xf numFmtId="181" fontId="25" fillId="0" borderId="0" xfId="52" applyNumberFormat="1" applyFont="1" applyFill="1" applyBorder="1"/>
    <xf numFmtId="0" fontId="25" fillId="7" borderId="1" xfId="58" applyFont="1" applyFill="1" applyBorder="1" applyAlignment="1">
      <alignment horizontal="center"/>
    </xf>
    <xf numFmtId="0" fontId="21" fillId="0" borderId="1" xfId="58" applyBorder="1"/>
    <xf numFmtId="176" fontId="21" fillId="0" borderId="1" xfId="58" applyNumberFormat="1" applyBorder="1"/>
    <xf numFmtId="181" fontId="21" fillId="0" borderId="0" xfId="58" applyNumberFormat="1"/>
    <xf numFmtId="0" fontId="30" fillId="20" borderId="0" xfId="57" applyFont="1" applyFill="1" applyAlignment="1">
      <alignment vertical="center"/>
    </xf>
    <xf numFmtId="0" fontId="31" fillId="0" borderId="0" xfId="57" applyFont="1"/>
    <xf numFmtId="0" fontId="10" fillId="0" borderId="0" xfId="57" applyFont="1"/>
    <xf numFmtId="0" fontId="10" fillId="17" borderId="0" xfId="57" applyFont="1" applyFill="1"/>
    <xf numFmtId="0" fontId="32" fillId="9" borderId="1" xfId="57" applyFont="1" applyFill="1" applyBorder="1" applyAlignment="1">
      <alignment horizontal="center"/>
    </xf>
    <xf numFmtId="180" fontId="32" fillId="9" borderId="1" xfId="57" applyNumberFormat="1" applyFont="1" applyFill="1" applyBorder="1" applyAlignment="1">
      <alignment horizontal="center"/>
    </xf>
    <xf numFmtId="180" fontId="32" fillId="9" borderId="2" xfId="57" applyNumberFormat="1" applyFont="1" applyFill="1" applyBorder="1" applyAlignment="1">
      <alignment horizontal="center"/>
    </xf>
    <xf numFmtId="180" fontId="32" fillId="9" borderId="9" xfId="57" applyNumberFormat="1" applyFont="1" applyFill="1" applyBorder="1" applyAlignment="1">
      <alignment horizontal="center"/>
    </xf>
    <xf numFmtId="0" fontId="10" fillId="12" borderId="1" xfId="57" applyFont="1" applyFill="1" applyBorder="1"/>
    <xf numFmtId="181" fontId="10" fillId="12" borderId="1" xfId="51" applyNumberFormat="1" applyFont="1" applyFill="1" applyBorder="1"/>
    <xf numFmtId="181" fontId="10" fillId="12" borderId="2" xfId="51" applyNumberFormat="1" applyFont="1" applyFill="1" applyBorder="1" applyAlignment="1">
      <alignment vertical="center"/>
    </xf>
    <xf numFmtId="181" fontId="10" fillId="12" borderId="9" xfId="51" applyNumberFormat="1" applyFont="1" applyFill="1" applyBorder="1" applyAlignment="1">
      <alignment vertical="center"/>
    </xf>
    <xf numFmtId="181" fontId="10" fillId="12" borderId="2" xfId="51" applyNumberFormat="1" applyFont="1" applyFill="1" applyBorder="1" applyAlignment="1">
      <alignment horizontal="center"/>
    </xf>
    <xf numFmtId="181" fontId="10" fillId="12" borderId="9" xfId="51" applyNumberFormat="1" applyFont="1" applyFill="1" applyBorder="1" applyAlignment="1">
      <alignment horizontal="center"/>
    </xf>
    <xf numFmtId="0" fontId="10" fillId="2" borderId="1" xfId="57" applyFont="1" applyFill="1" applyBorder="1"/>
    <xf numFmtId="181" fontId="10" fillId="2" borderId="1" xfId="51" applyNumberFormat="1" applyFont="1" applyFill="1" applyBorder="1"/>
    <xf numFmtId="181" fontId="10" fillId="2" borderId="2" xfId="51" applyNumberFormat="1" applyFont="1" applyFill="1" applyBorder="1" applyAlignment="1">
      <alignment horizontal="center"/>
    </xf>
    <xf numFmtId="181" fontId="10" fillId="2" borderId="9" xfId="51" applyNumberFormat="1" applyFont="1" applyFill="1" applyBorder="1" applyAlignment="1">
      <alignment horizontal="center"/>
    </xf>
    <xf numFmtId="181" fontId="10" fillId="2" borderId="0" xfId="51" applyNumberFormat="1" applyFont="1" applyFill="1" applyBorder="1"/>
    <xf numFmtId="0" fontId="10" fillId="0" borderId="15" xfId="57" applyFont="1" applyBorder="1"/>
    <xf numFmtId="0" fontId="30" fillId="20" borderId="1" xfId="57" applyFont="1" applyFill="1" applyBorder="1" applyAlignment="1">
      <alignment horizontal="center" vertical="center"/>
    </xf>
    <xf numFmtId="0" fontId="32" fillId="9" borderId="1" xfId="57" applyFont="1" applyFill="1" applyBorder="1" applyAlignment="1">
      <alignment horizontal="left"/>
    </xf>
    <xf numFmtId="0" fontId="31" fillId="12" borderId="1" xfId="57" applyFont="1" applyFill="1" applyBorder="1"/>
    <xf numFmtId="181" fontId="31" fillId="2" borderId="2" xfId="51" applyNumberFormat="1" applyFont="1" applyFill="1" applyBorder="1" applyAlignment="1">
      <alignment horizontal="center"/>
    </xf>
    <xf numFmtId="181" fontId="31" fillId="2" borderId="9" xfId="51" applyNumberFormat="1" applyFont="1" applyFill="1" applyBorder="1" applyAlignment="1">
      <alignment horizontal="center"/>
    </xf>
    <xf numFmtId="181" fontId="33" fillId="2" borderId="2" xfId="51" applyNumberFormat="1" applyFont="1" applyFill="1" applyBorder="1" applyAlignment="1">
      <alignment horizontal="center"/>
    </xf>
    <xf numFmtId="181" fontId="33" fillId="2" borderId="9" xfId="51" applyNumberFormat="1" applyFont="1" applyFill="1" applyBorder="1" applyAlignment="1">
      <alignment horizontal="center"/>
    </xf>
    <xf numFmtId="181" fontId="10" fillId="0" borderId="0" xfId="1" applyNumberFormat="1" applyFont="1" applyBorder="1"/>
    <xf numFmtId="181" fontId="10" fillId="0" borderId="0" xfId="57" applyNumberFormat="1" applyFont="1"/>
    <xf numFmtId="180" fontId="32" fillId="9" borderId="0" xfId="57" applyNumberFormat="1" applyFont="1" applyFill="1" applyAlignment="1">
      <alignment horizontal="center"/>
    </xf>
    <xf numFmtId="181" fontId="34" fillId="12" borderId="1" xfId="51" applyNumberFormat="1" applyFont="1" applyFill="1" applyBorder="1"/>
    <xf numFmtId="181" fontId="35" fillId="12" borderId="1" xfId="51" applyNumberFormat="1" applyFont="1" applyFill="1" applyBorder="1"/>
    <xf numFmtId="181" fontId="36" fillId="12" borderId="1" xfId="51" applyNumberFormat="1" applyFont="1" applyFill="1" applyBorder="1"/>
    <xf numFmtId="181" fontId="32" fillId="12" borderId="1" xfId="51" applyNumberFormat="1" applyFont="1" applyFill="1" applyBorder="1"/>
    <xf numFmtId="181" fontId="10" fillId="0" borderId="0" xfId="51" applyNumberFormat="1" applyFont="1"/>
    <xf numFmtId="0" fontId="10" fillId="13" borderId="1" xfId="57" applyFont="1" applyFill="1" applyBorder="1"/>
    <xf numFmtId="181" fontId="10" fillId="13" borderId="1" xfId="51" applyNumberFormat="1" applyFont="1" applyFill="1" applyBorder="1"/>
    <xf numFmtId="181" fontId="10" fillId="13" borderId="2" xfId="51" applyNumberFormat="1" applyFont="1" applyFill="1" applyBorder="1" applyAlignment="1">
      <alignment horizontal="center"/>
    </xf>
    <xf numFmtId="181" fontId="10" fillId="13" borderId="9" xfId="51" applyNumberFormat="1" applyFont="1" applyFill="1" applyBorder="1" applyAlignment="1">
      <alignment horizontal="center"/>
    </xf>
    <xf numFmtId="0" fontId="31" fillId="0" borderId="0" xfId="57" applyFont="1" applyAlignment="1">
      <alignment horizontal="center"/>
    </xf>
    <xf numFmtId="0" fontId="32" fillId="9" borderId="7" xfId="57" applyFont="1" applyFill="1" applyBorder="1" applyAlignment="1">
      <alignment horizontal="center"/>
    </xf>
    <xf numFmtId="180" fontId="32" fillId="9" borderId="7" xfId="57" applyNumberFormat="1" applyFont="1" applyFill="1" applyBorder="1" applyAlignment="1">
      <alignment horizontal="center"/>
    </xf>
    <xf numFmtId="0" fontId="31" fillId="13" borderId="1" xfId="57" applyFont="1" applyFill="1" applyBorder="1"/>
    <xf numFmtId="181" fontId="36" fillId="13" borderId="1" xfId="51" applyNumberFormat="1" applyFont="1" applyFill="1" applyBorder="1"/>
    <xf numFmtId="0" fontId="10" fillId="14" borderId="1" xfId="57" applyFont="1" applyFill="1" applyBorder="1"/>
    <xf numFmtId="181" fontId="10" fillId="14" borderId="1" xfId="51" applyNumberFormat="1" applyFont="1" applyFill="1" applyBorder="1"/>
    <xf numFmtId="0" fontId="10" fillId="14" borderId="7" xfId="57" applyFont="1" applyFill="1" applyBorder="1"/>
    <xf numFmtId="181" fontId="10" fillId="14" borderId="7" xfId="51" applyNumberFormat="1" applyFont="1" applyFill="1" applyBorder="1"/>
    <xf numFmtId="0" fontId="10" fillId="2" borderId="6" xfId="57" applyFont="1" applyFill="1" applyBorder="1"/>
    <xf numFmtId="180" fontId="32" fillId="9" borderId="3" xfId="57" applyNumberFormat="1" applyFont="1" applyFill="1" applyBorder="1" applyAlignment="1">
      <alignment horizontal="center"/>
    </xf>
    <xf numFmtId="0" fontId="37" fillId="14" borderId="1" xfId="57" applyFont="1" applyFill="1" applyBorder="1"/>
    <xf numFmtId="181" fontId="37" fillId="14" borderId="1" xfId="51" applyNumberFormat="1" applyFont="1" applyFill="1" applyBorder="1"/>
    <xf numFmtId="0" fontId="31" fillId="14" borderId="1" xfId="57" applyFont="1" applyFill="1" applyBorder="1"/>
    <xf numFmtId="181" fontId="10" fillId="14" borderId="1" xfId="51" applyNumberFormat="1" applyFont="1" applyFill="1" applyBorder="1" applyAlignment="1">
      <alignment horizontal="center"/>
    </xf>
    <xf numFmtId="181" fontId="10" fillId="14" borderId="4" xfId="51" applyNumberFormat="1" applyFont="1" applyFill="1" applyBorder="1" applyAlignment="1">
      <alignment horizontal="center"/>
    </xf>
    <xf numFmtId="181" fontId="10" fillId="14" borderId="16" xfId="51" applyNumberFormat="1" applyFont="1" applyFill="1" applyBorder="1" applyAlignment="1">
      <alignment horizontal="center"/>
    </xf>
    <xf numFmtId="181" fontId="10" fillId="2" borderId="12" xfId="51" applyNumberFormat="1" applyFont="1" applyFill="1" applyBorder="1" applyAlignment="1">
      <alignment horizontal="center"/>
    </xf>
    <xf numFmtId="181" fontId="10" fillId="2" borderId="14" xfId="51" applyNumberFormat="1" applyFont="1" applyFill="1" applyBorder="1" applyAlignment="1">
      <alignment horizontal="center"/>
    </xf>
    <xf numFmtId="180" fontId="32" fillId="9" borderId="4" xfId="57" applyNumberFormat="1" applyFont="1" applyFill="1" applyBorder="1" applyAlignment="1">
      <alignment horizontal="center"/>
    </xf>
    <xf numFmtId="180" fontId="32" fillId="9" borderId="16" xfId="57" applyNumberFormat="1" applyFont="1" applyFill="1" applyBorder="1" applyAlignment="1">
      <alignment horizontal="center"/>
    </xf>
    <xf numFmtId="181" fontId="38" fillId="14" borderId="1" xfId="51" applyNumberFormat="1" applyFont="1" applyFill="1" applyBorder="1"/>
    <xf numFmtId="181" fontId="39" fillId="14" borderId="1" xfId="51" applyNumberFormat="1" applyFont="1" applyFill="1" applyBorder="1"/>
    <xf numFmtId="181" fontId="40" fillId="14" borderId="1" xfId="51" applyNumberFormat="1" applyFont="1" applyFill="1" applyBorder="1"/>
    <xf numFmtId="181" fontId="37" fillId="21" borderId="1" xfId="51" applyNumberFormat="1" applyFont="1" applyFill="1" applyBorder="1"/>
    <xf numFmtId="181" fontId="10" fillId="21" borderId="1" xfId="51" applyNumberFormat="1" applyFont="1" applyFill="1" applyBorder="1"/>
    <xf numFmtId="181" fontId="36" fillId="14" borderId="1" xfId="51" applyNumberFormat="1" applyFont="1" applyFill="1" applyBorder="1"/>
    <xf numFmtId="0" fontId="10" fillId="20" borderId="1" xfId="57" applyFont="1" applyFill="1" applyBorder="1"/>
    <xf numFmtId="0" fontId="31" fillId="20" borderId="1" xfId="57" applyFont="1" applyFill="1" applyBorder="1"/>
    <xf numFmtId="181" fontId="10" fillId="20" borderId="1" xfId="57" applyNumberFormat="1" applyFont="1" applyFill="1" applyBorder="1"/>
    <xf numFmtId="181" fontId="10" fillId="20" borderId="1" xfId="57" applyNumberFormat="1" applyFont="1" applyFill="1" applyBorder="1" applyAlignment="1">
      <alignment horizontal="center"/>
    </xf>
    <xf numFmtId="181" fontId="10" fillId="20" borderId="1" xfId="51" applyNumberFormat="1" applyFont="1" applyFill="1" applyBorder="1"/>
    <xf numFmtId="181" fontId="10" fillId="20" borderId="2" xfId="57" applyNumberFormat="1" applyFont="1" applyFill="1" applyBorder="1" applyAlignment="1">
      <alignment horizontal="center"/>
    </xf>
    <xf numFmtId="181" fontId="10" fillId="20" borderId="9" xfId="57" applyNumberFormat="1" applyFont="1" applyFill="1" applyBorder="1" applyAlignment="1">
      <alignment horizontal="center"/>
    </xf>
    <xf numFmtId="181" fontId="10" fillId="2" borderId="2" xfId="57" applyNumberFormat="1" applyFont="1" applyFill="1" applyBorder="1" applyAlignment="1">
      <alignment horizontal="center"/>
    </xf>
    <xf numFmtId="181" fontId="10" fillId="2" borderId="9" xfId="57" applyNumberFormat="1" applyFont="1" applyFill="1" applyBorder="1" applyAlignment="1">
      <alignment horizontal="center"/>
    </xf>
    <xf numFmtId="176" fontId="10" fillId="0" borderId="0" xfId="57" applyNumberFormat="1" applyFont="1"/>
    <xf numFmtId="0" fontId="10" fillId="22" borderId="1" xfId="57" applyFont="1" applyFill="1" applyBorder="1"/>
    <xf numFmtId="181" fontId="10" fillId="22" borderId="1" xfId="51" applyNumberFormat="1" applyFont="1" applyFill="1" applyBorder="1"/>
    <xf numFmtId="181" fontId="10" fillId="22" borderId="1" xfId="51" applyNumberFormat="1" applyFont="1" applyFill="1" applyBorder="1" applyAlignment="1">
      <alignment horizontal="center"/>
    </xf>
    <xf numFmtId="181" fontId="10" fillId="22" borderId="2" xfId="51" applyNumberFormat="1" applyFont="1" applyFill="1" applyBorder="1" applyAlignment="1">
      <alignment horizontal="center"/>
    </xf>
    <xf numFmtId="181" fontId="10" fillId="22" borderId="9" xfId="51" applyNumberFormat="1" applyFont="1" applyFill="1" applyBorder="1" applyAlignment="1">
      <alignment horizontal="center"/>
    </xf>
    <xf numFmtId="187" fontId="30" fillId="20" borderId="1" xfId="57" applyNumberFormat="1" applyFont="1" applyFill="1" applyBorder="1" applyAlignment="1">
      <alignment horizontal="center" vertical="center"/>
    </xf>
    <xf numFmtId="0" fontId="31" fillId="22" borderId="1" xfId="57" applyFont="1" applyFill="1" applyBorder="1"/>
    <xf numFmtId="181" fontId="35" fillId="22" borderId="1" xfId="51" applyNumberFormat="1" applyFont="1" applyFill="1" applyBorder="1"/>
    <xf numFmtId="181" fontId="36" fillId="22" borderId="1" xfId="51" applyNumberFormat="1" applyFont="1" applyFill="1" applyBorder="1"/>
    <xf numFmtId="181" fontId="33" fillId="22" borderId="1" xfId="51" applyNumberFormat="1" applyFont="1" applyFill="1" applyBorder="1"/>
    <xf numFmtId="181" fontId="34" fillId="22" borderId="1" xfId="51" applyNumberFormat="1" applyFont="1" applyFill="1" applyBorder="1"/>
    <xf numFmtId="0" fontId="10" fillId="23" borderId="1" xfId="57" applyFont="1" applyFill="1" applyBorder="1"/>
    <xf numFmtId="181" fontId="10" fillId="23" borderId="1" xfId="51" applyNumberFormat="1" applyFont="1" applyFill="1" applyBorder="1"/>
    <xf numFmtId="181" fontId="10" fillId="23" borderId="1" xfId="51" applyNumberFormat="1" applyFont="1" applyFill="1" applyBorder="1" applyAlignment="1">
      <alignment horizontal="center"/>
    </xf>
    <xf numFmtId="181" fontId="10" fillId="23" borderId="2" xfId="51" applyNumberFormat="1" applyFont="1" applyFill="1" applyBorder="1" applyAlignment="1">
      <alignment horizontal="center"/>
    </xf>
    <xf numFmtId="181" fontId="10" fillId="23" borderId="9" xfId="51" applyNumberFormat="1" applyFont="1" applyFill="1" applyBorder="1" applyAlignment="1">
      <alignment horizontal="center"/>
    </xf>
    <xf numFmtId="0" fontId="41" fillId="0" borderId="0" xfId="57" applyFont="1"/>
    <xf numFmtId="0" fontId="31" fillId="23" borderId="1" xfId="57" applyFont="1" applyFill="1" applyBorder="1"/>
    <xf numFmtId="181" fontId="10" fillId="23" borderId="1" xfId="1" applyNumberFormat="1" applyFont="1" applyFill="1" applyBorder="1"/>
    <xf numFmtId="181" fontId="34" fillId="23" borderId="1" xfId="51" applyNumberFormat="1" applyFont="1" applyFill="1" applyBorder="1"/>
    <xf numFmtId="181" fontId="34" fillId="23" borderId="1" xfId="1" applyNumberFormat="1" applyFont="1" applyFill="1" applyBorder="1"/>
    <xf numFmtId="0" fontId="10" fillId="24" borderId="1" xfId="57" applyFont="1" applyFill="1" applyBorder="1"/>
    <xf numFmtId="181" fontId="10" fillId="24" borderId="1" xfId="51" applyNumberFormat="1" applyFont="1" applyFill="1" applyBorder="1"/>
    <xf numFmtId="0" fontId="34" fillId="24" borderId="1" xfId="57" applyFont="1" applyFill="1" applyBorder="1"/>
    <xf numFmtId="0" fontId="31" fillId="24" borderId="1" xfId="57" applyFont="1" applyFill="1" applyBorder="1"/>
    <xf numFmtId="181" fontId="10" fillId="24" borderId="1" xfId="51" applyNumberFormat="1" applyFont="1" applyFill="1" applyBorder="1" applyAlignment="1">
      <alignment horizontal="center"/>
    </xf>
    <xf numFmtId="181" fontId="10" fillId="24" borderId="2" xfId="51" applyNumberFormat="1" applyFont="1" applyFill="1" applyBorder="1" applyAlignment="1">
      <alignment horizontal="center"/>
    </xf>
    <xf numFmtId="181" fontId="10" fillId="24" borderId="9" xfId="51" applyNumberFormat="1" applyFont="1" applyFill="1" applyBorder="1" applyAlignment="1">
      <alignment horizontal="center"/>
    </xf>
    <xf numFmtId="181" fontId="36" fillId="24" borderId="1" xfId="51" applyNumberFormat="1" applyFont="1" applyFill="1" applyBorder="1"/>
    <xf numFmtId="181" fontId="33" fillId="24" borderId="1" xfId="51" applyNumberFormat="1" applyFont="1" applyFill="1" applyBorder="1"/>
    <xf numFmtId="0" fontId="10" fillId="2" borderId="0" xfId="57" applyFont="1" applyFill="1"/>
    <xf numFmtId="181" fontId="34" fillId="24" borderId="1" xfId="51" applyNumberFormat="1" applyFont="1" applyFill="1" applyBorder="1"/>
    <xf numFmtId="181" fontId="10" fillId="2" borderId="0" xfId="51" applyNumberFormat="1" applyFont="1" applyFill="1" applyBorder="1" applyAlignment="1">
      <alignment horizontal="center"/>
    </xf>
    <xf numFmtId="181" fontId="31" fillId="24" borderId="1" xfId="51" applyNumberFormat="1" applyFont="1" applyFill="1" applyBorder="1"/>
    <xf numFmtId="180" fontId="32" fillId="9" borderId="4" xfId="57" applyNumberFormat="1" applyFont="1" applyFill="1" applyBorder="1"/>
    <xf numFmtId="181" fontId="10" fillId="8" borderId="1" xfId="51" applyNumberFormat="1" applyFont="1" applyFill="1" applyBorder="1"/>
    <xf numFmtId="180" fontId="32" fillId="9" borderId="7" xfId="57" applyNumberFormat="1" applyFont="1" applyFill="1" applyBorder="1"/>
    <xf numFmtId="180" fontId="32" fillId="9" borderId="0" xfId="57" applyNumberFormat="1" applyFont="1" applyFill="1"/>
    <xf numFmtId="181" fontId="33" fillId="8" borderId="1" xfId="51" applyNumberFormat="1" applyFont="1" applyFill="1" applyBorder="1"/>
    <xf numFmtId="181" fontId="36" fillId="8" borderId="1" xfId="51" applyNumberFormat="1" applyFont="1" applyFill="1" applyBorder="1"/>
    <xf numFmtId="181" fontId="35" fillId="8" borderId="1" xfId="51" applyNumberFormat="1" applyFont="1" applyFill="1" applyBorder="1"/>
    <xf numFmtId="181" fontId="42" fillId="8" borderId="1" xfId="51" applyNumberFormat="1" applyFont="1" applyFill="1" applyBorder="1"/>
    <xf numFmtId="180" fontId="32" fillId="0" borderId="0" xfId="57" applyNumberFormat="1" applyFont="1"/>
    <xf numFmtId="180" fontId="32" fillId="0" borderId="0" xfId="57" applyNumberFormat="1" applyFont="1" applyAlignment="1">
      <alignment horizontal="center"/>
    </xf>
    <xf numFmtId="181" fontId="33" fillId="0" borderId="0" xfId="51" applyNumberFormat="1" applyFont="1" applyFill="1" applyBorder="1"/>
    <xf numFmtId="0" fontId="36" fillId="8" borderId="1" xfId="51" applyNumberFormat="1" applyFont="1" applyFill="1" applyBorder="1" applyAlignment="1">
      <alignment horizontal="left"/>
    </xf>
    <xf numFmtId="181" fontId="36" fillId="0" borderId="0" xfId="51" applyNumberFormat="1" applyFont="1" applyFill="1" applyBorder="1"/>
    <xf numFmtId="0" fontId="10" fillId="8" borderId="1" xfId="57" applyFont="1" applyFill="1" applyBorder="1" applyAlignment="1">
      <alignment horizontal="left"/>
    </xf>
    <xf numFmtId="181" fontId="34" fillId="8" borderId="1" xfId="51" applyNumberFormat="1" applyFont="1" applyFill="1" applyBorder="1"/>
    <xf numFmtId="181" fontId="36" fillId="25" borderId="1" xfId="51" applyNumberFormat="1" applyFont="1" applyFill="1" applyBorder="1"/>
    <xf numFmtId="181" fontId="33" fillId="25" borderId="1" xfId="51" applyNumberFormat="1" applyFont="1" applyFill="1" applyBorder="1"/>
    <xf numFmtId="181" fontId="35" fillId="25" borderId="1" xfId="51" applyNumberFormat="1" applyFont="1" applyFill="1" applyBorder="1"/>
    <xf numFmtId="181" fontId="34" fillId="25" borderId="1" xfId="51" applyNumberFormat="1" applyFont="1" applyFill="1" applyBorder="1"/>
    <xf numFmtId="181" fontId="31" fillId="12" borderId="1" xfId="51" applyNumberFormat="1" applyFont="1" applyFill="1" applyBorder="1"/>
    <xf numFmtId="181" fontId="10" fillId="0" borderId="0" xfId="49" applyNumberFormat="1" applyFont="1"/>
    <xf numFmtId="181" fontId="10" fillId="0" borderId="1" xfId="1" applyNumberFormat="1" applyFont="1" applyBorder="1"/>
    <xf numFmtId="181" fontId="10" fillId="0" borderId="2" xfId="49" applyNumberFormat="1" applyFont="1" applyBorder="1"/>
    <xf numFmtId="0" fontId="10" fillId="0" borderId="8" xfId="57" applyFont="1" applyBorder="1"/>
    <xf numFmtId="181" fontId="10" fillId="0" borderId="8" xfId="49" applyNumberFormat="1" applyFont="1" applyBorder="1"/>
    <xf numFmtId="181" fontId="10" fillId="0" borderId="6" xfId="1" applyNumberFormat="1" applyFont="1" applyBorder="1" applyAlignment="1">
      <alignment horizontal="center"/>
    </xf>
    <xf numFmtId="0" fontId="10" fillId="0" borderId="12" xfId="49" applyNumberFormat="1" applyFont="1" applyBorder="1" applyAlignment="1">
      <alignment horizontal="left" vertical="justify" wrapText="1"/>
    </xf>
    <xf numFmtId="0" fontId="10" fillId="0" borderId="11" xfId="49" applyNumberFormat="1" applyFont="1" applyBorder="1" applyAlignment="1">
      <alignment horizontal="left" vertical="justify" wrapText="1"/>
    </xf>
    <xf numFmtId="181" fontId="10" fillId="0" borderId="7" xfId="1" applyNumberFormat="1" applyFont="1" applyBorder="1" applyAlignment="1">
      <alignment horizontal="center"/>
    </xf>
    <xf numFmtId="0" fontId="10" fillId="0" borderId="4" xfId="49" applyNumberFormat="1" applyFont="1" applyBorder="1" applyAlignment="1">
      <alignment horizontal="left" vertical="justify" wrapText="1"/>
    </xf>
    <xf numFmtId="0" fontId="10" fillId="0" borderId="5" xfId="49" applyNumberFormat="1" applyFont="1" applyBorder="1" applyAlignment="1">
      <alignment horizontal="left" vertical="justify" wrapText="1"/>
    </xf>
    <xf numFmtId="181" fontId="10" fillId="0" borderId="4" xfId="49" applyNumberFormat="1" applyFont="1" applyBorder="1"/>
    <xf numFmtId="181" fontId="10" fillId="0" borderId="5" xfId="49" applyNumberFormat="1" applyFont="1" applyBorder="1"/>
    <xf numFmtId="181" fontId="31" fillId="0" borderId="1" xfId="1" applyNumberFormat="1" applyFont="1" applyBorder="1"/>
    <xf numFmtId="181" fontId="31" fillId="0" borderId="0" xfId="49" applyNumberFormat="1" applyFont="1"/>
    <xf numFmtId="181" fontId="10" fillId="0" borderId="9" xfId="49" applyNumberFormat="1" applyFont="1" applyBorder="1"/>
    <xf numFmtId="181" fontId="10" fillId="0" borderId="0" xfId="49" applyNumberFormat="1" applyFont="1" applyBorder="1"/>
    <xf numFmtId="181" fontId="33" fillId="2" borderId="0" xfId="49" applyNumberFormat="1" applyFont="1" applyFill="1" applyBorder="1"/>
    <xf numFmtId="0" fontId="10" fillId="0" borderId="14" xfId="49" applyNumberFormat="1" applyFont="1" applyBorder="1" applyAlignment="1">
      <alignment horizontal="left" vertical="justify" wrapText="1"/>
    </xf>
    <xf numFmtId="0" fontId="10" fillId="0" borderId="0" xfId="49" applyNumberFormat="1" applyFont="1" applyBorder="1" applyAlignment="1">
      <alignment horizontal="left" vertical="justify" wrapText="1"/>
    </xf>
    <xf numFmtId="0" fontId="10" fillId="0" borderId="16" xfId="49" applyNumberFormat="1" applyFont="1" applyBorder="1" applyAlignment="1">
      <alignment horizontal="left" vertical="justify" wrapText="1"/>
    </xf>
    <xf numFmtId="181" fontId="10" fillId="0" borderId="16" xfId="49" applyNumberFormat="1" applyFont="1" applyBorder="1"/>
    <xf numFmtId="181" fontId="31" fillId="13" borderId="1" xfId="51" applyNumberFormat="1" applyFont="1" applyFill="1" applyBorder="1"/>
    <xf numFmtId="181" fontId="31" fillId="14" borderId="1" xfId="51" applyNumberFormat="1" applyFont="1" applyFill="1" applyBorder="1"/>
    <xf numFmtId="181" fontId="31" fillId="20" borderId="1" xfId="51" applyNumberFormat="1" applyFont="1" applyFill="1" applyBorder="1"/>
    <xf numFmtId="181" fontId="31" fillId="22" borderId="1" xfId="51" applyNumberFormat="1" applyFont="1" applyFill="1" applyBorder="1"/>
    <xf numFmtId="181" fontId="31" fillId="23" borderId="1" xfId="51" applyNumberFormat="1" applyFont="1" applyFill="1" applyBorder="1"/>
    <xf numFmtId="181" fontId="10" fillId="0" borderId="0" xfId="49" applyNumberFormat="1" applyFont="1" applyAlignment="1">
      <alignment horizontal="left" vertical="top"/>
    </xf>
    <xf numFmtId="0" fontId="10" fillId="0" borderId="0" xfId="57" applyFont="1" applyAlignment="1">
      <alignment horizontal="left" vertical="top"/>
    </xf>
    <xf numFmtId="181" fontId="10" fillId="24" borderId="0" xfId="51" applyNumberFormat="1" applyFont="1" applyFill="1" applyBorder="1"/>
    <xf numFmtId="0" fontId="31" fillId="26" borderId="1" xfId="57" applyFont="1" applyFill="1" applyBorder="1"/>
    <xf numFmtId="181" fontId="31" fillId="26" borderId="1" xfId="51" applyNumberFormat="1" applyFont="1" applyFill="1" applyBorder="1"/>
    <xf numFmtId="181" fontId="31" fillId="0" borderId="0" xfId="51" applyNumberFormat="1" applyFont="1" applyFill="1" applyBorder="1"/>
    <xf numFmtId="181" fontId="10" fillId="0" borderId="0" xfId="49" applyNumberFormat="1" applyFont="1" applyFill="1"/>
    <xf numFmtId="181" fontId="31" fillId="27" borderId="1" xfId="51" applyNumberFormat="1" applyFont="1" applyFill="1" applyBorder="1"/>
    <xf numFmtId="181" fontId="10" fillId="17" borderId="0" xfId="49" applyNumberFormat="1" applyFont="1" applyFill="1"/>
    <xf numFmtId="0" fontId="3" fillId="28" borderId="0" xfId="0" applyFont="1" applyFill="1" applyAlignment="1">
      <alignment horizontal="center"/>
    </xf>
    <xf numFmtId="180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center"/>
    </xf>
    <xf numFmtId="3" fontId="0" fillId="0" borderId="0" xfId="0" applyNumberFormat="1"/>
    <xf numFmtId="3" fontId="0" fillId="2" borderId="0" xfId="0" applyNumberFormat="1" applyFill="1"/>
    <xf numFmtId="181" fontId="0" fillId="2" borderId="0" xfId="1" applyNumberFormat="1" applyFont="1" applyFill="1"/>
    <xf numFmtId="0" fontId="0" fillId="0" borderId="0" xfId="0" applyAlignment="1">
      <alignment wrapText="1"/>
    </xf>
    <xf numFmtId="0" fontId="43" fillId="0" borderId="0" xfId="0" applyFont="1"/>
    <xf numFmtId="0" fontId="3" fillId="0" borderId="0" xfId="0" applyFont="1" applyAlignment="1">
      <alignment wrapText="1"/>
    </xf>
    <xf numFmtId="181" fontId="0" fillId="0" borderId="0" xfId="1" applyNumberFormat="1" applyFont="1"/>
    <xf numFmtId="181" fontId="0" fillId="0" borderId="0" xfId="0" applyNumberFormat="1"/>
    <xf numFmtId="181" fontId="3" fillId="0" borderId="0" xfId="1" applyNumberFormat="1" applyFont="1"/>
    <xf numFmtId="176" fontId="0" fillId="0" borderId="0" xfId="0" applyNumberFormat="1"/>
    <xf numFmtId="0" fontId="3" fillId="2" borderId="0" xfId="0" applyFont="1" applyFill="1"/>
    <xf numFmtId="181" fontId="3" fillId="0" borderId="0" xfId="0" applyNumberFormat="1" applyFont="1"/>
    <xf numFmtId="181" fontId="44" fillId="0" borderId="11" xfId="1" applyNumberFormat="1" applyFont="1" applyBorder="1"/>
    <xf numFmtId="181" fontId="0" fillId="0" borderId="11" xfId="0" applyNumberFormat="1" applyBorder="1"/>
    <xf numFmtId="0" fontId="3" fillId="0" borderId="0" xfId="0" applyFont="1"/>
    <xf numFmtId="4" fontId="0" fillId="0" borderId="0" xfId="0" applyNumberFormat="1"/>
    <xf numFmtId="181" fontId="0" fillId="0" borderId="11" xfId="1" applyNumberFormat="1" applyFont="1" applyBorder="1"/>
    <xf numFmtId="3" fontId="44" fillId="0" borderId="0" xfId="0" applyNumberFormat="1" applyFont="1"/>
    <xf numFmtId="0" fontId="3" fillId="14" borderId="0" xfId="0" applyFont="1" applyFill="1" applyAlignment="1">
      <alignment horizontal="center" vertical="center"/>
    </xf>
    <xf numFmtId="180" fontId="3" fillId="0" borderId="0" xfId="0" applyNumberFormat="1" applyFont="1" applyAlignment="1">
      <alignment horizontal="center"/>
    </xf>
    <xf numFmtId="180" fontId="3" fillId="14" borderId="0" xfId="0" applyNumberFormat="1" applyFont="1" applyFill="1" applyAlignment="1">
      <alignment horizontal="center"/>
    </xf>
    <xf numFmtId="4" fontId="0" fillId="2" borderId="0" xfId="0" applyNumberFormat="1" applyFill="1"/>
    <xf numFmtId="4" fontId="44" fillId="0" borderId="0" xfId="0" applyNumberFormat="1" applyFont="1"/>
    <xf numFmtId="0" fontId="44" fillId="0" borderId="0" xfId="0" applyFont="1"/>
    <xf numFmtId="181" fontId="0" fillId="0" borderId="0" xfId="1" applyNumberFormat="1" applyFont="1" applyFill="1"/>
    <xf numFmtId="181" fontId="0" fillId="2" borderId="0" xfId="0" applyNumberFormat="1" applyFill="1"/>
    <xf numFmtId="176" fontId="3" fillId="2" borderId="0" xfId="0" applyNumberFormat="1" applyFont="1" applyFill="1"/>
    <xf numFmtId="176" fontId="3" fillId="0" borderId="0" xfId="0" applyNumberFormat="1" applyFont="1"/>
    <xf numFmtId="0" fontId="25" fillId="0" borderId="0" xfId="57" applyFont="1" applyAlignment="1">
      <alignment horizontal="center"/>
    </xf>
    <xf numFmtId="0" fontId="23" fillId="6" borderId="0" xfId="57" applyFont="1" applyFill="1" applyAlignment="1">
      <alignment horizontal="center" wrapText="1"/>
    </xf>
    <xf numFmtId="0" fontId="24" fillId="6" borderId="0" xfId="57" applyFont="1" applyFill="1" applyAlignment="1">
      <alignment horizontal="center"/>
    </xf>
    <xf numFmtId="0" fontId="25" fillId="19" borderId="6" xfId="57" applyFont="1" applyFill="1" applyBorder="1" applyAlignment="1">
      <alignment horizontal="center" vertical="center"/>
    </xf>
    <xf numFmtId="180" fontId="25" fillId="19" borderId="2" xfId="57" applyNumberFormat="1" applyFont="1" applyFill="1" applyBorder="1" applyAlignment="1">
      <alignment horizontal="center"/>
    </xf>
    <xf numFmtId="180" fontId="25" fillId="19" borderId="8" xfId="57" applyNumberFormat="1" applyFont="1" applyFill="1" applyBorder="1" applyAlignment="1">
      <alignment horizontal="center"/>
    </xf>
    <xf numFmtId="0" fontId="25" fillId="19" borderId="9" xfId="57" applyFont="1" applyFill="1" applyBorder="1" applyAlignment="1">
      <alignment horizontal="center"/>
    </xf>
    <xf numFmtId="0" fontId="25" fillId="19" borderId="0" xfId="57" applyFont="1" applyFill="1" applyAlignment="1">
      <alignment horizontal="center"/>
    </xf>
    <xf numFmtId="0" fontId="25" fillId="19" borderId="7" xfId="57" applyFont="1" applyFill="1" applyBorder="1" applyAlignment="1">
      <alignment horizontal="center" vertical="center"/>
    </xf>
    <xf numFmtId="0" fontId="25" fillId="19" borderId="1" xfId="57" applyFont="1" applyFill="1" applyBorder="1" applyAlignment="1">
      <alignment horizontal="center"/>
    </xf>
    <xf numFmtId="0" fontId="45" fillId="19" borderId="1" xfId="57" applyFont="1" applyFill="1" applyBorder="1" applyAlignment="1">
      <alignment horizontal="center"/>
    </xf>
    <xf numFmtId="0" fontId="29" fillId="0" borderId="1" xfId="57" applyFont="1" applyBorder="1"/>
    <xf numFmtId="181" fontId="29" fillId="23" borderId="1" xfId="51" applyNumberFormat="1" applyFont="1" applyFill="1" applyBorder="1"/>
    <xf numFmtId="0" fontId="29" fillId="0" borderId="1" xfId="0" applyFont="1" applyBorder="1"/>
    <xf numFmtId="0" fontId="45" fillId="0" borderId="1" xfId="57" applyFont="1" applyBorder="1"/>
    <xf numFmtId="181" fontId="45" fillId="23" borderId="1" xfId="51" applyNumberFormat="1" applyFont="1" applyFill="1" applyBorder="1"/>
    <xf numFmtId="181" fontId="21" fillId="0" borderId="0" xfId="1" applyNumberFormat="1" applyFont="1" applyBorder="1"/>
    <xf numFmtId="0" fontId="21" fillId="2" borderId="0" xfId="57" applyFont="1" applyFill="1"/>
    <xf numFmtId="0" fontId="21" fillId="2" borderId="0" xfId="57" applyFill="1"/>
    <xf numFmtId="0" fontId="23" fillId="2" borderId="0" xfId="57" applyFont="1" applyFill="1" applyAlignment="1">
      <alignment horizontal="center" wrapText="1"/>
    </xf>
    <xf numFmtId="0" fontId="23" fillId="0" borderId="0" xfId="57" applyFont="1" applyAlignment="1">
      <alignment horizontal="center" wrapText="1"/>
    </xf>
    <xf numFmtId="0" fontId="25" fillId="19" borderId="6" xfId="0" applyFont="1" applyFill="1" applyBorder="1" applyAlignment="1">
      <alignment horizontal="center" vertical="center"/>
    </xf>
    <xf numFmtId="0" fontId="46" fillId="19" borderId="2" xfId="0" applyFont="1" applyFill="1" applyBorder="1" applyAlignment="1">
      <alignment horizontal="center" wrapText="1"/>
    </xf>
    <xf numFmtId="0" fontId="46" fillId="19" borderId="9" xfId="0" applyFont="1" applyFill="1" applyBorder="1" applyAlignment="1">
      <alignment horizontal="center" wrapText="1"/>
    </xf>
    <xf numFmtId="0" fontId="46" fillId="19" borderId="2" xfId="0" applyFont="1" applyFill="1" applyBorder="1" applyAlignment="1">
      <alignment horizontal="center"/>
    </xf>
    <xf numFmtId="0" fontId="24" fillId="2" borderId="0" xfId="57" applyFont="1" applyFill="1" applyAlignment="1">
      <alignment horizontal="center"/>
    </xf>
    <xf numFmtId="0" fontId="24" fillId="0" borderId="0" xfId="57" applyFont="1" applyAlignment="1">
      <alignment horizontal="center"/>
    </xf>
    <xf numFmtId="0" fontId="25" fillId="19" borderId="7" xfId="0" applyFont="1" applyFill="1" applyBorder="1" applyAlignment="1">
      <alignment horizontal="center" vertical="center"/>
    </xf>
    <xf numFmtId="0" fontId="46" fillId="19" borderId="1" xfId="0" applyFont="1" applyFill="1" applyBorder="1" applyAlignment="1">
      <alignment horizontal="center" wrapText="1"/>
    </xf>
    <xf numFmtId="0" fontId="46" fillId="19" borderId="1" xfId="0" applyFont="1" applyFill="1" applyBorder="1" applyAlignment="1">
      <alignment horizontal="center"/>
    </xf>
    <xf numFmtId="180" fontId="25" fillId="2" borderId="0" xfId="57" applyNumberFormat="1" applyFont="1" applyFill="1" applyAlignment="1">
      <alignment horizontal="center"/>
    </xf>
    <xf numFmtId="180" fontId="25" fillId="0" borderId="0" xfId="57" applyNumberFormat="1" applyFont="1" applyAlignment="1">
      <alignment horizontal="center"/>
    </xf>
    <xf numFmtId="176" fontId="47" fillId="0" borderId="1" xfId="1" applyFont="1" applyBorder="1" applyAlignment="1">
      <alignment wrapText="1"/>
    </xf>
    <xf numFmtId="181" fontId="47" fillId="0" borderId="1" xfId="1" applyNumberFormat="1" applyFont="1" applyBorder="1" applyAlignment="1">
      <alignment wrapText="1"/>
    </xf>
    <xf numFmtId="176" fontId="47" fillId="0" borderId="1" xfId="1" applyFont="1" applyBorder="1"/>
    <xf numFmtId="0" fontId="45" fillId="2" borderId="0" xfId="57" applyFont="1" applyFill="1" applyAlignment="1">
      <alignment horizontal="center"/>
    </xf>
    <xf numFmtId="0" fontId="45" fillId="0" borderId="0" xfId="57" applyFont="1" applyAlignment="1">
      <alignment horizontal="center"/>
    </xf>
    <xf numFmtId="181" fontId="29" fillId="2" borderId="0" xfId="51" applyNumberFormat="1" applyFont="1" applyFill="1" applyBorder="1"/>
    <xf numFmtId="181" fontId="29" fillId="0" borderId="0" xfId="51" applyNumberFormat="1" applyFont="1" applyFill="1" applyBorder="1"/>
    <xf numFmtId="181" fontId="48" fillId="0" borderId="1" xfId="1" applyNumberFormat="1" applyFont="1" applyBorder="1" applyAlignment="1">
      <alignment wrapText="1"/>
    </xf>
    <xf numFmtId="181" fontId="45" fillId="2" borderId="0" xfId="51" applyNumberFormat="1" applyFont="1" applyFill="1" applyBorder="1"/>
    <xf numFmtId="0" fontId="45" fillId="0" borderId="1" xfId="0" applyFont="1" applyBorder="1"/>
    <xf numFmtId="176" fontId="49" fillId="0" borderId="1" xfId="1" applyFont="1" applyBorder="1" applyAlignment="1">
      <alignment wrapText="1"/>
    </xf>
    <xf numFmtId="181" fontId="49" fillId="0" borderId="1" xfId="1" applyNumberFormat="1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7" fillId="0" borderId="1" xfId="0" applyFont="1" applyBorder="1"/>
    <xf numFmtId="0" fontId="25" fillId="0" borderId="1" xfId="0" applyFont="1" applyBorder="1"/>
    <xf numFmtId="176" fontId="46" fillId="0" borderId="1" xfId="1" applyFont="1" applyBorder="1" applyAlignment="1">
      <alignment wrapText="1"/>
    </xf>
    <xf numFmtId="181" fontId="46" fillId="0" borderId="1" xfId="1" applyNumberFormat="1" applyFont="1" applyBorder="1" applyAlignment="1">
      <alignment wrapText="1"/>
    </xf>
    <xf numFmtId="176" fontId="46" fillId="0" borderId="1" xfId="1" applyFont="1" applyBorder="1"/>
    <xf numFmtId="176" fontId="27" fillId="0" borderId="1" xfId="1" applyFont="1" applyBorder="1" applyAlignment="1">
      <alignment wrapText="1"/>
    </xf>
    <xf numFmtId="181" fontId="27" fillId="0" borderId="1" xfId="1" applyNumberFormat="1" applyFont="1" applyBorder="1" applyAlignment="1">
      <alignment wrapText="1"/>
    </xf>
    <xf numFmtId="176" fontId="27" fillId="0" borderId="1" xfId="1" applyFont="1" applyBorder="1"/>
    <xf numFmtId="181" fontId="49" fillId="0" borderId="1" xfId="1" applyNumberFormat="1" applyFont="1" applyBorder="1"/>
    <xf numFmtId="181" fontId="47" fillId="0" borderId="1" xfId="1" applyNumberFormat="1" applyFont="1" applyBorder="1"/>
    <xf numFmtId="181" fontId="46" fillId="0" borderId="1" xfId="1" applyNumberFormat="1" applyFont="1" applyBorder="1"/>
    <xf numFmtId="0" fontId="46" fillId="19" borderId="9" xfId="0" applyFont="1" applyFill="1" applyBorder="1" applyAlignment="1">
      <alignment horizontal="center"/>
    </xf>
    <xf numFmtId="0" fontId="25" fillId="0" borderId="0" xfId="57" applyFont="1" applyAlignment="1">
      <alignment wrapText="1"/>
    </xf>
    <xf numFmtId="181" fontId="47" fillId="0" borderId="1" xfId="0" applyNumberFormat="1" applyFont="1" applyBorder="1"/>
    <xf numFmtId="0" fontId="21" fillId="0" borderId="0" xfId="57" applyAlignment="1">
      <alignment horizontal="left"/>
    </xf>
    <xf numFmtId="181" fontId="21" fillId="0" borderId="0" xfId="1" applyNumberFormat="1" applyFont="1" applyAlignment="1">
      <alignment horizontal="center"/>
    </xf>
    <xf numFmtId="181" fontId="48" fillId="0" borderId="1" xfId="1" applyNumberFormat="1" applyFont="1" applyBorder="1"/>
    <xf numFmtId="181" fontId="25" fillId="2" borderId="0" xfId="57" applyNumberFormat="1" applyFont="1" applyFill="1"/>
    <xf numFmtId="181" fontId="27" fillId="0" borderId="1" xfId="1" applyNumberFormat="1" applyFont="1" applyBorder="1"/>
    <xf numFmtId="0" fontId="25" fillId="2" borderId="0" xfId="57" applyFont="1" applyFill="1"/>
    <xf numFmtId="0" fontId="21" fillId="0" borderId="1" xfId="57" applyFont="1" applyBorder="1"/>
    <xf numFmtId="181" fontId="21" fillId="2" borderId="1" xfId="51" applyNumberFormat="1" applyFont="1" applyFill="1" applyBorder="1"/>
    <xf numFmtId="0" fontId="21" fillId="2" borderId="1" xfId="57" applyFill="1" applyBorder="1"/>
    <xf numFmtId="181" fontId="21" fillId="2" borderId="2" xfId="57" applyNumberFormat="1" applyFill="1" applyBorder="1"/>
    <xf numFmtId="181" fontId="21" fillId="2" borderId="1" xfId="1" applyNumberFormat="1" applyFont="1" applyFill="1" applyBorder="1" applyAlignment="1"/>
    <xf numFmtId="181" fontId="21" fillId="2" borderId="1" xfId="1" applyNumberFormat="1" applyFont="1" applyFill="1" applyBorder="1"/>
    <xf numFmtId="0" fontId="25" fillId="2" borderId="1" xfId="57" applyFont="1" applyFill="1" applyBorder="1" applyAlignment="1">
      <alignment horizontal="center"/>
    </xf>
    <xf numFmtId="181" fontId="21" fillId="18" borderId="1" xfId="51" applyNumberFormat="1" applyFont="1" applyFill="1" applyBorder="1"/>
    <xf numFmtId="181" fontId="27" fillId="18" borderId="1" xfId="51" applyNumberFormat="1" applyFont="1" applyFill="1" applyBorder="1"/>
    <xf numFmtId="0" fontId="25" fillId="18" borderId="1" xfId="57" applyFont="1" applyFill="1" applyBorder="1"/>
    <xf numFmtId="181" fontId="21" fillId="18" borderId="1" xfId="57" applyNumberFormat="1" applyFill="1" applyBorder="1"/>
    <xf numFmtId="181" fontId="26" fillId="18" borderId="1" xfId="51" applyNumberFormat="1" applyFont="1" applyFill="1" applyBorder="1"/>
    <xf numFmtId="181" fontId="25" fillId="2" borderId="1" xfId="51" applyNumberFormat="1" applyFont="1" applyFill="1" applyBorder="1" applyAlignment="1">
      <alignment horizontal="center"/>
    </xf>
    <xf numFmtId="181" fontId="28" fillId="18" borderId="1" xfId="51" applyNumberFormat="1" applyFont="1" applyFill="1" applyBorder="1"/>
    <xf numFmtId="180" fontId="3" fillId="2" borderId="0" xfId="0" applyNumberFormat="1" applyFont="1" applyFill="1"/>
    <xf numFmtId="180" fontId="3" fillId="2" borderId="0" xfId="0" applyNumberFormat="1" applyFont="1" applyFill="1" applyAlignment="1">
      <alignment horizontal="center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left" vertical="center"/>
    </xf>
    <xf numFmtId="181" fontId="0" fillId="29" borderId="1" xfId="1" applyNumberFormat="1" applyFont="1" applyFill="1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0" fontId="25" fillId="29" borderId="1" xfId="0" applyFont="1" applyFill="1" applyBorder="1" applyAlignment="1">
      <alignment horizontal="left" vertical="center"/>
    </xf>
    <xf numFmtId="181" fontId="25" fillId="29" borderId="1" xfId="1" applyNumberFormat="1" applyFont="1" applyFill="1" applyBorder="1" applyAlignment="1">
      <alignment horizontal="left" vertical="center"/>
    </xf>
    <xf numFmtId="4" fontId="2" fillId="0" borderId="0" xfId="0" applyNumberFormat="1" applyFont="1"/>
    <xf numFmtId="0" fontId="46" fillId="1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5" fillId="0" borderId="0" xfId="0" applyFont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30" borderId="1" xfId="0" applyFont="1" applyFill="1" applyBorder="1" applyAlignment="1">
      <alignment horizontal="center" vertical="center" wrapText="1"/>
    </xf>
    <xf numFmtId="0" fontId="54" fillId="17" borderId="1" xfId="61" applyFont="1" applyFill="1" applyBorder="1" applyAlignment="1" applyProtection="1">
      <alignment horizontal="center" vertical="center" wrapText="1"/>
      <protection locked="0"/>
    </xf>
    <xf numFmtId="0" fontId="55" fillId="0" borderId="1" xfId="0" applyFont="1" applyBorder="1" applyAlignment="1" applyProtection="1">
      <alignment horizontal="left" vertical="center" wrapText="1"/>
      <protection locked="0"/>
    </xf>
    <xf numFmtId="0" fontId="55" fillId="0" borderId="1" xfId="0" applyFont="1" applyBorder="1" applyAlignment="1" applyProtection="1">
      <alignment horizontal="center" vertical="center" wrapText="1"/>
      <protection locked="0"/>
    </xf>
    <xf numFmtId="0" fontId="54" fillId="0" borderId="1" xfId="0" applyFont="1" applyBorder="1" applyAlignment="1" applyProtection="1">
      <alignment horizontal="left" vertical="center" wrapText="1"/>
      <protection locked="0"/>
    </xf>
    <xf numFmtId="0" fontId="54" fillId="0" borderId="1" xfId="0" applyFont="1" applyBorder="1" applyAlignment="1" applyProtection="1">
      <alignment horizontal="center" vertical="center" wrapText="1"/>
      <protection locked="0"/>
    </xf>
    <xf numFmtId="0" fontId="54" fillId="31" borderId="1" xfId="61" applyFont="1" applyFill="1" applyBorder="1" applyAlignment="1" applyProtection="1">
      <alignment horizontal="center" vertical="center" wrapText="1"/>
      <protection locked="0"/>
    </xf>
    <xf numFmtId="0" fontId="55" fillId="31" borderId="1" xfId="0" applyFont="1" applyFill="1" applyBorder="1" applyAlignment="1" applyProtection="1">
      <alignment horizontal="left" vertical="center" wrapText="1"/>
      <protection locked="0"/>
    </xf>
    <xf numFmtId="0" fontId="55" fillId="31" borderId="1" xfId="0" applyFont="1" applyFill="1" applyBorder="1" applyAlignment="1" applyProtection="1">
      <alignment horizontal="center" vertical="center" wrapText="1"/>
      <protection locked="0"/>
    </xf>
    <xf numFmtId="0" fontId="54" fillId="0" borderId="1" xfId="61" applyFont="1" applyFill="1" applyBorder="1" applyAlignment="1" applyProtection="1">
      <alignment horizontal="center" vertical="center" wrapText="1"/>
      <protection locked="0"/>
    </xf>
    <xf numFmtId="0" fontId="56" fillId="0" borderId="1" xfId="0" applyFont="1" applyBorder="1" applyAlignment="1" applyProtection="1">
      <alignment horizontal="left" vertical="center" wrapText="1"/>
      <protection locked="0"/>
    </xf>
    <xf numFmtId="0" fontId="56" fillId="0" borderId="1" xfId="0" applyFont="1" applyBorder="1" applyAlignment="1" applyProtection="1">
      <alignment horizontal="center" vertical="center" wrapText="1"/>
      <protection locked="0"/>
    </xf>
    <xf numFmtId="0" fontId="53" fillId="0" borderId="1" xfId="61" applyFont="1" applyFill="1" applyBorder="1" applyAlignment="1" applyProtection="1">
      <alignment horizontal="center" vertical="center" wrapText="1"/>
      <protection locked="0"/>
    </xf>
    <xf numFmtId="0" fontId="25" fillId="0" borderId="6" xfId="0" applyFont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/>
    </xf>
    <xf numFmtId="0" fontId="25" fillId="0" borderId="7" xfId="0" applyFont="1" applyBorder="1" applyAlignment="1">
      <alignment horizontal="center" vertical="center" wrapText="1"/>
    </xf>
    <xf numFmtId="0" fontId="25" fillId="31" borderId="1" xfId="0" applyFont="1" applyFill="1" applyBorder="1" applyAlignment="1">
      <alignment horizontal="center" vertical="center" wrapText="1"/>
    </xf>
    <xf numFmtId="0" fontId="25" fillId="31" borderId="1" xfId="0" applyFont="1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/>
    </xf>
    <xf numFmtId="176" fontId="0" fillId="31" borderId="1" xfId="1" applyFont="1" applyFill="1" applyBorder="1"/>
    <xf numFmtId="176" fontId="51" fillId="0" borderId="0" xfId="1" applyFont="1"/>
    <xf numFmtId="176" fontId="53" fillId="30" borderId="1" xfId="1" applyFont="1" applyFill="1" applyBorder="1" applyAlignment="1" applyProtection="1">
      <alignment horizontal="center" vertical="center" wrapText="1"/>
    </xf>
    <xf numFmtId="176" fontId="53" fillId="32" borderId="1" xfId="1" applyFont="1" applyFill="1" applyBorder="1" applyAlignment="1" applyProtection="1">
      <alignment horizontal="center" vertical="center" wrapText="1"/>
    </xf>
    <xf numFmtId="180" fontId="55" fillId="0" borderId="1" xfId="0" applyNumberFormat="1" applyFont="1" applyBorder="1" applyAlignment="1" applyProtection="1">
      <alignment horizontal="center" vertical="center" wrapText="1"/>
      <protection locked="0"/>
    </xf>
    <xf numFmtId="189" fontId="55" fillId="0" borderId="1" xfId="0" applyNumberFormat="1" applyFont="1" applyBorder="1" applyAlignment="1" applyProtection="1">
      <alignment horizontal="center" vertical="center" wrapText="1"/>
      <protection locked="0"/>
    </xf>
    <xf numFmtId="181" fontId="55" fillId="33" borderId="1" xfId="1" applyNumberFormat="1" applyFont="1" applyFill="1" applyBorder="1" applyAlignment="1" applyProtection="1">
      <alignment horizontal="right" vertical="center" wrapText="1"/>
      <protection locked="0"/>
    </xf>
    <xf numFmtId="181" fontId="56" fillId="32" borderId="1" xfId="1" applyNumberFormat="1" applyFont="1" applyFill="1" applyBorder="1" applyAlignment="1" applyProtection="1">
      <alignment horizontal="right" vertical="center" wrapText="1"/>
      <protection locked="0"/>
    </xf>
    <xf numFmtId="180" fontId="54" fillId="0" borderId="1" xfId="0" applyNumberFormat="1" applyFont="1" applyBorder="1" applyAlignment="1" applyProtection="1">
      <alignment horizontal="center" vertical="center" wrapText="1"/>
      <protection locked="0"/>
    </xf>
    <xf numFmtId="189" fontId="54" fillId="0" borderId="1" xfId="0" applyNumberFormat="1" applyFont="1" applyBorder="1" applyAlignment="1" applyProtection="1">
      <alignment horizontal="center" vertical="center" wrapText="1"/>
      <protection locked="0"/>
    </xf>
    <xf numFmtId="181" fontId="54" fillId="33" borderId="1" xfId="1" applyNumberFormat="1" applyFont="1" applyFill="1" applyBorder="1" applyAlignment="1" applyProtection="1">
      <alignment horizontal="right" vertical="center" wrapText="1"/>
      <protection locked="0"/>
    </xf>
    <xf numFmtId="181" fontId="53" fillId="32" borderId="1" xfId="1" applyNumberFormat="1" applyFont="1" applyFill="1" applyBorder="1" applyAlignment="1" applyProtection="1">
      <alignment horizontal="right" vertical="center" wrapText="1"/>
      <protection locked="0"/>
    </xf>
    <xf numFmtId="180" fontId="55" fillId="31" borderId="1" xfId="0" applyNumberFormat="1" applyFont="1" applyFill="1" applyBorder="1" applyAlignment="1" applyProtection="1">
      <alignment horizontal="center" vertical="center" wrapText="1"/>
      <protection locked="0"/>
    </xf>
    <xf numFmtId="189" fontId="55" fillId="31" borderId="1" xfId="0" applyNumberFormat="1" applyFont="1" applyFill="1" applyBorder="1" applyAlignment="1" applyProtection="1">
      <alignment horizontal="center" vertical="center" wrapText="1"/>
      <protection locked="0"/>
    </xf>
    <xf numFmtId="180" fontId="56" fillId="0" borderId="1" xfId="0" applyNumberFormat="1" applyFont="1" applyBorder="1" applyAlignment="1" applyProtection="1">
      <alignment horizontal="center" vertical="center" wrapText="1"/>
      <protection locked="0"/>
    </xf>
    <xf numFmtId="189" fontId="56" fillId="0" borderId="1" xfId="0" applyNumberFormat="1" applyFont="1" applyBorder="1" applyAlignment="1" applyProtection="1">
      <alignment horizontal="center" vertical="center" wrapText="1"/>
      <protection locked="0"/>
    </xf>
    <xf numFmtId="181" fontId="56" fillId="33" borderId="1" xfId="1" applyNumberFormat="1" applyFont="1" applyFill="1" applyBorder="1" applyAlignment="1" applyProtection="1">
      <alignment horizontal="right" vertical="center" wrapText="1"/>
      <protection locked="0"/>
    </xf>
    <xf numFmtId="49" fontId="25" fillId="31" borderId="2" xfId="0" applyNumberFormat="1" applyFont="1" applyFill="1" applyBorder="1" applyAlignment="1">
      <alignment horizontal="center"/>
    </xf>
    <xf numFmtId="49" fontId="25" fillId="31" borderId="8" xfId="0" applyNumberFormat="1" applyFont="1" applyFill="1" applyBorder="1" applyAlignment="1">
      <alignment horizontal="center"/>
    </xf>
    <xf numFmtId="49" fontId="25" fillId="31" borderId="9" xfId="0" applyNumberFormat="1" applyFont="1" applyFill="1" applyBorder="1" applyAlignment="1">
      <alignment horizontal="center"/>
    </xf>
    <xf numFmtId="0" fontId="25" fillId="31" borderId="6" xfId="0" applyFont="1" applyFill="1" applyBorder="1" applyAlignment="1">
      <alignment horizontal="center" vertical="center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7" xfId="0" applyFont="1" applyFill="1" applyBorder="1" applyAlignment="1">
      <alignment horizontal="center" vertical="center"/>
    </xf>
    <xf numFmtId="0" fontId="25" fillId="31" borderId="7" xfId="0" applyFont="1" applyFill="1" applyBorder="1" applyAlignment="1">
      <alignment horizontal="center" vertical="center" wrapText="1"/>
    </xf>
    <xf numFmtId="176" fontId="0" fillId="0" borderId="1" xfId="1" applyFont="1" applyBorder="1"/>
    <xf numFmtId="176" fontId="0" fillId="0" borderId="1" xfId="1" applyFont="1" applyBorder="1" applyProtection="1">
      <protection locked="0"/>
    </xf>
    <xf numFmtId="190" fontId="53" fillId="30" borderId="1" xfId="0" applyNumberFormat="1" applyFont="1" applyFill="1" applyBorder="1" applyAlignment="1">
      <alignment horizontal="center" vertical="center" wrapText="1"/>
    </xf>
    <xf numFmtId="181" fontId="55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56" fillId="34" borderId="1" xfId="0" applyFont="1" applyFill="1" applyBorder="1" applyAlignment="1" applyProtection="1">
      <alignment horizontal="center" vertical="center" wrapText="1"/>
      <protection locked="0"/>
    </xf>
    <xf numFmtId="181" fontId="56" fillId="35" borderId="1" xfId="1" applyNumberFormat="1" applyFont="1" applyFill="1" applyBorder="1" applyAlignment="1" applyProtection="1">
      <alignment horizontal="right" vertical="center" wrapText="1"/>
      <protection locked="0"/>
    </xf>
    <xf numFmtId="0" fontId="55" fillId="36" borderId="1" xfId="0" applyFont="1" applyFill="1" applyBorder="1" applyAlignment="1" applyProtection="1">
      <alignment horizontal="center" vertical="center" wrapText="1"/>
      <protection locked="0"/>
    </xf>
    <xf numFmtId="181" fontId="54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53" fillId="34" borderId="1" xfId="0" applyFont="1" applyFill="1" applyBorder="1" applyAlignment="1" applyProtection="1">
      <alignment horizontal="center" vertical="center" wrapText="1"/>
      <protection locked="0"/>
    </xf>
    <xf numFmtId="181" fontId="53" fillId="35" borderId="1" xfId="1" applyNumberFormat="1" applyFont="1" applyFill="1" applyBorder="1" applyAlignment="1" applyProtection="1">
      <alignment horizontal="right" vertical="center" wrapText="1"/>
      <protection locked="0"/>
    </xf>
    <xf numFmtId="181" fontId="55" fillId="31" borderId="1" xfId="1" applyNumberFormat="1" applyFont="1" applyFill="1" applyBorder="1" applyAlignment="1" applyProtection="1">
      <alignment horizontal="right" vertical="center" wrapText="1"/>
      <protection locked="0"/>
    </xf>
    <xf numFmtId="0" fontId="56" fillId="31" borderId="1" xfId="0" applyFont="1" applyFill="1" applyBorder="1" applyAlignment="1" applyProtection="1">
      <alignment horizontal="center" vertical="center" wrapText="1"/>
      <protection locked="0"/>
    </xf>
    <xf numFmtId="181" fontId="56" fillId="31" borderId="1" xfId="1" applyNumberFormat="1" applyFont="1" applyFill="1" applyBorder="1" applyAlignment="1" applyProtection="1">
      <alignment horizontal="right" vertical="center" wrapText="1"/>
      <protection locked="0"/>
    </xf>
    <xf numFmtId="181" fontId="56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0" fillId="31" borderId="1" xfId="0" applyFill="1" applyBorder="1"/>
    <xf numFmtId="49" fontId="25" fillId="32" borderId="2" xfId="0" applyNumberFormat="1" applyFont="1" applyFill="1" applyBorder="1" applyAlignment="1">
      <alignment horizontal="center"/>
    </xf>
    <xf numFmtId="49" fontId="25" fillId="32" borderId="8" xfId="0" applyNumberFormat="1" applyFont="1" applyFill="1" applyBorder="1" applyAlignment="1">
      <alignment horizontal="center"/>
    </xf>
    <xf numFmtId="49" fontId="25" fillId="32" borderId="9" xfId="0" applyNumberFormat="1" applyFont="1" applyFill="1" applyBorder="1" applyAlignment="1">
      <alignment horizontal="center"/>
    </xf>
    <xf numFmtId="0" fontId="25" fillId="32" borderId="2" xfId="0" applyFont="1" applyFill="1" applyBorder="1" applyAlignment="1">
      <alignment horizontal="center"/>
    </xf>
    <xf numFmtId="0" fontId="25" fillId="32" borderId="8" xfId="0" applyFont="1" applyFill="1" applyBorder="1" applyAlignment="1">
      <alignment horizontal="center"/>
    </xf>
    <xf numFmtId="0" fontId="25" fillId="32" borderId="9" xfId="0" applyFont="1" applyFill="1" applyBorder="1" applyAlignment="1">
      <alignment horizontal="center"/>
    </xf>
    <xf numFmtId="0" fontId="25" fillId="32" borderId="1" xfId="0" applyFont="1" applyFill="1" applyBorder="1" applyAlignment="1">
      <alignment horizontal="center" vertical="center" wrapText="1"/>
    </xf>
    <xf numFmtId="176" fontId="0" fillId="32" borderId="1" xfId="1" applyFont="1" applyFill="1" applyBorder="1"/>
    <xf numFmtId="190" fontId="53" fillId="2" borderId="3" xfId="0" applyNumberFormat="1" applyFont="1" applyFill="1" applyBorder="1" applyAlignment="1">
      <alignment horizontal="center" vertical="center" wrapText="1"/>
    </xf>
    <xf numFmtId="181" fontId="56" fillId="0" borderId="1" xfId="0" applyNumberFormat="1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 wrapText="1"/>
    </xf>
    <xf numFmtId="0" fontId="25" fillId="31" borderId="1" xfId="0" applyFont="1" applyFill="1" applyBorder="1" applyAlignment="1">
      <alignment horizontal="center"/>
    </xf>
    <xf numFmtId="0" fontId="25" fillId="31" borderId="7" xfId="0" applyFont="1" applyFill="1" applyBorder="1" applyAlignment="1">
      <alignment horizontal="center"/>
    </xf>
    <xf numFmtId="49" fontId="25" fillId="31" borderId="1" xfId="0" applyNumberFormat="1" applyFont="1" applyFill="1" applyBorder="1" applyAlignment="1">
      <alignment horizontal="center"/>
    </xf>
    <xf numFmtId="49" fontId="25" fillId="32" borderId="1" xfId="0" applyNumberFormat="1" applyFont="1" applyFill="1" applyBorder="1" applyAlignment="1">
      <alignment horizontal="center"/>
    </xf>
    <xf numFmtId="0" fontId="25" fillId="32" borderId="1" xfId="0" applyFont="1" applyFill="1" applyBorder="1" applyAlignment="1">
      <alignment horizontal="center"/>
    </xf>
    <xf numFmtId="176" fontId="25" fillId="31" borderId="1" xfId="1" applyFont="1" applyFill="1" applyBorder="1" applyAlignment="1">
      <alignment horizontal="center"/>
    </xf>
    <xf numFmtId="176" fontId="25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/>
    <xf numFmtId="176" fontId="25" fillId="0" borderId="1" xfId="0" applyNumberFormat="1" applyFont="1" applyBorder="1" applyAlignment="1">
      <alignment vertical="center"/>
    </xf>
    <xf numFmtId="181" fontId="25" fillId="0" borderId="1" xfId="49" applyNumberFormat="1" applyFont="1" applyFill="1" applyBorder="1" applyAlignment="1">
      <alignment vertical="center"/>
    </xf>
    <xf numFmtId="176" fontId="25" fillId="32" borderId="1" xfId="1" applyFont="1" applyFill="1" applyBorder="1" applyAlignment="1">
      <alignment horizontal="center"/>
    </xf>
    <xf numFmtId="176" fontId="0" fillId="32" borderId="1" xfId="0" applyNumberFormat="1" applyFill="1" applyBorder="1"/>
    <xf numFmtId="0" fontId="0" fillId="32" borderId="1" xfId="0" applyFill="1" applyBorder="1"/>
    <xf numFmtId="4" fontId="26" fillId="0" borderId="0" xfId="0" applyNumberFormat="1" applyFont="1"/>
    <xf numFmtId="176" fontId="26" fillId="0" borderId="0" xfId="0" applyNumberFormat="1" applyFont="1"/>
    <xf numFmtId="0" fontId="57" fillId="0" borderId="0" xfId="59" applyFont="1"/>
    <xf numFmtId="0" fontId="58" fillId="0" borderId="0" xfId="59" applyFont="1"/>
    <xf numFmtId="0" fontId="58" fillId="7" borderId="6" xfId="59" applyFont="1" applyFill="1" applyBorder="1" applyAlignment="1">
      <alignment horizontal="center"/>
    </xf>
    <xf numFmtId="180" fontId="58" fillId="7" borderId="6" xfId="59" applyNumberFormat="1" applyFont="1" applyFill="1" applyBorder="1" applyAlignment="1">
      <alignment horizontal="center"/>
    </xf>
    <xf numFmtId="0" fontId="57" fillId="14" borderId="10" xfId="59" applyFont="1" applyFill="1" applyBorder="1"/>
    <xf numFmtId="181" fontId="57" fillId="14" borderId="10" xfId="53" applyNumberFormat="1" applyFont="1" applyFill="1" applyBorder="1"/>
    <xf numFmtId="181" fontId="57" fillId="0" borderId="0" xfId="59" applyNumberFormat="1" applyFont="1"/>
    <xf numFmtId="176" fontId="57" fillId="0" borderId="0" xfId="59" applyNumberFormat="1" applyFont="1"/>
    <xf numFmtId="0" fontId="58" fillId="14" borderId="1" xfId="59" applyFont="1" applyFill="1" applyBorder="1"/>
    <xf numFmtId="181" fontId="58" fillId="14" borderId="9" xfId="53" applyNumberFormat="1" applyFont="1" applyFill="1" applyBorder="1"/>
    <xf numFmtId="0" fontId="57" fillId="14" borderId="0" xfId="59" applyFont="1" applyFill="1"/>
    <xf numFmtId="0" fontId="57" fillId="21" borderId="10" xfId="59" applyFont="1" applyFill="1" applyBorder="1"/>
    <xf numFmtId="181" fontId="57" fillId="21" borderId="10" xfId="53" applyNumberFormat="1" applyFont="1" applyFill="1" applyBorder="1"/>
    <xf numFmtId="181" fontId="57" fillId="0" borderId="0" xfId="53" applyNumberFormat="1" applyFont="1" applyFill="1" applyBorder="1"/>
    <xf numFmtId="181" fontId="58" fillId="0" borderId="0" xfId="53" applyNumberFormat="1" applyFont="1" applyBorder="1"/>
    <xf numFmtId="0" fontId="58" fillId="21" borderId="1" xfId="59" applyFont="1" applyFill="1" applyBorder="1"/>
    <xf numFmtId="181" fontId="58" fillId="21" borderId="9" xfId="53" applyNumberFormat="1" applyFont="1" applyFill="1" applyBorder="1"/>
    <xf numFmtId="181" fontId="58" fillId="7" borderId="1" xfId="53" applyNumberFormat="1" applyFont="1" applyFill="1" applyBorder="1" applyAlignment="1">
      <alignment horizontal="center"/>
    </xf>
    <xf numFmtId="0" fontId="58" fillId="21" borderId="0" xfId="59" applyFont="1" applyFill="1"/>
    <xf numFmtId="0" fontId="57" fillId="21" borderId="0" xfId="59" applyFont="1" applyFill="1"/>
    <xf numFmtId="181" fontId="57" fillId="0" borderId="1" xfId="53" applyNumberFormat="1" applyFont="1" applyBorder="1"/>
    <xf numFmtId="0" fontId="57" fillId="12" borderId="10" xfId="59" applyFont="1" applyFill="1" applyBorder="1"/>
    <xf numFmtId="181" fontId="57" fillId="12" borderId="10" xfId="53" applyNumberFormat="1" applyFont="1" applyFill="1" applyBorder="1"/>
    <xf numFmtId="3" fontId="57" fillId="0" borderId="0" xfId="59" applyNumberFormat="1" applyFont="1"/>
    <xf numFmtId="0" fontId="58" fillId="12" borderId="1" xfId="59" applyFont="1" applyFill="1" applyBorder="1"/>
    <xf numFmtId="181" fontId="58" fillId="12" borderId="9" xfId="53" applyNumberFormat="1" applyFont="1" applyFill="1" applyBorder="1"/>
    <xf numFmtId="181" fontId="57" fillId="0" borderId="1" xfId="53" applyNumberFormat="1" applyFont="1" applyBorder="1" applyAlignment="1"/>
    <xf numFmtId="0" fontId="57" fillId="12" borderId="0" xfId="59" applyFont="1" applyFill="1"/>
    <xf numFmtId="0" fontId="58" fillId="7" borderId="6" xfId="59" applyFont="1" applyFill="1" applyBorder="1" applyAlignment="1">
      <alignment horizontal="center" vertical="distributed"/>
    </xf>
    <xf numFmtId="0" fontId="58" fillId="7" borderId="10" xfId="59" applyFont="1" applyFill="1" applyBorder="1" applyAlignment="1">
      <alignment horizontal="center" vertical="distributed"/>
    </xf>
    <xf numFmtId="180" fontId="58" fillId="7" borderId="7" xfId="59" applyNumberFormat="1" applyFont="1" applyFill="1" applyBorder="1" applyAlignment="1">
      <alignment horizontal="center"/>
    </xf>
    <xf numFmtId="0" fontId="57" fillId="18" borderId="10" xfId="59" applyFont="1" applyFill="1" applyBorder="1"/>
    <xf numFmtId="181" fontId="57" fillId="18" borderId="10" xfId="53" applyNumberFormat="1" applyFont="1" applyFill="1" applyBorder="1"/>
    <xf numFmtId="181" fontId="57" fillId="0" borderId="0" xfId="53" applyNumberFormat="1" applyFont="1" applyBorder="1"/>
    <xf numFmtId="181" fontId="59" fillId="18" borderId="10" xfId="53" applyNumberFormat="1" applyFont="1" applyFill="1" applyBorder="1"/>
    <xf numFmtId="181" fontId="59" fillId="0" borderId="0" xfId="53" applyNumberFormat="1" applyFont="1" applyFill="1" applyBorder="1"/>
    <xf numFmtId="0" fontId="57" fillId="0" borderId="10" xfId="59" applyFont="1" applyBorder="1"/>
    <xf numFmtId="181" fontId="57" fillId="0" borderId="9" xfId="53" applyNumberFormat="1" applyFont="1" applyBorder="1"/>
    <xf numFmtId="181" fontId="57" fillId="0" borderId="10" xfId="53" applyNumberFormat="1" applyFont="1" applyBorder="1"/>
    <xf numFmtId="181" fontId="58" fillId="0" borderId="1" xfId="53" applyNumberFormat="1" applyFont="1" applyBorder="1"/>
    <xf numFmtId="0" fontId="58" fillId="0" borderId="10" xfId="59" applyFont="1" applyBorder="1"/>
    <xf numFmtId="0" fontId="57" fillId="2" borderId="10" xfId="59" applyFont="1" applyFill="1" applyBorder="1"/>
    <xf numFmtId="181" fontId="57" fillId="2" borderId="10" xfId="53" applyNumberFormat="1" applyFont="1" applyFill="1" applyBorder="1"/>
    <xf numFmtId="181" fontId="58" fillId="2" borderId="10" xfId="53" applyNumberFormat="1" applyFont="1" applyFill="1" applyBorder="1"/>
    <xf numFmtId="181" fontId="58" fillId="0" borderId="0" xfId="53" applyNumberFormat="1" applyFont="1" applyFill="1" applyBorder="1"/>
    <xf numFmtId="181" fontId="57" fillId="18" borderId="15" xfId="53" applyNumberFormat="1" applyFont="1" applyFill="1" applyBorder="1"/>
    <xf numFmtId="181" fontId="57" fillId="2" borderId="15" xfId="53" applyNumberFormat="1" applyFont="1" applyFill="1" applyBorder="1"/>
    <xf numFmtId="181" fontId="58" fillId="0" borderId="17" xfId="53" applyNumberFormat="1" applyFont="1" applyFill="1" applyBorder="1"/>
    <xf numFmtId="9" fontId="57" fillId="0" borderId="0" xfId="53" applyNumberFormat="1" applyFont="1" applyFill="1" applyBorder="1"/>
    <xf numFmtId="181" fontId="58" fillId="0" borderId="0" xfId="59" applyNumberFormat="1" applyFont="1"/>
    <xf numFmtId="181" fontId="58" fillId="0" borderId="6" xfId="59" applyNumberFormat="1" applyFont="1" applyBorder="1"/>
    <xf numFmtId="181" fontId="57" fillId="0" borderId="0" xfId="58" applyNumberFormat="1" applyFont="1" applyAlignment="1">
      <alignment horizontal="left" wrapText="1"/>
    </xf>
    <xf numFmtId="181" fontId="58" fillId="0" borderId="10" xfId="59" applyNumberFormat="1" applyFont="1" applyBorder="1"/>
    <xf numFmtId="181" fontId="60" fillId="0" borderId="7" xfId="59" applyNumberFormat="1" applyFont="1" applyBorder="1"/>
    <xf numFmtId="181" fontId="57" fillId="0" borderId="0" xfId="53" applyNumberFormat="1" applyFont="1"/>
    <xf numFmtId="0" fontId="58" fillId="0" borderId="7" xfId="59" applyFont="1" applyBorder="1"/>
    <xf numFmtId="181" fontId="58" fillId="2" borderId="0" xfId="53" applyNumberFormat="1" applyFont="1" applyFill="1"/>
    <xf numFmtId="0" fontId="57" fillId="0" borderId="0" xfId="58" applyFont="1" applyAlignment="1">
      <alignment horizontal="left" wrapText="1"/>
    </xf>
    <xf numFmtId="181" fontId="57" fillId="0" borderId="1" xfId="1" applyNumberFormat="1" applyFont="1" applyBorder="1"/>
    <xf numFmtId="181" fontId="58" fillId="0" borderId="1" xfId="1" applyNumberFormat="1" applyFont="1" applyBorder="1"/>
    <xf numFmtId="181" fontId="58" fillId="7" borderId="0" xfId="59" applyNumberFormat="1" applyFont="1" applyFill="1" applyAlignment="1">
      <alignment horizontal="center"/>
    </xf>
    <xf numFmtId="0" fontId="58" fillId="7" borderId="12" xfId="59" applyFont="1" applyFill="1" applyBorder="1" applyAlignment="1">
      <alignment horizontal="center"/>
    </xf>
    <xf numFmtId="0" fontId="57" fillId="0" borderId="1" xfId="59" applyFont="1" applyBorder="1"/>
    <xf numFmtId="180" fontId="58" fillId="7" borderId="0" xfId="59" applyNumberFormat="1" applyFont="1" applyFill="1" applyAlignment="1">
      <alignment horizontal="center"/>
    </xf>
    <xf numFmtId="181" fontId="61" fillId="0" borderId="0" xfId="53" applyNumberFormat="1" applyFont="1" applyBorder="1"/>
    <xf numFmtId="0" fontId="58" fillId="0" borderId="18" xfId="59" applyFont="1" applyBorder="1"/>
    <xf numFmtId="0" fontId="25" fillId="19" borderId="1" xfId="57" applyFont="1" applyFill="1" applyBorder="1" applyAlignment="1">
      <alignment horizontal="center" vertical="center"/>
    </xf>
    <xf numFmtId="0" fontId="25" fillId="19" borderId="1" xfId="57" applyFont="1" applyFill="1" applyBorder="1" applyAlignment="1">
      <alignment horizontal="center" vertical="center" wrapText="1"/>
    </xf>
    <xf numFmtId="0" fontId="25" fillId="37" borderId="0" xfId="57" applyFont="1" applyFill="1" applyAlignment="1">
      <alignment horizontal="center"/>
    </xf>
    <xf numFmtId="181" fontId="25" fillId="0" borderId="0" xfId="1" applyNumberFormat="1" applyFont="1" applyAlignment="1">
      <alignment horizontal="center"/>
    </xf>
    <xf numFmtId="181" fontId="29" fillId="12" borderId="1" xfId="51" applyNumberFormat="1" applyFont="1" applyFill="1" applyBorder="1"/>
    <xf numFmtId="181" fontId="21" fillId="23" borderId="1" xfId="51" applyNumberFormat="1" applyFont="1" applyFill="1" applyBorder="1"/>
    <xf numFmtId="181" fontId="29" fillId="12" borderId="1" xfId="1" applyNumberFormat="1" applyFont="1" applyFill="1" applyBorder="1"/>
    <xf numFmtId="181" fontId="62" fillId="12" borderId="1" xfId="51" applyNumberFormat="1" applyFont="1" applyFill="1" applyBorder="1"/>
    <xf numFmtId="181" fontId="26" fillId="23" borderId="1" xfId="51" applyNumberFormat="1" applyFont="1" applyFill="1" applyBorder="1"/>
    <xf numFmtId="0" fontId="21" fillId="37" borderId="0" xfId="57" applyFill="1"/>
    <xf numFmtId="182" fontId="29" fillId="12" borderId="1" xfId="51" applyNumberFormat="1" applyFont="1" applyFill="1" applyBorder="1"/>
    <xf numFmtId="176" fontId="29" fillId="12" borderId="1" xfId="57" applyNumberFormat="1" applyFont="1" applyFill="1" applyBorder="1"/>
    <xf numFmtId="0" fontId="29" fillId="12" borderId="1" xfId="57" applyFont="1" applyFill="1" applyBorder="1"/>
    <xf numFmtId="181" fontId="21" fillId="37" borderId="0" xfId="57" applyNumberFormat="1" applyFill="1"/>
    <xf numFmtId="181" fontId="45" fillId="12" borderId="1" xfId="57" applyNumberFormat="1" applyFont="1" applyFill="1" applyBorder="1"/>
    <xf numFmtId="0" fontId="25" fillId="37" borderId="0" xfId="57" applyFont="1" applyFill="1"/>
    <xf numFmtId="181" fontId="29" fillId="12" borderId="1" xfId="57" applyNumberFormat="1" applyFont="1" applyFill="1" applyBorder="1"/>
    <xf numFmtId="181" fontId="25" fillId="0" borderId="0" xfId="57" applyNumberFormat="1" applyFont="1" applyAlignment="1">
      <alignment horizontal="center"/>
    </xf>
    <xf numFmtId="181" fontId="25" fillId="37" borderId="0" xfId="57" applyNumberFormat="1" applyFont="1" applyFill="1"/>
    <xf numFmtId="181" fontId="63" fillId="23" borderId="1" xfId="51" applyNumberFormat="1" applyFont="1" applyFill="1" applyBorder="1"/>
    <xf numFmtId="181" fontId="63" fillId="14" borderId="1" xfId="51" applyNumberFormat="1" applyFont="1" applyFill="1" applyBorder="1"/>
    <xf numFmtId="0" fontId="25" fillId="38" borderId="0" xfId="57" applyFont="1" applyFill="1"/>
    <xf numFmtId="181" fontId="25" fillId="0" borderId="0" xfId="49" applyNumberFormat="1" applyFont="1"/>
    <xf numFmtId="0" fontId="29" fillId="18" borderId="1" xfId="57" applyFont="1" applyFill="1" applyBorder="1"/>
    <xf numFmtId="0" fontId="21" fillId="14" borderId="1" xfId="57" applyFill="1" applyBorder="1"/>
    <xf numFmtId="0" fontId="21" fillId="38" borderId="0" xfId="57" applyFill="1"/>
    <xf numFmtId="1" fontId="29" fillId="12" borderId="1" xfId="57" applyNumberFormat="1" applyFont="1" applyFill="1" applyBorder="1"/>
    <xf numFmtId="176" fontId="29" fillId="12" borderId="1" xfId="1" applyFont="1" applyFill="1" applyBorder="1"/>
    <xf numFmtId="181" fontId="21" fillId="23" borderId="1" xfId="1" applyNumberFormat="1" applyFont="1" applyFill="1" applyBorder="1"/>
    <xf numFmtId="181" fontId="21" fillId="14" borderId="1" xfId="1" applyNumberFormat="1" applyFont="1" applyFill="1" applyBorder="1"/>
    <xf numFmtId="176" fontId="21" fillId="14" borderId="1" xfId="1" applyFont="1" applyFill="1" applyBorder="1"/>
    <xf numFmtId="0" fontId="21" fillId="39" borderId="0" xfId="57" applyFill="1"/>
    <xf numFmtId="0" fontId="29" fillId="2" borderId="1" xfId="57" applyFont="1" applyFill="1" applyBorder="1"/>
    <xf numFmtId="0" fontId="21" fillId="40" borderId="0" xfId="57" applyFill="1"/>
    <xf numFmtId="0" fontId="21" fillId="12" borderId="1" xfId="57" applyFill="1" applyBorder="1"/>
    <xf numFmtId="0" fontId="21" fillId="23" borderId="1" xfId="57" applyFill="1" applyBorder="1"/>
    <xf numFmtId="0" fontId="21" fillId="41" borderId="0" xfId="57" applyFill="1"/>
    <xf numFmtId="0" fontId="25" fillId="12" borderId="1" xfId="57" applyFont="1" applyFill="1" applyBorder="1"/>
    <xf numFmtId="0" fontId="45" fillId="12" borderId="1" xfId="57" applyFont="1" applyFill="1" applyBorder="1"/>
    <xf numFmtId="176" fontId="25" fillId="0" borderId="0" xfId="57" applyNumberFormat="1" applyFont="1" applyAlignment="1">
      <alignment horizontal="center"/>
    </xf>
    <xf numFmtId="181" fontId="21" fillId="8" borderId="1" xfId="51" applyNumberFormat="1" applyFont="1" applyFill="1" applyBorder="1"/>
    <xf numFmtId="181" fontId="25" fillId="0" borderId="0" xfId="1" applyNumberFormat="1" applyFont="1" applyFill="1" applyAlignment="1">
      <alignment horizontal="center"/>
    </xf>
    <xf numFmtId="181" fontId="25" fillId="2" borderId="0" xfId="1" applyNumberFormat="1" applyFont="1" applyFill="1" applyAlignment="1">
      <alignment horizontal="center"/>
    </xf>
    <xf numFmtId="3" fontId="25" fillId="0" borderId="0" xfId="57" applyNumberFormat="1" applyFont="1" applyAlignment="1">
      <alignment horizontal="center"/>
    </xf>
    <xf numFmtId="176" fontId="25" fillId="0" borderId="0" xfId="1" applyFont="1" applyAlignment="1">
      <alignment horizontal="center"/>
    </xf>
    <xf numFmtId="0" fontId="21" fillId="15" borderId="1" xfId="57" applyFill="1" applyBorder="1"/>
    <xf numFmtId="181" fontId="25" fillId="15" borderId="1" xfId="57" applyNumberFormat="1" applyFont="1" applyFill="1" applyBorder="1"/>
    <xf numFmtId="176" fontId="25" fillId="0" borderId="0" xfId="57" applyNumberFormat="1" applyFont="1"/>
    <xf numFmtId="181" fontId="21" fillId="15" borderId="1" xfId="57" applyNumberFormat="1" applyFill="1" applyBorder="1"/>
    <xf numFmtId="181" fontId="63" fillId="15" borderId="1" xfId="51" applyNumberFormat="1" applyFont="1" applyFill="1" applyBorder="1"/>
    <xf numFmtId="181" fontId="63" fillId="8" borderId="1" xfId="51" applyNumberFormat="1" applyFont="1" applyFill="1" applyBorder="1"/>
    <xf numFmtId="0" fontId="21" fillId="8" borderId="1" xfId="57" applyFill="1" applyBorder="1"/>
    <xf numFmtId="181" fontId="21" fillId="8" borderId="1" xfId="1" applyNumberFormat="1" applyFont="1" applyFill="1" applyBorder="1"/>
    <xf numFmtId="181" fontId="21" fillId="15" borderId="1" xfId="1" applyNumberFormat="1" applyFont="1" applyFill="1" applyBorder="1"/>
    <xf numFmtId="176" fontId="21" fillId="8" borderId="1" xfId="1" applyFont="1" applyFill="1" applyBorder="1"/>
    <xf numFmtId="181" fontId="25" fillId="0" borderId="0" xfId="49" applyNumberFormat="1" applyFont="1" applyAlignment="1">
      <alignment horizontal="center"/>
    </xf>
    <xf numFmtId="181" fontId="25" fillId="0" borderId="0" xfId="51" applyNumberFormat="1" applyFont="1"/>
    <xf numFmtId="0" fontId="45" fillId="7" borderId="1" xfId="57" applyFont="1" applyFill="1" applyBorder="1" applyAlignment="1">
      <alignment horizontal="center"/>
    </xf>
    <xf numFmtId="0" fontId="64" fillId="7" borderId="1" xfId="57" applyFont="1" applyFill="1" applyBorder="1" applyAlignment="1">
      <alignment horizontal="center"/>
    </xf>
    <xf numFmtId="181" fontId="21" fillId="0" borderId="0" xfId="51" applyNumberFormat="1" applyFont="1" applyFill="1" applyBorder="1"/>
    <xf numFmtId="0" fontId="25" fillId="9" borderId="1" xfId="57" applyFont="1" applyFill="1" applyBorder="1" applyAlignment="1">
      <alignment horizontal="center" vertical="center"/>
    </xf>
    <xf numFmtId="0" fontId="25" fillId="9" borderId="6" xfId="57" applyFont="1" applyFill="1" applyBorder="1" applyAlignment="1">
      <alignment horizontal="center"/>
    </xf>
    <xf numFmtId="0" fontId="25" fillId="9" borderId="10" xfId="57" applyFont="1" applyFill="1" applyBorder="1" applyAlignment="1">
      <alignment horizontal="center"/>
    </xf>
    <xf numFmtId="0" fontId="25" fillId="9" borderId="7" xfId="57" applyFont="1" applyFill="1" applyBorder="1" applyAlignment="1">
      <alignment horizontal="center"/>
    </xf>
    <xf numFmtId="0" fontId="21" fillId="42" borderId="0" xfId="57" applyFill="1"/>
    <xf numFmtId="0" fontId="21" fillId="43" borderId="0" xfId="57" applyFill="1"/>
    <xf numFmtId="181" fontId="25" fillId="15" borderId="0" xfId="57" applyNumberFormat="1" applyFont="1" applyFill="1"/>
    <xf numFmtId="0" fontId="55" fillId="0" borderId="1" xfId="0" applyFont="1" applyBorder="1" applyAlignment="1" applyProtection="1" quotePrefix="1">
      <alignment horizontal="center" vertical="center" wrapText="1"/>
      <protection locked="0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4" xfId="51"/>
    <cellStyle name="Comma 4 2" xfId="52"/>
    <cellStyle name="Comma 4 4" xfId="53"/>
    <cellStyle name="Normal 2" xfId="54"/>
    <cellStyle name="Normal 3" xfId="55"/>
    <cellStyle name="Normal 4" xfId="56"/>
    <cellStyle name="Normal 6" xfId="57"/>
    <cellStyle name="Normal 6 2 2" xfId="58"/>
    <cellStyle name="Normal 6 4" xfId="59"/>
    <cellStyle name="Normal 7" xfId="60"/>
    <cellStyle name="Normal 7 4" xfId="61"/>
    <cellStyle name="Percent 19" xfId="6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6.xml"/><Relationship Id="rId22" Type="http://schemas.openxmlformats.org/officeDocument/2006/relationships/externalLink" Target="externalLinks/externalLink5.xml"/><Relationship Id="rId21" Type="http://schemas.openxmlformats.org/officeDocument/2006/relationships/externalLink" Target="externalLinks/externalLink4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167</xdr:row>
      <xdr:rowOff>17445</xdr:rowOff>
    </xdr:from>
    <xdr:to>
      <xdr:col>32</xdr:col>
      <xdr:colOff>777934</xdr:colOff>
      <xdr:row>181</xdr:row>
      <xdr:rowOff>10265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1881445"/>
          <a:ext cx="7077075" cy="24949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Format%20-%20Investor%20MIS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MFD/RMK/Reports/7.%20January/MIS/Soft%20Copy/MIS/PBC/SRMK%20Reports/03.%20Oct%202023/04.%20Report%20-%20Model%203%20-%20Variable%20and%20Fixed%20-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MFD/RMK/Reports/7.%20January/MIS/Soft%20Copy/MIS/RMK%20Nov-23%20M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MFD/RMK/Reports/2024-25/7.%20Oct%202024/Investor/Investor%20MIS%20Oct%202024%20-%20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MFD/RMK/Reports/2024-25/3.%20Jun%202024/Investor%20MIS%20report/Investor%20MIS%20Jun%202024-V5.2%20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849bb487aee23654/Documents/MFD/RMK/Reports/2024-25/10.%20Jan%202025/Tally%20data%20and%20workings%20-%20Jan%202025/Narration/1D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BC Sales-Nov-23"/>
      <sheetName val="PBC Sales-Dec"/>
      <sheetName val="PBC Sales-Feb"/>
      <sheetName val="Dec Closing Stock"/>
      <sheetName val="Nov Closing stock"/>
      <sheetName val="CS Feb-24"/>
      <sheetName val="Trading -GS-Dec"/>
      <sheetName val="Trading -SRMK-Jan"/>
      <sheetName val="Trading -GS -Jan"/>
      <sheetName val="Trading -GS-Feb"/>
      <sheetName val="Trading -SRMK-Mar"/>
      <sheetName val="Trading -GS-Mar"/>
      <sheetName val="Listing"/>
      <sheetName val="TB 1-Oct"/>
      <sheetName val="TB 2-Oct"/>
      <sheetName val="Working-Oct"/>
      <sheetName val="TB-Nov-23"/>
      <sheetName val="TB - Dec-23"/>
      <sheetName val="TB-Jan-24"/>
      <sheetName val="TB-Feb-24"/>
      <sheetName val="Key points"/>
      <sheetName val="Analysis"/>
      <sheetName val="Key points Jul 2024"/>
      <sheetName val="Annexures Jul 2024"/>
      <sheetName val="EB comparison"/>
      <sheetName val="TB-Aug-24 (2)"/>
      <sheetName val="Monthly Average price-Jan-25"/>
      <sheetName val="Profit computation-Dec-24"/>
      <sheetName val="Profit computation-Jan-25"/>
      <sheetName val="Profit comparison"/>
      <sheetName val="Product &amp; stock detail -Dec-24"/>
      <sheetName val="Monthly Average Price"/>
      <sheetName val="Traditional P &amp; L - taxdis"/>
      <sheetName val="Monthly Average price-Dec-24"/>
      <sheetName val="Costing Breakup"/>
      <sheetName val="Quarry Stock-Val"/>
      <sheetName val="Input Sheet"/>
      <sheetName val="Profit computation-Nov-24"/>
      <sheetName val="Clos Stock op cf val -Dec24"/>
      <sheetName val="Sales monthly"/>
      <sheetName val="TB-Jan-25"/>
      <sheetName val="TB-Dec-24"/>
      <sheetName val="TB-Nov-24"/>
      <sheetName val="Working-Jan-25"/>
      <sheetName val="Working-Dec-24"/>
      <sheetName val="Traditional P &amp; L"/>
      <sheetName val="Cost sheet - Detailed"/>
      <sheetName val="Product &amp; stock detail - Nov-24"/>
      <sheetName val="Clos Stock op cf val -Nov24"/>
      <sheetName val="Profit computation-Oct"/>
      <sheetName val="Working-Nov-24"/>
      <sheetName val="Cost sheet - Monthly"/>
      <sheetName val="Monthly Average price-Nov-24"/>
      <sheetName val="Sheet2"/>
      <sheetName val="Profit computation-Sep"/>
      <sheetName val="Monthly Average price-Oct"/>
      <sheetName val="Product &amp; stock detail - Aug-24"/>
      <sheetName val="Product &amp; stock detail -Jan-25"/>
      <sheetName val="Clos Stock op cf val -Jan 25"/>
      <sheetName val="Expenses Category"/>
      <sheetName val="Product &amp; stock detail - Sep-24"/>
      <sheetName val="Clos Stock op cf val -Oct24"/>
      <sheetName val="Product &amp; stock detail - Oct-24"/>
      <sheetName val="Adjustments"/>
      <sheetName val="Monthly Average price-Sep"/>
      <sheetName val="TB-Aug-24"/>
      <sheetName val="TB-Jul-24"/>
      <sheetName val="TB-Oct-24"/>
      <sheetName val="TB-Sep-24"/>
      <sheetName val="Working-Sep"/>
      <sheetName val="Working-Aug"/>
      <sheetName val="Working-July"/>
      <sheetName val="Cost sheet - summary-Jul-24"/>
      <sheetName val="Cost sheet - summary-Jun-24"/>
      <sheetName val="Change Summary"/>
      <sheetName val="Cost sheet - summary-Sep-24"/>
      <sheetName val="Cost sheet - summary-Aug-24 "/>
      <sheetName val="Working-Oct-24"/>
      <sheetName val="Traditional P &amp; L - taxdisclose"/>
      <sheetName val="Monthly Average price-Jun"/>
      <sheetName val="Clos Stock op cf val -Sep24"/>
      <sheetName val="Monthly Average price-Aug"/>
      <sheetName val="Profit computation-Jun"/>
      <sheetName val="Monthly Average price-Jul"/>
      <sheetName val="Clos Stock op cf val -Aug24 "/>
      <sheetName val="Profit computation-Aug"/>
      <sheetName val="Clos Stock op cf val -Jul24"/>
      <sheetName val="Profit computation-Jul"/>
      <sheetName val="Costing Breakup-Jun-24"/>
      <sheetName val="Product &amp; stock detail - Jun-24"/>
      <sheetName val="Quarry Stock-Jun-24"/>
      <sheetName val="Product &amp; stock detail-JunINV"/>
      <sheetName val="Clos Stock op cf valuation"/>
      <sheetName val="Salary &amp; EMI working"/>
      <sheetName val="Cost sheet - summary-May-24"/>
      <sheetName val="Profit computation-May"/>
      <sheetName val="TB-May-24"/>
      <sheetName val="Working -May"/>
      <sheetName val="TB-Jun-24"/>
      <sheetName val="TB-Apr-24"/>
      <sheetName val="TB-Mar-24"/>
      <sheetName val="Working -Apr"/>
      <sheetName val="Working -Nov"/>
      <sheetName val="Working -Dec"/>
      <sheetName val="Working -Jan"/>
      <sheetName val="Working -Feb"/>
      <sheetName val="Working -Mar"/>
      <sheetName val="Product &amp; stock detail - Jul-24"/>
      <sheetName val="CHECKS"/>
      <sheetName val="Working-June"/>
      <sheetName val="Sheet1"/>
      <sheetName val="Fixed , Variable"/>
      <sheetName val="Profit and Loss Ac"/>
      <sheetName val="Cost sheet - summary-Nov"/>
      <sheetName val="Cost sheet - summary-Dec"/>
      <sheetName val="Cost sheet - summary-Jan"/>
      <sheetName val="Cost sheet - summary-Feb"/>
      <sheetName val="Cost sheet - summary-Mar"/>
      <sheetName val="Cost sheet - summary-Apr-24"/>
      <sheetName val="Product &amp; stock detail - Nov 23"/>
      <sheetName val="Product &amp; stock detail - Dec 23"/>
      <sheetName val="Product &amp; stock detail - Jan 24"/>
      <sheetName val="Product &amp; stock detail - Feb 24"/>
      <sheetName val="Sales-Nov"/>
      <sheetName val="Sales - Dec"/>
      <sheetName val="Sales - Jan"/>
      <sheetName val="Sales - Feb"/>
      <sheetName val="Sales - Mar"/>
      <sheetName val="Sales - Apr"/>
      <sheetName val="Profit computation-Dec"/>
      <sheetName val="Profit computation-Jan"/>
      <sheetName val="Profit computation-Feb"/>
      <sheetName val="Profit computation-Mar"/>
      <sheetName val="Product &amp; stock detail -Mar 24"/>
      <sheetName val="Profit computation-Apr"/>
      <sheetName val="Monthly Average price-Dec"/>
      <sheetName val="Monthly Average price-Jan"/>
      <sheetName val="Monthly Average price-Feb"/>
      <sheetName val="Monthly Average price-Mar"/>
      <sheetName val="Product &amp; stock detail - May-24"/>
      <sheetName val="Product &amp; stock detail -Apr-24"/>
      <sheetName val="Monthly Average price-May"/>
      <sheetName val="Monthly Average price-Apr"/>
      <sheetName val="Cost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62">
          <cell r="AC62">
            <v>64762.5600000001</v>
          </cell>
        </row>
      </sheetData>
      <sheetData sheetId="30" refreshError="1">
        <row r="5">
          <cell r="C5">
            <v>22154.88</v>
          </cell>
        </row>
        <row r="18">
          <cell r="I18">
            <v>7136.74758701734</v>
          </cell>
        </row>
        <row r="18">
          <cell r="K18">
            <v>1712</v>
          </cell>
          <cell r="L18">
            <v>5026</v>
          </cell>
          <cell r="M18">
            <v>20048</v>
          </cell>
          <cell r="N18">
            <v>0</v>
          </cell>
          <cell r="O18">
            <v>1000</v>
          </cell>
          <cell r="P18">
            <v>3720</v>
          </cell>
          <cell r="Q18">
            <v>3493.76</v>
          </cell>
          <cell r="R18">
            <v>491.91</v>
          </cell>
          <cell r="S18">
            <v>1165</v>
          </cell>
          <cell r="T18">
            <v>70</v>
          </cell>
          <cell r="U18">
            <v>2549.9</v>
          </cell>
          <cell r="V18">
            <v>1152.98</v>
          </cell>
          <cell r="W18">
            <v>27000</v>
          </cell>
          <cell r="X18">
            <v>70</v>
          </cell>
          <cell r="Y18">
            <v>14.83</v>
          </cell>
          <cell r="Z18">
            <v>100</v>
          </cell>
          <cell r="AA18">
            <v>3000</v>
          </cell>
        </row>
        <row r="28">
          <cell r="N28">
            <v>0</v>
          </cell>
          <cell r="O28">
            <v>1000</v>
          </cell>
          <cell r="P28">
            <v>3720</v>
          </cell>
          <cell r="Q28">
            <v>3493.76</v>
          </cell>
          <cell r="R28">
            <v>491.91</v>
          </cell>
          <cell r="S28">
            <v>1165</v>
          </cell>
          <cell r="T28">
            <v>70</v>
          </cell>
          <cell r="U28">
            <v>2549.9</v>
          </cell>
          <cell r="V28">
            <v>1152.98</v>
          </cell>
          <cell r="W28">
            <v>27000</v>
          </cell>
          <cell r="X28">
            <v>70</v>
          </cell>
          <cell r="Y28">
            <v>14.83</v>
          </cell>
          <cell r="Z28">
            <v>100</v>
          </cell>
          <cell r="AA28">
            <v>3000</v>
          </cell>
        </row>
        <row r="29">
          <cell r="W29">
            <v>85.1356778061801</v>
          </cell>
        </row>
        <row r="30">
          <cell r="N30">
            <v>0</v>
          </cell>
          <cell r="O30">
            <v>187827.230217302</v>
          </cell>
          <cell r="P30">
            <v>698717.296408363</v>
          </cell>
          <cell r="Q30">
            <v>656223.263844001</v>
          </cell>
          <cell r="R30">
            <v>92394.092816193</v>
          </cell>
          <cell r="S30">
            <v>245354.99605134</v>
          </cell>
          <cell r="T30">
            <v>14742.3602777629</v>
          </cell>
          <cell r="U30">
            <v>1344322.12129945</v>
          </cell>
          <cell r="V30">
            <v>607857.766742163</v>
          </cell>
          <cell r="W30">
            <v>2298663.30076686</v>
          </cell>
          <cell r="X30">
            <v>14742.3602777629</v>
          </cell>
          <cell r="Y30">
            <v>3123.27432741748</v>
          </cell>
          <cell r="Z30">
            <v>18782.7230217302</v>
          </cell>
          <cell r="AA30">
            <v>631815.440475553</v>
          </cell>
        </row>
        <row r="38">
          <cell r="I38">
            <v>7136.74758701734</v>
          </cell>
        </row>
        <row r="38">
          <cell r="L38">
            <v>1685854.61738724</v>
          </cell>
        </row>
      </sheetData>
      <sheetData sheetId="31" refreshError="1"/>
      <sheetData sheetId="32" refreshError="1"/>
      <sheetData sheetId="33" refreshError="1">
        <row r="39">
          <cell r="S39">
            <v>38899525.41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>
        <row r="20">
          <cell r="E20">
            <v>187.827230217302</v>
          </cell>
        </row>
        <row r="21">
          <cell r="E21">
            <v>210.605146825184</v>
          </cell>
        </row>
        <row r="22">
          <cell r="E22">
            <v>527.20582034568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>
        <row r="31">
          <cell r="I31">
            <v>5259646.50773209</v>
          </cell>
        </row>
        <row r="37">
          <cell r="I37">
            <v>6934587.46886417</v>
          </cell>
        </row>
        <row r="38">
          <cell r="I38">
            <v>3135906.68228976</v>
          </cell>
        </row>
        <row r="39">
          <cell r="I39">
            <v>61414.71</v>
          </cell>
        </row>
        <row r="40">
          <cell r="I40">
            <v>6462441</v>
          </cell>
        </row>
        <row r="41">
          <cell r="I41">
            <v>212525.5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8828154.74771024</v>
          </cell>
        </row>
      </sheetData>
      <sheetData sheetId="46" refreshError="1"/>
      <sheetData sheetId="47" refreshError="1">
        <row r="38">
          <cell r="K38">
            <v>230.303309878319</v>
          </cell>
        </row>
      </sheetData>
      <sheetData sheetId="48" refreshError="1">
        <row r="17">
          <cell r="E17">
            <v>11680.65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3">
          <cell r="J53">
            <v>468962.209999999</v>
          </cell>
        </row>
      </sheetData>
      <sheetData sheetId="55" refreshError="1"/>
      <sheetData sheetId="56" refreshError="1">
        <row r="28">
          <cell r="I28">
            <v>7938.27758701735</v>
          </cell>
        </row>
        <row r="28">
          <cell r="K28">
            <v>3790</v>
          </cell>
          <cell r="L28">
            <v>12700</v>
          </cell>
          <cell r="M28">
            <v>24677</v>
          </cell>
          <cell r="N28">
            <v>3200</v>
          </cell>
          <cell r="O28">
            <v>0</v>
          </cell>
          <cell r="P28">
            <v>3946</v>
          </cell>
          <cell r="Q28">
            <v>1064</v>
          </cell>
          <cell r="R28">
            <v>0</v>
          </cell>
          <cell r="S28">
            <v>2229.62</v>
          </cell>
          <cell r="T28">
            <v>520.61</v>
          </cell>
          <cell r="U28">
            <v>5186.45</v>
          </cell>
          <cell r="V28">
            <v>409.35</v>
          </cell>
          <cell r="W28">
            <v>300</v>
          </cell>
          <cell r="X28">
            <v>1600</v>
          </cell>
          <cell r="Y28">
            <v>1000</v>
          </cell>
          <cell r="Z28">
            <v>3216.104</v>
          </cell>
          <cell r="AA28">
            <v>0</v>
          </cell>
        </row>
      </sheetData>
      <sheetData sheetId="57" refreshError="1"/>
      <sheetData sheetId="58" refreshError="1"/>
      <sheetData sheetId="59" refreshError="1"/>
      <sheetData sheetId="60" refreshError="1">
        <row r="18">
          <cell r="N18">
            <v>0</v>
          </cell>
        </row>
        <row r="18">
          <cell r="P18">
            <v>2600</v>
          </cell>
        </row>
        <row r="18">
          <cell r="S18">
            <v>5038.19</v>
          </cell>
          <cell r="T18">
            <v>694.74</v>
          </cell>
          <cell r="U18">
            <v>0</v>
          </cell>
          <cell r="V18">
            <v>0</v>
          </cell>
          <cell r="W18">
            <v>4300</v>
          </cell>
          <cell r="X18">
            <v>2250</v>
          </cell>
          <cell r="Y18">
            <v>1555.85</v>
          </cell>
          <cell r="Z18">
            <v>1300</v>
          </cell>
        </row>
        <row r="30">
          <cell r="AC30">
            <v>3970429.84968061</v>
          </cell>
        </row>
      </sheetData>
      <sheetData sheetId="61" refreshError="1">
        <row r="20">
          <cell r="C20" t="str">
            <v>Brown</v>
          </cell>
          <cell r="D20">
            <v>166.189447411658</v>
          </cell>
        </row>
        <row r="21">
          <cell r="C21" t="str">
            <v>Black</v>
          </cell>
          <cell r="D21">
            <v>209.756749243006</v>
          </cell>
        </row>
        <row r="22">
          <cell r="C22" t="str">
            <v>White</v>
          </cell>
          <cell r="D22">
            <v>370.887733148412</v>
          </cell>
        </row>
      </sheetData>
      <sheetData sheetId="62" refreshError="1">
        <row r="28">
          <cell r="N28">
            <v>0</v>
          </cell>
          <cell r="O28">
            <v>1000</v>
          </cell>
          <cell r="P28">
            <v>3460</v>
          </cell>
          <cell r="Q28">
            <v>4150</v>
          </cell>
          <cell r="R28">
            <v>550</v>
          </cell>
          <cell r="S28">
            <v>1520</v>
          </cell>
          <cell r="T28">
            <v>327</v>
          </cell>
          <cell r="U28">
            <v>2721.68</v>
          </cell>
          <cell r="V28">
            <v>1250</v>
          </cell>
          <cell r="W28">
            <v>3640</v>
          </cell>
          <cell r="X28">
            <v>978</v>
          </cell>
          <cell r="Y28">
            <v>867</v>
          </cell>
          <cell r="Z28">
            <v>650</v>
          </cell>
          <cell r="AA28">
            <v>700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>
        <row r="21">
          <cell r="E21">
            <v>0</v>
          </cell>
        </row>
        <row r="64">
          <cell r="K64">
            <v>16048635.374607</v>
          </cell>
        </row>
      </sheetData>
      <sheetData sheetId="81" refreshError="1"/>
      <sheetData sheetId="82" refreshError="1">
        <row r="58">
          <cell r="J58">
            <v>661256</v>
          </cell>
        </row>
      </sheetData>
      <sheetData sheetId="83" refreshError="1"/>
      <sheetData sheetId="84" refreshError="1">
        <row r="3">
          <cell r="I3">
            <v>-22821.945816005</v>
          </cell>
        </row>
        <row r="4">
          <cell r="I4">
            <v>692733.832230429</v>
          </cell>
        </row>
        <row r="5">
          <cell r="I5">
            <v>186804.648641175</v>
          </cell>
        </row>
        <row r="6">
          <cell r="I6">
            <v>-526.660288061654</v>
          </cell>
        </row>
        <row r="14">
          <cell r="I14">
            <v>564598.086358746</v>
          </cell>
        </row>
        <row r="17">
          <cell r="I17">
            <v>1420787.96112628</v>
          </cell>
        </row>
      </sheetData>
      <sheetData sheetId="85" refreshError="1">
        <row r="7">
          <cell r="K7">
            <v>0</v>
          </cell>
        </row>
        <row r="8">
          <cell r="K8">
            <v>702.213717415539</v>
          </cell>
        </row>
        <row r="9">
          <cell r="K9">
            <v>196444.287446997</v>
          </cell>
        </row>
        <row r="10">
          <cell r="K10">
            <v>1199878.25048846</v>
          </cell>
        </row>
        <row r="11">
          <cell r="K11">
            <v>34779.0797243033</v>
          </cell>
        </row>
        <row r="12">
          <cell r="K12">
            <v>434738.496553791</v>
          </cell>
        </row>
        <row r="13">
          <cell r="K13">
            <v>0</v>
          </cell>
        </row>
        <row r="14">
          <cell r="K14">
            <v>2061135.98760783</v>
          </cell>
        </row>
        <row r="15">
          <cell r="K15">
            <v>55694.5256225947</v>
          </cell>
        </row>
        <row r="16">
          <cell r="K16">
            <v>521686.19586455</v>
          </cell>
        </row>
        <row r="17">
          <cell r="K17">
            <v>347790.797243033</v>
          </cell>
        </row>
        <row r="18">
          <cell r="K18">
            <v>253850.258845717</v>
          </cell>
        </row>
        <row r="19">
          <cell r="K19">
            <v>0</v>
          </cell>
        </row>
        <row r="53">
          <cell r="J53">
            <v>150697</v>
          </cell>
        </row>
        <row r="61">
          <cell r="M61">
            <v>72560.1469918266</v>
          </cell>
        </row>
      </sheetData>
      <sheetData sheetId="86" refreshError="1">
        <row r="17">
          <cell r="D17">
            <v>13643.024</v>
          </cell>
        </row>
      </sheetData>
      <sheetData sheetId="87" refreshError="1">
        <row r="52">
          <cell r="J52">
            <v>592986.19</v>
          </cell>
        </row>
      </sheetData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>
        <row r="55">
          <cell r="J55">
            <v>1171444.555</v>
          </cell>
        </row>
      </sheetData>
      <sheetData sheetId="96" refreshError="1"/>
      <sheetData sheetId="97" refreshError="1"/>
      <sheetData sheetId="98" refreshError="1">
        <row r="1">
          <cell r="A1" t="str">
            <v>RMK SANDS PRIVATE LIMITED</v>
          </cell>
        </row>
        <row r="1">
          <cell r="F1">
            <v>15065543.01</v>
          </cell>
        </row>
        <row r="1">
          <cell r="I1" t="str">
            <v>RMK SANDS</v>
          </cell>
        </row>
        <row r="1">
          <cell r="N1">
            <v>9370289.83</v>
          </cell>
        </row>
        <row r="2">
          <cell r="A2" t="str">
            <v>Voora JK Tower, 4th Floor, 4A, No 28,</v>
          </cell>
        </row>
        <row r="2">
          <cell r="I2" t="str">
            <v>Voora JK Tower, 4th Floor, 4A, No 28,</v>
          </cell>
        </row>
        <row r="3">
          <cell r="A3" t="str">
            <v>Bazullah Road, T Nagar</v>
          </cell>
        </row>
        <row r="3">
          <cell r="I3" t="str">
            <v>Bazullah Road, T Nagar,</v>
          </cell>
        </row>
        <row r="4">
          <cell r="A4" t="str">
            <v>Chennai</v>
          </cell>
        </row>
        <row r="4">
          <cell r="I4" t="str">
            <v>Chennai</v>
          </cell>
        </row>
        <row r="5">
          <cell r="A5" t="str">
            <v>CIN: U14100TN2019PTC128916</v>
          </cell>
        </row>
        <row r="5">
          <cell r="I5" t="str">
            <v>CIN: U14100TN2019PTC128916</v>
          </cell>
        </row>
        <row r="6">
          <cell r="A6" t="str">
            <v>Trial Balance</v>
          </cell>
        </row>
        <row r="6">
          <cell r="I6" t="str">
            <v>Trial Balance</v>
          </cell>
        </row>
        <row r="7">
          <cell r="A7" t="str">
            <v>1-Jun-24 to 30-Jun-24</v>
          </cell>
        </row>
        <row r="7">
          <cell r="I7" t="str">
            <v>1-Jun-24 to 30-Jun-24</v>
          </cell>
        </row>
        <row r="8">
          <cell r="A8" t="str">
            <v/>
          </cell>
          <cell r="B8" t="str">
            <v>1.RMK SANDS PRIVATE LIMITED - (from 1-Apr-2021)</v>
          </cell>
        </row>
        <row r="8">
          <cell r="I8" t="str">
            <v/>
          </cell>
          <cell r="J8" t="str">
            <v>2.RMK SANDS PRIVATE LTD - (from 1-Apr-2021)</v>
          </cell>
        </row>
        <row r="9">
          <cell r="A9" t="str">
            <v>Particulars</v>
          </cell>
          <cell r="B9" t="str">
            <v>1-Jun-24 to 30-Jun-24</v>
          </cell>
        </row>
        <row r="9">
          <cell r="I9" t="str">
            <v>Particulars</v>
          </cell>
          <cell r="J9" t="str">
            <v>1-Jun-24 to 30-Jun-24</v>
          </cell>
        </row>
        <row r="10">
          <cell r="A10" t="str">
            <v/>
          </cell>
          <cell r="B10" t="str">
            <v>Opening</v>
          </cell>
          <cell r="C10" t="str">
            <v>Transactions</v>
          </cell>
        </row>
        <row r="10">
          <cell r="E10" t="str">
            <v>Closing</v>
          </cell>
        </row>
        <row r="10">
          <cell r="I10" t="str">
            <v/>
          </cell>
          <cell r="J10" t="str">
            <v>Opening</v>
          </cell>
          <cell r="K10" t="str">
            <v>Transactions</v>
          </cell>
        </row>
        <row r="10">
          <cell r="M10" t="str">
            <v>Closing</v>
          </cell>
        </row>
        <row r="11">
          <cell r="A11" t="str">
            <v/>
          </cell>
          <cell r="B11" t="str">
            <v>Balance</v>
          </cell>
          <cell r="C11" t="str">
            <v>Debit</v>
          </cell>
          <cell r="D11" t="str">
            <v>Credit</v>
          </cell>
          <cell r="E11" t="str">
            <v>Balance</v>
          </cell>
        </row>
        <row r="11">
          <cell r="I11" t="str">
            <v/>
          </cell>
          <cell r="J11" t="str">
            <v>Balance</v>
          </cell>
          <cell r="K11" t="str">
            <v>Debit</v>
          </cell>
          <cell r="L11" t="str">
            <v>Credit</v>
          </cell>
          <cell r="M11" t="str">
            <v>Balance</v>
          </cell>
        </row>
        <row r="12">
          <cell r="A12" t="str">
            <v>Indirect Expenses</v>
          </cell>
        </row>
        <row r="12">
          <cell r="C12">
            <v>652</v>
          </cell>
        </row>
        <row r="12">
          <cell r="E12">
            <v>652</v>
          </cell>
        </row>
        <row r="12">
          <cell r="I12" t="str">
            <v>Cost of Materials</v>
          </cell>
        </row>
        <row r="12">
          <cell r="K12">
            <v>3091345.35</v>
          </cell>
          <cell r="L12">
            <v>766259</v>
          </cell>
          <cell r="M12">
            <v>2325086.35</v>
          </cell>
        </row>
        <row r="13">
          <cell r="A13" t="str">
            <v>Fastag Expenses</v>
          </cell>
        </row>
        <row r="13">
          <cell r="C13">
            <v>652</v>
          </cell>
        </row>
        <row r="13">
          <cell r="E13">
            <v>652</v>
          </cell>
          <cell r="F13">
            <v>652</v>
          </cell>
        </row>
        <row r="13">
          <cell r="I13" t="str">
            <v>Quarry 1</v>
          </cell>
        </row>
        <row r="13">
          <cell r="K13">
            <v>1115483.85</v>
          </cell>
          <cell r="L13">
            <v>102798</v>
          </cell>
          <cell r="M13">
            <v>1012685.85</v>
          </cell>
        </row>
        <row r="14">
          <cell r="A14" t="str">
            <v>Cost of Materials</v>
          </cell>
        </row>
        <row r="14">
          <cell r="C14">
            <v>1690445.49</v>
          </cell>
        </row>
        <row r="14">
          <cell r="E14">
            <v>1690445.49</v>
          </cell>
        </row>
        <row r="14">
          <cell r="I14" t="str">
            <v>Q1 Other Quarry Cost</v>
          </cell>
        </row>
        <row r="14">
          <cell r="K14">
            <v>131676</v>
          </cell>
          <cell r="L14">
            <v>102798</v>
          </cell>
          <cell r="M14">
            <v>28878</v>
          </cell>
        </row>
        <row r="15">
          <cell r="A15" t="str">
            <v>Quarry 1</v>
          </cell>
        </row>
        <row r="15">
          <cell r="C15">
            <v>331186.7</v>
          </cell>
        </row>
        <row r="15">
          <cell r="E15">
            <v>331186.7</v>
          </cell>
        </row>
        <row r="15">
          <cell r="I15" t="str">
            <v>Q1 Employee Cost - Quarry</v>
          </cell>
        </row>
        <row r="15">
          <cell r="K15">
            <v>131676</v>
          </cell>
        </row>
        <row r="15">
          <cell r="M15">
            <v>131676</v>
          </cell>
        </row>
        <row r="16">
          <cell r="A16" t="str">
            <v>Q1 Other Quarry Cost</v>
          </cell>
        </row>
        <row r="16">
          <cell r="C16">
            <v>304186.7</v>
          </cell>
        </row>
        <row r="16">
          <cell r="E16">
            <v>304186.7</v>
          </cell>
        </row>
        <row r="16">
          <cell r="I16" t="str">
            <v>Q1 Salary - Quarry - 300</v>
          </cell>
        </row>
        <row r="16">
          <cell r="K16">
            <v>131676</v>
          </cell>
        </row>
        <row r="16">
          <cell r="M16">
            <v>131676</v>
          </cell>
          <cell r="N16">
            <v>131676</v>
          </cell>
        </row>
        <row r="17">
          <cell r="A17" t="str">
            <v>Q1 Employee Cost - Quarry</v>
          </cell>
        </row>
        <row r="17">
          <cell r="C17">
            <v>17190</v>
          </cell>
        </row>
        <row r="17">
          <cell r="E17">
            <v>17190</v>
          </cell>
        </row>
        <row r="17">
          <cell r="I17" t="str">
            <v>Q1 Fuel Expenses - Quarry</v>
          </cell>
        </row>
        <row r="17">
          <cell r="L17">
            <v>102798</v>
          </cell>
          <cell r="M17">
            <v>102798</v>
          </cell>
        </row>
        <row r="18">
          <cell r="A18" t="str">
            <v>Q1 Staff Welfare - Quarry</v>
          </cell>
        </row>
        <row r="18">
          <cell r="C18">
            <v>17190</v>
          </cell>
        </row>
        <row r="18">
          <cell r="E18">
            <v>17190</v>
          </cell>
        </row>
        <row r="18">
          <cell r="I18" t="str">
            <v>Q1 Fuel Cat 4 Quarry - 465</v>
          </cell>
        </row>
        <row r="18">
          <cell r="L18">
            <v>102798</v>
          </cell>
          <cell r="M18">
            <v>102798</v>
          </cell>
          <cell r="N18">
            <v>-102798</v>
          </cell>
        </row>
        <row r="19">
          <cell r="A19" t="str">
            <v>Q1 Food Expenses - Quarry - 276</v>
          </cell>
        </row>
        <row r="19">
          <cell r="C19">
            <v>17190</v>
          </cell>
        </row>
        <row r="19">
          <cell r="E19">
            <v>17190</v>
          </cell>
          <cell r="F19">
            <v>17190</v>
          </cell>
        </row>
        <row r="19">
          <cell r="I19" t="str">
            <v>Q1 Permit Expenses - Quarry</v>
          </cell>
        </row>
        <row r="19">
          <cell r="K19">
            <v>133600</v>
          </cell>
        </row>
        <row r="19">
          <cell r="M19">
            <v>133600</v>
          </cell>
        </row>
        <row r="20">
          <cell r="A20" t="str">
            <v>Q1 Fuel Expenses - Quarry</v>
          </cell>
        </row>
        <row r="20">
          <cell r="C20">
            <v>279580.7</v>
          </cell>
        </row>
        <row r="20">
          <cell r="E20">
            <v>279580.7</v>
          </cell>
        </row>
        <row r="20">
          <cell r="I20" t="str">
            <v>Q1 Chakkai Pass - 269</v>
          </cell>
        </row>
        <row r="20">
          <cell r="K20">
            <v>133600</v>
          </cell>
        </row>
        <row r="20">
          <cell r="M20">
            <v>133600</v>
          </cell>
          <cell r="N20">
            <v>133600</v>
          </cell>
        </row>
        <row r="21">
          <cell r="A21" t="str">
            <v>Q1 Fuel Cat 4 Quarry - 465</v>
          </cell>
        </row>
        <row r="21">
          <cell r="C21">
            <v>277280.7</v>
          </cell>
        </row>
        <row r="21">
          <cell r="E21">
            <v>277280.7</v>
          </cell>
          <cell r="F21">
            <v>277280.7</v>
          </cell>
        </row>
        <row r="21">
          <cell r="I21" t="str">
            <v>Q1 Transport Expenses</v>
          </cell>
        </row>
        <row r="21">
          <cell r="K21">
            <v>72961.35</v>
          </cell>
        </row>
        <row r="21">
          <cell r="M21">
            <v>72961.35</v>
          </cell>
        </row>
        <row r="22">
          <cell r="A22" t="str">
            <v>Q1 Sathish Bike Petrol - Quarry - 301</v>
          </cell>
        </row>
        <row r="22">
          <cell r="C22">
            <v>2300</v>
          </cell>
        </row>
        <row r="22">
          <cell r="E22">
            <v>2300</v>
          </cell>
          <cell r="F22">
            <v>2300</v>
          </cell>
        </row>
        <row r="22">
          <cell r="I22" t="str">
            <v>Q1 Transport Charges Inward - 326</v>
          </cell>
        </row>
        <row r="22">
          <cell r="K22">
            <v>72961.35</v>
          </cell>
        </row>
        <row r="22">
          <cell r="M22">
            <v>72961.35</v>
          </cell>
          <cell r="N22">
            <v>72961.35</v>
          </cell>
        </row>
        <row r="23">
          <cell r="A23" t="str">
            <v>Q1 Repairs &amp; Maintenance - Quarry</v>
          </cell>
        </row>
        <row r="23">
          <cell r="C23">
            <v>7416</v>
          </cell>
        </row>
        <row r="23">
          <cell r="E23">
            <v>7416</v>
          </cell>
        </row>
        <row r="23">
          <cell r="I23" t="str">
            <v>Q1-Repairs &amp; Maintenance - CAT 4 - 518</v>
          </cell>
        </row>
        <row r="23">
          <cell r="K23">
            <v>250495</v>
          </cell>
        </row>
        <row r="23">
          <cell r="M23">
            <v>250495</v>
          </cell>
          <cell r="N23">
            <v>250495</v>
          </cell>
        </row>
        <row r="24">
          <cell r="A24" t="str">
            <v>Q1 Repair &amp; Maintenance - Quarry - 294</v>
          </cell>
        </row>
        <row r="24">
          <cell r="C24">
            <v>7416</v>
          </cell>
        </row>
        <row r="24">
          <cell r="E24">
            <v>7416</v>
          </cell>
          <cell r="F24">
            <v>7416</v>
          </cell>
        </row>
        <row r="24">
          <cell r="I24" t="str">
            <v>Q1 Royalty Fee - 299</v>
          </cell>
        </row>
        <row r="24">
          <cell r="K24">
            <v>533527.5</v>
          </cell>
        </row>
        <row r="24">
          <cell r="M24">
            <v>533527.5</v>
          </cell>
          <cell r="N24">
            <v>533527.5</v>
          </cell>
        </row>
        <row r="25">
          <cell r="A25" t="str">
            <v>Q1 Royalty Fee - 299</v>
          </cell>
        </row>
        <row r="25">
          <cell r="C25">
            <v>0</v>
          </cell>
        </row>
        <row r="25">
          <cell r="E25">
            <v>0</v>
          </cell>
          <cell r="F25">
            <v>0</v>
          </cell>
        </row>
        <row r="25">
          <cell r="I25" t="str">
            <v>Quarry 2</v>
          </cell>
        </row>
        <row r="25">
          <cell r="K25">
            <v>492036</v>
          </cell>
        </row>
        <row r="25">
          <cell r="M25">
            <v>492036</v>
          </cell>
        </row>
        <row r="26">
          <cell r="A26" t="str">
            <v>Quarry 2</v>
          </cell>
        </row>
        <row r="26">
          <cell r="C26">
            <v>165138</v>
          </cell>
        </row>
        <row r="26">
          <cell r="E26">
            <v>165138</v>
          </cell>
        </row>
        <row r="26">
          <cell r="I26" t="str">
            <v>Q2 Employee Cost - Quarry</v>
          </cell>
        </row>
        <row r="26">
          <cell r="K26">
            <v>77943</v>
          </cell>
        </row>
        <row r="26">
          <cell r="M26">
            <v>77943</v>
          </cell>
        </row>
        <row r="27">
          <cell r="A27" t="str">
            <v>Q2 Permit Expenses - Quarry</v>
          </cell>
        </row>
        <row r="27">
          <cell r="C27">
            <v>163974</v>
          </cell>
        </row>
        <row r="27">
          <cell r="E27">
            <v>163974</v>
          </cell>
        </row>
        <row r="27">
          <cell r="I27" t="str">
            <v>Q2 Salary - Quarry - 322</v>
          </cell>
        </row>
        <row r="27">
          <cell r="K27">
            <v>77943</v>
          </cell>
        </row>
        <row r="27">
          <cell r="M27">
            <v>77943</v>
          </cell>
          <cell r="N27">
            <v>77943</v>
          </cell>
        </row>
        <row r="28">
          <cell r="A28" t="str">
            <v>Q2 Gravel Pass - 315</v>
          </cell>
        </row>
        <row r="28">
          <cell r="C28">
            <v>163974</v>
          </cell>
        </row>
        <row r="28">
          <cell r="E28">
            <v>163974</v>
          </cell>
          <cell r="F28">
            <v>163974</v>
          </cell>
        </row>
        <row r="28">
          <cell r="I28" t="str">
            <v>Q2 Explosives - Quarry</v>
          </cell>
        </row>
        <row r="28">
          <cell r="K28">
            <v>87374</v>
          </cell>
        </row>
        <row r="28">
          <cell r="M28">
            <v>87374</v>
          </cell>
        </row>
        <row r="29">
          <cell r="A29" t="str">
            <v>Q2 Compressor Rent - Quarry - 306</v>
          </cell>
        </row>
        <row r="29">
          <cell r="C29">
            <v>1164</v>
          </cell>
        </row>
        <row r="29">
          <cell r="E29">
            <v>1164</v>
          </cell>
          <cell r="F29">
            <v>1164</v>
          </cell>
        </row>
        <row r="29">
          <cell r="I29" t="str">
            <v>Q2 Explosives - Quarry - 309</v>
          </cell>
        </row>
        <row r="29">
          <cell r="K29">
            <v>87374</v>
          </cell>
        </row>
        <row r="29">
          <cell r="M29">
            <v>87374</v>
          </cell>
          <cell r="N29">
            <v>87374</v>
          </cell>
        </row>
        <row r="30">
          <cell r="A30" t="str">
            <v>Quarry 3</v>
          </cell>
        </row>
        <row r="30">
          <cell r="C30">
            <v>1194120.79</v>
          </cell>
        </row>
        <row r="30">
          <cell r="E30">
            <v>1194120.79</v>
          </cell>
        </row>
        <row r="30">
          <cell r="I30" t="str">
            <v>Q2 Other Quarry Cost</v>
          </cell>
        </row>
        <row r="30">
          <cell r="K30">
            <v>154789</v>
          </cell>
        </row>
        <row r="30">
          <cell r="M30">
            <v>154789</v>
          </cell>
        </row>
        <row r="31">
          <cell r="A31" t="str">
            <v>Q3 Fuel Expenses - Quarry</v>
          </cell>
        </row>
        <row r="31">
          <cell r="C31">
            <v>1144429.79</v>
          </cell>
        </row>
        <row r="31">
          <cell r="E31">
            <v>1144429.79</v>
          </cell>
        </row>
        <row r="31">
          <cell r="I31" t="str">
            <v>Q2 Fuel Expenses - Quarry</v>
          </cell>
        </row>
        <row r="31">
          <cell r="K31">
            <v>151839</v>
          </cell>
        </row>
        <row r="31">
          <cell r="M31">
            <v>151839</v>
          </cell>
        </row>
        <row r="32">
          <cell r="A32" t="str">
            <v>Q3 Fuel CAT 3 Quarry - 470</v>
          </cell>
        </row>
        <row r="32">
          <cell r="C32">
            <v>574180.25</v>
          </cell>
        </row>
        <row r="32">
          <cell r="E32">
            <v>574180.25</v>
          </cell>
          <cell r="F32">
            <v>574180.25</v>
          </cell>
        </row>
        <row r="32">
          <cell r="I32" t="str">
            <v>Q2 Fuel CAT 3 Quarry - 310</v>
          </cell>
        </row>
        <row r="32">
          <cell r="K32">
            <v>61323</v>
          </cell>
        </row>
        <row r="32">
          <cell r="M32">
            <v>61323</v>
          </cell>
          <cell r="N32">
            <v>61323</v>
          </cell>
        </row>
        <row r="33">
          <cell r="A33" t="str">
            <v>Q3 Fuel Cat 5 Quarry - 475</v>
          </cell>
        </row>
        <row r="33">
          <cell r="C33">
            <v>520600.08</v>
          </cell>
        </row>
        <row r="33">
          <cell r="E33">
            <v>520600.08</v>
          </cell>
          <cell r="F33">
            <v>520600.08</v>
          </cell>
        </row>
        <row r="33">
          <cell r="I33" t="str">
            <v>Q2 Fuel Cat 4 Quarry - 448</v>
          </cell>
        </row>
        <row r="33">
          <cell r="K33">
            <v>601</v>
          </cell>
        </row>
        <row r="33">
          <cell r="M33">
            <v>601</v>
          </cell>
          <cell r="N33">
            <v>601</v>
          </cell>
        </row>
        <row r="34">
          <cell r="A34" t="str">
            <v>Q3 Fuel Genset 62.5kva - 476</v>
          </cell>
        </row>
        <row r="34">
          <cell r="C34">
            <v>49649.46</v>
          </cell>
        </row>
        <row r="34">
          <cell r="E34">
            <v>49649.46</v>
          </cell>
          <cell r="F34">
            <v>49649.46</v>
          </cell>
        </row>
        <row r="34">
          <cell r="I34" t="str">
            <v>Q2 Fuel Cat 5 Quarry - 449</v>
          </cell>
        </row>
        <row r="34">
          <cell r="K34">
            <v>89915</v>
          </cell>
        </row>
        <row r="34">
          <cell r="M34">
            <v>89915</v>
          </cell>
          <cell r="N34">
            <v>89915</v>
          </cell>
        </row>
        <row r="35">
          <cell r="A35" t="str">
            <v>Q3 Compressor Rent - Quarry - 479</v>
          </cell>
        </row>
        <row r="35">
          <cell r="C35">
            <v>12691</v>
          </cell>
        </row>
        <row r="35">
          <cell r="E35">
            <v>12691</v>
          </cell>
          <cell r="F35">
            <v>12691</v>
          </cell>
        </row>
        <row r="35">
          <cell r="I35" t="str">
            <v>Q2 Bata - Explosives - 512</v>
          </cell>
        </row>
        <row r="35">
          <cell r="K35">
            <v>500</v>
          </cell>
        </row>
        <row r="35">
          <cell r="M35">
            <v>500</v>
          </cell>
          <cell r="N35">
            <v>500</v>
          </cell>
        </row>
        <row r="36">
          <cell r="A36" t="str">
            <v>Q3-Hire Charges - (62.5 KVA SP DG Set) -538</v>
          </cell>
        </row>
        <row r="36">
          <cell r="C36">
            <v>23000</v>
          </cell>
        </row>
        <row r="36">
          <cell r="E36">
            <v>23000</v>
          </cell>
          <cell r="F36">
            <v>23000</v>
          </cell>
        </row>
        <row r="36">
          <cell r="I36" t="str">
            <v>Q2 Labour Explosives - Quarry - 316</v>
          </cell>
        </row>
        <row r="36">
          <cell r="K36">
            <v>2450</v>
          </cell>
        </row>
        <row r="36">
          <cell r="M36">
            <v>2450</v>
          </cell>
          <cell r="N36">
            <v>2450</v>
          </cell>
        </row>
        <row r="37">
          <cell r="A37" t="str">
            <v>Q3 Transport Charges - Quarry - 474</v>
          </cell>
        </row>
        <row r="37">
          <cell r="C37">
            <v>14000</v>
          </cell>
        </row>
        <row r="37">
          <cell r="E37">
            <v>14000</v>
          </cell>
          <cell r="F37">
            <v>14000</v>
          </cell>
        </row>
        <row r="37">
          <cell r="I37" t="str">
            <v>Q2 Permit Expenses - Quarry</v>
          </cell>
        </row>
        <row r="37">
          <cell r="K37">
            <v>12000</v>
          </cell>
        </row>
        <row r="37">
          <cell r="M37">
            <v>12000</v>
          </cell>
        </row>
        <row r="38">
          <cell r="A38" t="str">
            <v>Employee Cost</v>
          </cell>
        </row>
        <row r="38">
          <cell r="C38">
            <v>754602</v>
          </cell>
        </row>
        <row r="38">
          <cell r="E38">
            <v>754602</v>
          </cell>
        </row>
        <row r="38">
          <cell r="I38" t="str">
            <v>Q2 Gravel Pass - 315</v>
          </cell>
        </row>
        <row r="38">
          <cell r="K38">
            <v>2000</v>
          </cell>
        </row>
        <row r="38">
          <cell r="M38">
            <v>2000</v>
          </cell>
          <cell r="N38">
            <v>2000</v>
          </cell>
        </row>
        <row r="39">
          <cell r="A39" t="str">
            <v>Gross Salary - 398</v>
          </cell>
        </row>
        <row r="39">
          <cell r="C39">
            <v>719869</v>
          </cell>
        </row>
        <row r="39">
          <cell r="E39">
            <v>719869</v>
          </cell>
          <cell r="F39">
            <v>719869</v>
          </cell>
        </row>
        <row r="39">
          <cell r="I39" t="str">
            <v>Q2 Transit Pass Expenses - Quarry - 324</v>
          </cell>
        </row>
        <row r="39">
          <cell r="K39">
            <v>10000</v>
          </cell>
        </row>
        <row r="39">
          <cell r="M39">
            <v>10000</v>
          </cell>
          <cell r="N39">
            <v>10000</v>
          </cell>
        </row>
        <row r="40">
          <cell r="A40" t="str">
            <v>PF employer - 400</v>
          </cell>
        </row>
        <row r="40">
          <cell r="C40">
            <v>34733</v>
          </cell>
        </row>
        <row r="40">
          <cell r="E40">
            <v>34733</v>
          </cell>
          <cell r="F40">
            <v>34733</v>
          </cell>
        </row>
        <row r="40">
          <cell r="I40" t="str">
            <v>Q2 Compressor Rent - Quarry - 306</v>
          </cell>
        </row>
        <row r="40">
          <cell r="K40">
            <v>115200</v>
          </cell>
        </row>
        <row r="40">
          <cell r="M40">
            <v>115200</v>
          </cell>
          <cell r="N40">
            <v>115200</v>
          </cell>
        </row>
        <row r="41">
          <cell r="A41" t="str">
            <v>Non Operating Expenses</v>
          </cell>
        </row>
        <row r="41">
          <cell r="C41">
            <v>309576.85</v>
          </cell>
        </row>
        <row r="41">
          <cell r="E41">
            <v>309576.85</v>
          </cell>
        </row>
        <row r="41">
          <cell r="I41" t="str">
            <v>Q2 Fuel JCB -517</v>
          </cell>
        </row>
        <row r="41">
          <cell r="K41">
            <v>146</v>
          </cell>
        </row>
        <row r="41">
          <cell r="M41">
            <v>146</v>
          </cell>
          <cell r="N41">
            <v>146</v>
          </cell>
        </row>
        <row r="42">
          <cell r="A42" t="str">
            <v>Non Operating Expenses - Crusher</v>
          </cell>
        </row>
        <row r="42">
          <cell r="C42">
            <v>109084.85</v>
          </cell>
        </row>
        <row r="42">
          <cell r="E42">
            <v>109084.85</v>
          </cell>
        </row>
        <row r="42">
          <cell r="I42" t="str">
            <v>Q2-Repairs &amp; Maintenance - CAT 3-522</v>
          </cell>
        </row>
        <row r="42">
          <cell r="K42">
            <v>17944</v>
          </cell>
        </row>
        <row r="42">
          <cell r="M42">
            <v>17944</v>
          </cell>
          <cell r="N42">
            <v>17944</v>
          </cell>
        </row>
        <row r="43">
          <cell r="A43" t="str">
            <v>Repairs &amp; Maintenance - Non Operating Crusher - 184</v>
          </cell>
        </row>
        <row r="43">
          <cell r="C43">
            <v>109084.85</v>
          </cell>
        </row>
        <row r="43">
          <cell r="E43">
            <v>109084.85</v>
          </cell>
          <cell r="F43">
            <v>109084.85</v>
          </cell>
        </row>
        <row r="43">
          <cell r="I43" t="str">
            <v>Q2-Repairs &amp; Maintenance - CAT 4 - 519</v>
          </cell>
        </row>
        <row r="43">
          <cell r="K43">
            <v>863</v>
          </cell>
        </row>
        <row r="43">
          <cell r="M43">
            <v>863</v>
          </cell>
          <cell r="N43">
            <v>863</v>
          </cell>
        </row>
        <row r="44">
          <cell r="A44" t="str">
            <v>Q1 Repairs &amp; Maintenance - Non Operating Quarry</v>
          </cell>
        </row>
        <row r="44">
          <cell r="C44">
            <v>500</v>
          </cell>
        </row>
        <row r="44">
          <cell r="E44">
            <v>500</v>
          </cell>
        </row>
        <row r="44">
          <cell r="I44" t="str">
            <v>Q2-Repairs &amp; Maintenance - CAT 5-525</v>
          </cell>
        </row>
        <row r="44">
          <cell r="K44">
            <v>25508</v>
          </cell>
        </row>
        <row r="44">
          <cell r="M44">
            <v>25508</v>
          </cell>
          <cell r="N44">
            <v>25508</v>
          </cell>
        </row>
        <row r="45">
          <cell r="A45" t="str">
            <v>Q1 Repair &amp; Maintenance - Non Operating - Quarry - 180</v>
          </cell>
        </row>
        <row r="45">
          <cell r="C45">
            <v>500</v>
          </cell>
        </row>
        <row r="45">
          <cell r="E45">
            <v>500</v>
          </cell>
          <cell r="F45">
            <v>500</v>
          </cell>
        </row>
        <row r="45">
          <cell r="I45" t="str">
            <v>Q2-Repairs &amp; Maintenance - JCB-530</v>
          </cell>
        </row>
        <row r="45">
          <cell r="K45">
            <v>269</v>
          </cell>
        </row>
        <row r="45">
          <cell r="M45">
            <v>269</v>
          </cell>
          <cell r="N45">
            <v>269</v>
          </cell>
        </row>
        <row r="46">
          <cell r="A46" t="str">
            <v>Q2 Repairs &amp; Maintenance - Non Operating Quarry</v>
          </cell>
        </row>
        <row r="46">
          <cell r="C46">
            <v>5831</v>
          </cell>
        </row>
        <row r="46">
          <cell r="E46">
            <v>5831</v>
          </cell>
        </row>
        <row r="46">
          <cell r="I46" t="str">
            <v>Quarry 3</v>
          </cell>
        </row>
        <row r="46">
          <cell r="K46">
            <v>1483825.5</v>
          </cell>
          <cell r="L46">
            <v>663461</v>
          </cell>
          <cell r="M46">
            <v>820364.5</v>
          </cell>
        </row>
        <row r="47">
          <cell r="A47" t="str">
            <v>Q2 Repair &amp; Maintenance - Non Operating Quarry - 181</v>
          </cell>
        </row>
        <row r="47">
          <cell r="C47">
            <v>5831</v>
          </cell>
        </row>
        <row r="47">
          <cell r="E47">
            <v>5831</v>
          </cell>
          <cell r="F47">
            <v>5831</v>
          </cell>
        </row>
        <row r="47">
          <cell r="I47" t="str">
            <v>Q3 Employee Cost - Quarry</v>
          </cell>
        </row>
        <row r="47">
          <cell r="K47">
            <v>129563</v>
          </cell>
        </row>
        <row r="47">
          <cell r="M47">
            <v>129563</v>
          </cell>
        </row>
        <row r="48">
          <cell r="A48" t="str">
            <v>EMI - Car GLS - 167</v>
          </cell>
        </row>
        <row r="48">
          <cell r="C48">
            <v>194161</v>
          </cell>
        </row>
        <row r="48">
          <cell r="E48">
            <v>194161</v>
          </cell>
          <cell r="F48">
            <v>194161</v>
          </cell>
        </row>
        <row r="48">
          <cell r="I48" t="str">
            <v>Q3 Salary - Quarry - 513</v>
          </cell>
        </row>
        <row r="48">
          <cell r="K48">
            <v>129563</v>
          </cell>
        </row>
        <row r="48">
          <cell r="M48">
            <v>129563</v>
          </cell>
          <cell r="N48">
            <v>129563</v>
          </cell>
        </row>
        <row r="49">
          <cell r="A49" t="str">
            <v>Other Admin &amp; Finance Cost</v>
          </cell>
        </row>
        <row r="49">
          <cell r="C49">
            <v>2720673.66</v>
          </cell>
          <cell r="D49">
            <v>54920.64</v>
          </cell>
          <cell r="E49">
            <v>2665753.02</v>
          </cell>
        </row>
        <row r="49">
          <cell r="I49" t="str">
            <v>Q3 Explosives - Quarry</v>
          </cell>
        </row>
        <row r="49">
          <cell r="K49">
            <v>493396</v>
          </cell>
        </row>
        <row r="49">
          <cell r="M49">
            <v>493396</v>
          </cell>
        </row>
        <row r="50">
          <cell r="A50" t="str">
            <v>Director Remuneration</v>
          </cell>
        </row>
        <row r="50">
          <cell r="C50">
            <v>2000000</v>
          </cell>
        </row>
        <row r="50">
          <cell r="E50">
            <v>2000000</v>
          </cell>
        </row>
        <row r="50">
          <cell r="I50" t="str">
            <v>Q3 Explosives - Quarry - 480</v>
          </cell>
        </row>
        <row r="50">
          <cell r="K50">
            <v>493396</v>
          </cell>
        </row>
        <row r="50">
          <cell r="M50">
            <v>493396</v>
          </cell>
          <cell r="N50">
            <v>493396</v>
          </cell>
        </row>
        <row r="51">
          <cell r="A51" t="str">
            <v>Director Remuneration - Sankar - 202</v>
          </cell>
        </row>
        <row r="51">
          <cell r="C51">
            <v>1000000</v>
          </cell>
        </row>
        <row r="51">
          <cell r="E51">
            <v>1000000</v>
          </cell>
          <cell r="F51">
            <v>1000000</v>
          </cell>
        </row>
        <row r="51">
          <cell r="I51" t="str">
            <v>Q3 Fuel Expenses - Quarry</v>
          </cell>
        </row>
        <row r="51">
          <cell r="L51">
            <v>663461</v>
          </cell>
          <cell r="M51">
            <v>663461</v>
          </cell>
        </row>
        <row r="52">
          <cell r="A52" t="str">
            <v>Director Remuneration - S.Ramprakash - 201</v>
          </cell>
        </row>
        <row r="52">
          <cell r="C52">
            <v>1000000</v>
          </cell>
        </row>
        <row r="52">
          <cell r="E52">
            <v>1000000</v>
          </cell>
          <cell r="F52">
            <v>1000000</v>
          </cell>
        </row>
        <row r="52">
          <cell r="I52" t="str">
            <v>Q3 Fuel CAT 3 Quarry - 470</v>
          </cell>
        </row>
        <row r="52">
          <cell r="L52">
            <v>387323</v>
          </cell>
          <cell r="M52">
            <v>387323</v>
          </cell>
          <cell r="N52">
            <v>-387323</v>
          </cell>
        </row>
        <row r="53">
          <cell r="A53" t="str">
            <v>Employee Cost - Admin</v>
          </cell>
        </row>
        <row r="53">
          <cell r="C53">
            <v>26009</v>
          </cell>
        </row>
        <row r="53">
          <cell r="E53">
            <v>26009</v>
          </cell>
        </row>
        <row r="53">
          <cell r="I53" t="str">
            <v>Q3 Fuel Cat 5 Quarry - 475</v>
          </cell>
        </row>
        <row r="53">
          <cell r="L53">
            <v>276138</v>
          </cell>
          <cell r="M53">
            <v>276138</v>
          </cell>
          <cell r="N53">
            <v>-276138</v>
          </cell>
        </row>
        <row r="54">
          <cell r="A54" t="str">
            <v>Staff Welfare - Admin</v>
          </cell>
        </row>
        <row r="54">
          <cell r="C54">
            <v>26009</v>
          </cell>
        </row>
        <row r="54">
          <cell r="E54">
            <v>26009</v>
          </cell>
        </row>
        <row r="54">
          <cell r="I54" t="str">
            <v>Q3 Other Quarry Cost</v>
          </cell>
        </row>
        <row r="54">
          <cell r="K54">
            <v>26763.5</v>
          </cell>
        </row>
        <row r="54">
          <cell r="M54">
            <v>26763.5</v>
          </cell>
        </row>
        <row r="55">
          <cell r="A55" t="str">
            <v>Staff Welfare - Admin - 217</v>
          </cell>
        </row>
        <row r="55">
          <cell r="C55">
            <v>26009</v>
          </cell>
        </row>
        <row r="55">
          <cell r="E55">
            <v>26009</v>
          </cell>
          <cell r="F55">
            <v>26009</v>
          </cell>
        </row>
        <row r="55">
          <cell r="I55" t="str">
            <v>Q3 Bata - Explosives - 511</v>
          </cell>
        </row>
        <row r="55">
          <cell r="K55">
            <v>3200</v>
          </cell>
        </row>
        <row r="55">
          <cell r="M55">
            <v>3200</v>
          </cell>
          <cell r="N55">
            <v>3200</v>
          </cell>
        </row>
        <row r="56">
          <cell r="A56" t="str">
            <v>Finance Cost - Admin</v>
          </cell>
        </row>
        <row r="56">
          <cell r="C56">
            <v>296071.9</v>
          </cell>
          <cell r="D56">
            <v>53907</v>
          </cell>
          <cell r="E56">
            <v>242164.9</v>
          </cell>
        </row>
        <row r="56">
          <cell r="I56" t="str">
            <v>Q3 Labour - Explosives - 481</v>
          </cell>
        </row>
        <row r="56">
          <cell r="K56">
            <v>23563.5</v>
          </cell>
        </row>
        <row r="56">
          <cell r="M56">
            <v>23563.5</v>
          </cell>
          <cell r="N56">
            <v>23563.5</v>
          </cell>
        </row>
        <row r="57">
          <cell r="A57" t="str">
            <v>Interest on Term Loan</v>
          </cell>
        </row>
        <row r="57">
          <cell r="C57">
            <v>191089.9</v>
          </cell>
        </row>
        <row r="57">
          <cell r="E57">
            <v>191089.9</v>
          </cell>
        </row>
        <row r="57">
          <cell r="I57" t="str">
            <v>Q3 Compressor Rent - Quarry - 479</v>
          </cell>
        </row>
        <row r="57">
          <cell r="K57">
            <v>667648</v>
          </cell>
        </row>
        <row r="57">
          <cell r="M57">
            <v>667648</v>
          </cell>
          <cell r="N57">
            <v>667648</v>
          </cell>
        </row>
        <row r="58">
          <cell r="A58" t="str">
            <v>Interest Paid on Caterpillar Loan - 155</v>
          </cell>
        </row>
        <row r="58">
          <cell r="C58">
            <v>48578.18</v>
          </cell>
        </row>
        <row r="58">
          <cell r="E58">
            <v>48578.18</v>
          </cell>
          <cell r="F58">
            <v>48578.18</v>
          </cell>
        </row>
        <row r="58">
          <cell r="I58" t="str">
            <v>Q3 Fuel Cat 4 Quarry - 515</v>
          </cell>
        </row>
        <row r="58">
          <cell r="K58">
            <v>10971</v>
          </cell>
        </row>
        <row r="58">
          <cell r="M58">
            <v>10971</v>
          </cell>
          <cell r="N58">
            <v>10971</v>
          </cell>
        </row>
        <row r="59">
          <cell r="A59" t="str">
            <v>Interest Paid on Loader Loan - 157</v>
          </cell>
        </row>
        <row r="59">
          <cell r="C59">
            <v>25820.72</v>
          </cell>
        </row>
        <row r="59">
          <cell r="E59">
            <v>25820.72</v>
          </cell>
          <cell r="F59">
            <v>25820.72</v>
          </cell>
        </row>
        <row r="59">
          <cell r="I59" t="str">
            <v>Q3 Fuel Hyundai-516</v>
          </cell>
        </row>
        <row r="59">
          <cell r="K59">
            <v>9594</v>
          </cell>
        </row>
        <row r="59">
          <cell r="M59">
            <v>9594</v>
          </cell>
          <cell r="N59">
            <v>9594</v>
          </cell>
        </row>
        <row r="60">
          <cell r="A60" t="str">
            <v>Interest Paid on Propel Loan-1 - 158</v>
          </cell>
        </row>
        <row r="60">
          <cell r="C60">
            <v>18011</v>
          </cell>
        </row>
        <row r="60">
          <cell r="E60">
            <v>18011</v>
          </cell>
          <cell r="F60">
            <v>18011</v>
          </cell>
        </row>
        <row r="60">
          <cell r="I60" t="str">
            <v>Q3 Repair &amp; Maintenance - 505</v>
          </cell>
        </row>
        <row r="60">
          <cell r="K60">
            <v>4800</v>
          </cell>
        </row>
        <row r="60">
          <cell r="M60">
            <v>4800</v>
          </cell>
          <cell r="N60">
            <v>4800</v>
          </cell>
        </row>
        <row r="61">
          <cell r="A61" t="str">
            <v>Interest Paid on Propel Loan-2 - 159</v>
          </cell>
        </row>
        <row r="61">
          <cell r="C61">
            <v>15026</v>
          </cell>
        </row>
        <row r="61">
          <cell r="E61">
            <v>15026</v>
          </cell>
          <cell r="F61">
            <v>15026</v>
          </cell>
        </row>
        <row r="61">
          <cell r="I61" t="str">
            <v>Q3-Repairs &amp; Maintenance - CAT 3-523</v>
          </cell>
        </row>
        <row r="61">
          <cell r="K61">
            <v>55887</v>
          </cell>
        </row>
        <row r="61">
          <cell r="M61">
            <v>55887</v>
          </cell>
          <cell r="N61">
            <v>55887</v>
          </cell>
        </row>
        <row r="62">
          <cell r="A62" t="str">
            <v>Interest Paid on Pro Wash Loan - 414</v>
          </cell>
        </row>
        <row r="62">
          <cell r="C62">
            <v>8481</v>
          </cell>
        </row>
        <row r="62">
          <cell r="E62">
            <v>8481</v>
          </cell>
          <cell r="F62">
            <v>8481</v>
          </cell>
        </row>
        <row r="62">
          <cell r="I62" t="str">
            <v>Q3-Repairs &amp; Maintenance - CAT 4 - 520</v>
          </cell>
        </row>
        <row r="62">
          <cell r="K62">
            <v>15750</v>
          </cell>
        </row>
        <row r="62">
          <cell r="M62">
            <v>15750</v>
          </cell>
          <cell r="N62">
            <v>15750</v>
          </cell>
        </row>
        <row r="63">
          <cell r="A63" t="str">
            <v>Interest Paid on Term Loan (MSME) - 160</v>
          </cell>
        </row>
        <row r="63">
          <cell r="C63">
            <v>75173</v>
          </cell>
        </row>
        <row r="63">
          <cell r="E63">
            <v>75173</v>
          </cell>
          <cell r="F63">
            <v>75173</v>
          </cell>
        </row>
        <row r="63">
          <cell r="I63" t="str">
            <v>Q3-Repairs &amp; Maintenance - CAT 5-526</v>
          </cell>
        </row>
        <row r="63">
          <cell r="K63">
            <v>69352</v>
          </cell>
        </row>
        <row r="63">
          <cell r="M63">
            <v>69352</v>
          </cell>
          <cell r="N63">
            <v>69352</v>
          </cell>
        </row>
        <row r="64">
          <cell r="A64" t="str">
            <v>Interest on Thar Car Loan - 459</v>
          </cell>
        </row>
        <row r="64">
          <cell r="C64">
            <v>4858</v>
          </cell>
        </row>
        <row r="64">
          <cell r="E64">
            <v>4858</v>
          </cell>
          <cell r="F64">
            <v>4858</v>
          </cell>
        </row>
        <row r="64">
          <cell r="I64" t="str">
            <v>Q3-Repairs &amp; Maintenance - Hyundai-529</v>
          </cell>
        </row>
        <row r="64">
          <cell r="K64">
            <v>101</v>
          </cell>
        </row>
        <row r="64">
          <cell r="M64">
            <v>101</v>
          </cell>
          <cell r="N64">
            <v>101</v>
          </cell>
        </row>
        <row r="65">
          <cell r="A65" t="str">
            <v>Interest Paid on Bills Discounting</v>
          </cell>
        </row>
        <row r="65">
          <cell r="C65">
            <v>100124</v>
          </cell>
          <cell r="D65">
            <v>53907</v>
          </cell>
          <cell r="E65">
            <v>46217</v>
          </cell>
          <cell r="F65">
            <v>46217</v>
          </cell>
        </row>
        <row r="65">
          <cell r="I65" t="str">
            <v>Employee Cost</v>
          </cell>
        </row>
        <row r="65">
          <cell r="K65">
            <v>1288523</v>
          </cell>
          <cell r="L65">
            <v>1860787</v>
          </cell>
          <cell r="M65">
            <v>572264</v>
          </cell>
        </row>
        <row r="66">
          <cell r="A66" t="str">
            <v>Other Admin Expenses</v>
          </cell>
        </row>
        <row r="66">
          <cell r="C66">
            <v>233592.76</v>
          </cell>
          <cell r="D66">
            <v>1013.64</v>
          </cell>
          <cell r="E66">
            <v>232579.12</v>
          </cell>
        </row>
        <row r="66">
          <cell r="I66" t="str">
            <v>Gross Salary - 398</v>
          </cell>
        </row>
        <row r="66">
          <cell r="K66">
            <v>1288523</v>
          </cell>
          <cell r="L66">
            <v>1860787</v>
          </cell>
          <cell r="M66">
            <v>572264</v>
          </cell>
          <cell r="N66">
            <v>-572264</v>
          </cell>
        </row>
        <row r="67">
          <cell r="A67" t="str">
            <v>Communication Expenses - Admin</v>
          </cell>
        </row>
        <row r="67">
          <cell r="C67">
            <v>43579</v>
          </cell>
        </row>
        <row r="67">
          <cell r="E67">
            <v>43579</v>
          </cell>
        </row>
        <row r="67">
          <cell r="I67" t="str">
            <v>Non Operating Expenses</v>
          </cell>
        </row>
        <row r="67">
          <cell r="K67">
            <v>30560</v>
          </cell>
          <cell r="L67">
            <v>65150.85</v>
          </cell>
          <cell r="M67">
            <v>34590.85</v>
          </cell>
        </row>
        <row r="68">
          <cell r="A68" t="str">
            <v>Telephone/BB Expenses - Admin - 222</v>
          </cell>
        </row>
        <row r="68">
          <cell r="C68">
            <v>37499</v>
          </cell>
        </row>
        <row r="68">
          <cell r="E68">
            <v>37499</v>
          </cell>
          <cell r="F68">
            <v>37499</v>
          </cell>
        </row>
        <row r="68">
          <cell r="I68" t="str">
            <v>Non Operating Expenses - Crusher</v>
          </cell>
        </row>
        <row r="68">
          <cell r="K68">
            <v>30560</v>
          </cell>
          <cell r="L68">
            <v>65150.85</v>
          </cell>
          <cell r="M68">
            <v>34590.85</v>
          </cell>
        </row>
        <row r="69">
          <cell r="A69" t="str">
            <v>Telephone/CUG Expenses- Admin - 223</v>
          </cell>
        </row>
        <row r="69">
          <cell r="C69">
            <v>6080</v>
          </cell>
        </row>
        <row r="69">
          <cell r="E69">
            <v>6080</v>
          </cell>
          <cell r="F69">
            <v>6080</v>
          </cell>
        </row>
        <row r="69">
          <cell r="I69" t="str">
            <v>Bike Service - Non Operating - 164</v>
          </cell>
        </row>
        <row r="69">
          <cell r="K69">
            <v>950</v>
          </cell>
        </row>
        <row r="69">
          <cell r="M69">
            <v>950</v>
          </cell>
          <cell r="N69">
            <v>950</v>
          </cell>
        </row>
        <row r="70">
          <cell r="A70" t="str">
            <v>Postage &amp; Courier - Admin</v>
          </cell>
        </row>
        <row r="70">
          <cell r="C70">
            <v>120</v>
          </cell>
        </row>
        <row r="70">
          <cell r="E70">
            <v>120</v>
          </cell>
        </row>
        <row r="70">
          <cell r="I70" t="str">
            <v>Pet Expenses - 175</v>
          </cell>
        </row>
        <row r="70">
          <cell r="K70">
            <v>160</v>
          </cell>
        </row>
        <row r="70">
          <cell r="M70">
            <v>160</v>
          </cell>
          <cell r="N70">
            <v>160</v>
          </cell>
        </row>
        <row r="71">
          <cell r="A71" t="str">
            <v>Courier Expenses - Admin - 199</v>
          </cell>
        </row>
        <row r="71">
          <cell r="C71">
            <v>120</v>
          </cell>
        </row>
        <row r="71">
          <cell r="E71">
            <v>120</v>
          </cell>
          <cell r="F71">
            <v>120</v>
          </cell>
        </row>
        <row r="71">
          <cell r="I71" t="str">
            <v>Repairs &amp; Maintenance - Non Operating Crusher - 184</v>
          </cell>
        </row>
        <row r="71">
          <cell r="K71">
            <v>29450</v>
          </cell>
          <cell r="L71">
            <v>65150.85</v>
          </cell>
          <cell r="M71">
            <v>35700.85</v>
          </cell>
          <cell r="N71">
            <v>-35700.85</v>
          </cell>
        </row>
        <row r="72">
          <cell r="A72" t="str">
            <v>Printing &amp; Stationary - Admin</v>
          </cell>
        </row>
        <row r="72">
          <cell r="C72">
            <v>13647.6</v>
          </cell>
        </row>
        <row r="72">
          <cell r="E72">
            <v>13647.6</v>
          </cell>
        </row>
        <row r="72">
          <cell r="I72" t="str">
            <v>Other Admin &amp; Finance Cost</v>
          </cell>
        </row>
        <row r="72">
          <cell r="K72">
            <v>1623970.11</v>
          </cell>
          <cell r="L72">
            <v>155430.53</v>
          </cell>
          <cell r="M72">
            <v>1468539.58</v>
          </cell>
        </row>
        <row r="73">
          <cell r="A73" t="str">
            <v>Printing &amp; Stationery Expenses-Admin - 213</v>
          </cell>
        </row>
        <row r="73">
          <cell r="C73">
            <v>13647.6</v>
          </cell>
        </row>
        <row r="73">
          <cell r="E73">
            <v>13647.6</v>
          </cell>
          <cell r="F73">
            <v>13647.6</v>
          </cell>
        </row>
        <row r="73">
          <cell r="I73" t="str">
            <v>Business Promotion - Admin</v>
          </cell>
        </row>
        <row r="73">
          <cell r="K73">
            <v>10000</v>
          </cell>
        </row>
        <row r="73">
          <cell r="M73">
            <v>10000</v>
          </cell>
        </row>
        <row r="74">
          <cell r="A74" t="str">
            <v>Travelling &amp; Conveyance - Admin</v>
          </cell>
        </row>
        <row r="74">
          <cell r="C74">
            <v>3278</v>
          </cell>
        </row>
        <row r="74">
          <cell r="E74">
            <v>3278</v>
          </cell>
        </row>
        <row r="74">
          <cell r="I74" t="str">
            <v>Gift - Admin - 208</v>
          </cell>
        </row>
        <row r="74">
          <cell r="K74">
            <v>10000</v>
          </cell>
        </row>
        <row r="74">
          <cell r="M74">
            <v>10000</v>
          </cell>
          <cell r="N74">
            <v>10000</v>
          </cell>
        </row>
        <row r="75">
          <cell r="A75" t="str">
            <v>Travelling &amp; Conveyance - Admin - 226</v>
          </cell>
        </row>
        <row r="75">
          <cell r="C75">
            <v>3278</v>
          </cell>
        </row>
        <row r="75">
          <cell r="E75">
            <v>3278</v>
          </cell>
          <cell r="F75">
            <v>3278</v>
          </cell>
        </row>
        <row r="75">
          <cell r="I75" t="str">
            <v>Employee Cost - Admin</v>
          </cell>
        </row>
        <row r="75">
          <cell r="K75">
            <v>622323</v>
          </cell>
        </row>
        <row r="75">
          <cell r="M75">
            <v>622323</v>
          </cell>
        </row>
        <row r="76">
          <cell r="A76" t="str">
            <v>Bank Charges - 195</v>
          </cell>
        </row>
        <row r="76">
          <cell r="C76">
            <v>54</v>
          </cell>
        </row>
        <row r="76">
          <cell r="E76">
            <v>54</v>
          </cell>
          <cell r="F76">
            <v>54</v>
          </cell>
        </row>
        <row r="76">
          <cell r="I76" t="str">
            <v>Salary - Admin</v>
          </cell>
        </row>
        <row r="76">
          <cell r="K76">
            <v>622323</v>
          </cell>
        </row>
        <row r="76">
          <cell r="M76">
            <v>622323</v>
          </cell>
        </row>
        <row r="77">
          <cell r="A77" t="str">
            <v>Office Rent - 424</v>
          </cell>
        </row>
        <row r="77">
          <cell r="C77">
            <v>150000</v>
          </cell>
        </row>
        <row r="77">
          <cell r="E77">
            <v>150000</v>
          </cell>
          <cell r="F77">
            <v>150000</v>
          </cell>
        </row>
        <row r="77">
          <cell r="I77" t="str">
            <v>Salary - Admin - 215</v>
          </cell>
        </row>
        <row r="77">
          <cell r="K77">
            <v>622323</v>
          </cell>
        </row>
        <row r="77">
          <cell r="M77">
            <v>622323</v>
          </cell>
          <cell r="N77">
            <v>622323</v>
          </cell>
        </row>
        <row r="78">
          <cell r="A78" t="str">
            <v>Other Expenses - Admin - 211</v>
          </cell>
        </row>
        <row r="78">
          <cell r="C78">
            <v>17409</v>
          </cell>
        </row>
        <row r="78">
          <cell r="E78">
            <v>17409</v>
          </cell>
          <cell r="F78">
            <v>17409</v>
          </cell>
        </row>
        <row r="78">
          <cell r="I78" t="str">
            <v>Finance Cost - Admin</v>
          </cell>
        </row>
        <row r="78">
          <cell r="K78">
            <v>714246</v>
          </cell>
          <cell r="L78">
            <v>4858</v>
          </cell>
          <cell r="M78">
            <v>709388</v>
          </cell>
        </row>
        <row r="79">
          <cell r="A79" t="str">
            <v>Pooja Expenses - Admin - 212</v>
          </cell>
        </row>
        <row r="79">
          <cell r="C79">
            <v>4500</v>
          </cell>
        </row>
        <row r="79">
          <cell r="E79">
            <v>4500</v>
          </cell>
          <cell r="F79">
            <v>4500</v>
          </cell>
        </row>
        <row r="79">
          <cell r="I79" t="str">
            <v>Interest Paid</v>
          </cell>
        </row>
        <row r="79">
          <cell r="K79">
            <v>714246</v>
          </cell>
        </row>
        <row r="79">
          <cell r="M79">
            <v>714246</v>
          </cell>
        </row>
        <row r="80">
          <cell r="A80" t="str">
            <v>Rounded Off - 214</v>
          </cell>
        </row>
        <row r="80">
          <cell r="C80">
            <v>1005.16</v>
          </cell>
          <cell r="D80">
            <v>1013.64</v>
          </cell>
          <cell r="E80">
            <v>8.48</v>
          </cell>
          <cell r="F80">
            <v>-8.48000000000002</v>
          </cell>
        </row>
        <row r="80">
          <cell r="I80" t="str">
            <v>Interest - Kishore - 148</v>
          </cell>
        </row>
        <row r="80">
          <cell r="K80">
            <v>278500</v>
          </cell>
        </row>
        <row r="80">
          <cell r="M80">
            <v>278500</v>
          </cell>
          <cell r="N80">
            <v>278500</v>
          </cell>
        </row>
        <row r="81">
          <cell r="A81" t="str">
            <v>Audit Fees - 426</v>
          </cell>
        </row>
        <row r="81">
          <cell r="C81">
            <v>150000</v>
          </cell>
        </row>
        <row r="81">
          <cell r="E81">
            <v>150000</v>
          </cell>
          <cell r="F81">
            <v>150000</v>
          </cell>
        </row>
        <row r="81">
          <cell r="I81" t="str">
            <v>Interest - Krishnan - 149</v>
          </cell>
        </row>
        <row r="81">
          <cell r="K81">
            <v>125000</v>
          </cell>
        </row>
        <row r="81">
          <cell r="M81">
            <v>125000</v>
          </cell>
          <cell r="N81">
            <v>125000</v>
          </cell>
        </row>
        <row r="82">
          <cell r="A82" t="str">
            <v>Professional charges - 445</v>
          </cell>
        </row>
        <row r="82">
          <cell r="C82">
            <v>15000</v>
          </cell>
        </row>
        <row r="82">
          <cell r="E82">
            <v>15000</v>
          </cell>
          <cell r="F82">
            <v>15000</v>
          </cell>
        </row>
        <row r="82">
          <cell r="I82" t="str">
            <v>Interest - Ramkishan - 150</v>
          </cell>
        </row>
        <row r="82">
          <cell r="K82">
            <v>130839</v>
          </cell>
        </row>
        <row r="82">
          <cell r="M82">
            <v>130839</v>
          </cell>
          <cell r="N82">
            <v>130839</v>
          </cell>
        </row>
        <row r="83">
          <cell r="A83" t="str">
            <v>Production Expenses</v>
          </cell>
        </row>
        <row r="83">
          <cell r="C83">
            <v>9070181.44</v>
          </cell>
          <cell r="D83">
            <v>14269.95</v>
          </cell>
          <cell r="E83">
            <v>9055911.49</v>
          </cell>
        </row>
        <row r="83">
          <cell r="I83" t="str">
            <v>Interest - Ramprakash - 151</v>
          </cell>
        </row>
        <row r="83">
          <cell r="K83">
            <v>102882</v>
          </cell>
        </row>
        <row r="83">
          <cell r="M83">
            <v>102882</v>
          </cell>
          <cell r="N83">
            <v>102882</v>
          </cell>
        </row>
        <row r="84">
          <cell r="A84" t="str">
            <v>Electricity Charges - Crusher</v>
          </cell>
        </row>
        <row r="84">
          <cell r="C84">
            <v>3227849</v>
          </cell>
          <cell r="D84">
            <v>680.4</v>
          </cell>
          <cell r="E84">
            <v>3227168.6</v>
          </cell>
        </row>
        <row r="84">
          <cell r="I84" t="str">
            <v>Interest - Sankar - 152</v>
          </cell>
        </row>
        <row r="84">
          <cell r="K84">
            <v>77025</v>
          </cell>
        </row>
        <row r="84">
          <cell r="M84">
            <v>77025</v>
          </cell>
          <cell r="N84">
            <v>77025</v>
          </cell>
        </row>
        <row r="85">
          <cell r="A85" t="str">
            <v>Electricity Charges HT - Crusher - 027</v>
          </cell>
        </row>
        <row r="85">
          <cell r="C85">
            <v>3227849</v>
          </cell>
          <cell r="D85">
            <v>680.4</v>
          </cell>
          <cell r="E85">
            <v>3227168.6</v>
          </cell>
          <cell r="F85">
            <v>3227168.6</v>
          </cell>
        </row>
        <row r="85">
          <cell r="I85" t="str">
            <v>Interest on Thar Car Loan - 459</v>
          </cell>
        </row>
        <row r="85">
          <cell r="L85">
            <v>4858</v>
          </cell>
          <cell r="M85">
            <v>4858</v>
          </cell>
          <cell r="N85">
            <v>-4858</v>
          </cell>
        </row>
        <row r="86">
          <cell r="A86" t="str">
            <v>Employee Cost - Crusher</v>
          </cell>
        </row>
        <row r="86">
          <cell r="C86">
            <v>403317</v>
          </cell>
        </row>
        <row r="86">
          <cell r="E86">
            <v>403317</v>
          </cell>
        </row>
        <row r="86">
          <cell r="I86" t="str">
            <v>Other Admin Expenses</v>
          </cell>
        </row>
        <row r="86">
          <cell r="K86">
            <v>48824.11</v>
          </cell>
          <cell r="L86">
            <v>572.53</v>
          </cell>
          <cell r="M86">
            <v>48251.58</v>
          </cell>
        </row>
        <row r="87">
          <cell r="A87" t="str">
            <v>Staff Welfare - Crusher</v>
          </cell>
        </row>
        <row r="87">
          <cell r="C87">
            <v>403317</v>
          </cell>
        </row>
        <row r="87">
          <cell r="E87">
            <v>403317</v>
          </cell>
        </row>
        <row r="87">
          <cell r="I87" t="str">
            <v>Postage &amp; Courier - Admin</v>
          </cell>
        </row>
        <row r="87">
          <cell r="K87">
            <v>319</v>
          </cell>
        </row>
        <row r="87">
          <cell r="M87">
            <v>319</v>
          </cell>
        </row>
        <row r="88">
          <cell r="A88" t="str">
            <v>Canteen Expenses - Crusher</v>
          </cell>
        </row>
        <row r="88">
          <cell r="C88">
            <v>400317</v>
          </cell>
        </row>
        <row r="88">
          <cell r="E88">
            <v>400317</v>
          </cell>
        </row>
        <row r="88">
          <cell r="I88" t="str">
            <v>Courier Expenses - Admin - 199</v>
          </cell>
        </row>
        <row r="88">
          <cell r="K88">
            <v>319</v>
          </cell>
        </row>
        <row r="88">
          <cell r="M88">
            <v>319</v>
          </cell>
          <cell r="N88">
            <v>319</v>
          </cell>
        </row>
        <row r="89">
          <cell r="A89" t="str">
            <v>Chicken - Canteen - 015</v>
          </cell>
        </row>
        <row r="89">
          <cell r="C89">
            <v>34650</v>
          </cell>
        </row>
        <row r="89">
          <cell r="E89">
            <v>34650</v>
          </cell>
          <cell r="F89">
            <v>34650</v>
          </cell>
        </row>
        <row r="89">
          <cell r="I89" t="str">
            <v>Travelling &amp; Conveyance - Admin</v>
          </cell>
        </row>
        <row r="89">
          <cell r="K89">
            <v>32284</v>
          </cell>
        </row>
        <row r="89">
          <cell r="M89">
            <v>32284</v>
          </cell>
        </row>
        <row r="90">
          <cell r="A90" t="str">
            <v>Curd - Canteen - 020</v>
          </cell>
        </row>
        <row r="90">
          <cell r="C90">
            <v>11020</v>
          </cell>
        </row>
        <row r="90">
          <cell r="E90">
            <v>11020</v>
          </cell>
          <cell r="F90">
            <v>11020</v>
          </cell>
        </row>
        <row r="90">
          <cell r="I90" t="str">
            <v>Director Fuel Expenses</v>
          </cell>
        </row>
        <row r="90">
          <cell r="K90">
            <v>32284</v>
          </cell>
        </row>
        <row r="90">
          <cell r="M90">
            <v>32284</v>
          </cell>
        </row>
        <row r="91">
          <cell r="A91" t="str">
            <v>Eggs - Canteen - 025</v>
          </cell>
        </row>
        <row r="91">
          <cell r="C91">
            <v>2445</v>
          </cell>
        </row>
        <row r="91">
          <cell r="E91">
            <v>2445</v>
          </cell>
          <cell r="F91">
            <v>2445</v>
          </cell>
        </row>
        <row r="91">
          <cell r="I91" t="str">
            <v>Fuel - Ramprakash - 361</v>
          </cell>
        </row>
        <row r="91">
          <cell r="K91">
            <v>32284</v>
          </cell>
        </row>
        <row r="91">
          <cell r="M91">
            <v>32284</v>
          </cell>
          <cell r="N91">
            <v>32284</v>
          </cell>
        </row>
        <row r="92">
          <cell r="A92" t="str">
            <v>Gas Cylinder - Canteen - 046</v>
          </cell>
        </row>
        <row r="92">
          <cell r="C92">
            <v>66625</v>
          </cell>
        </row>
        <row r="92">
          <cell r="E92">
            <v>66625</v>
          </cell>
          <cell r="F92">
            <v>66625</v>
          </cell>
        </row>
        <row r="92">
          <cell r="I92" t="str">
            <v>Donation - Admin - 203</v>
          </cell>
        </row>
        <row r="92">
          <cell r="K92">
            <v>15000</v>
          </cell>
        </row>
        <row r="92">
          <cell r="M92">
            <v>15000</v>
          </cell>
          <cell r="N92">
            <v>15000</v>
          </cell>
        </row>
        <row r="93">
          <cell r="A93" t="str">
            <v>Milk - Canteen - 063</v>
          </cell>
        </row>
        <row r="93">
          <cell r="C93">
            <v>9648</v>
          </cell>
        </row>
        <row r="93">
          <cell r="E93">
            <v>9648</v>
          </cell>
          <cell r="F93">
            <v>9648</v>
          </cell>
        </row>
        <row r="93">
          <cell r="I93" t="str">
            <v>Rounded Off - 214</v>
          </cell>
        </row>
        <row r="93">
          <cell r="K93">
            <v>1221.11</v>
          </cell>
          <cell r="L93">
            <v>572.53</v>
          </cell>
          <cell r="M93">
            <v>648.58</v>
          </cell>
          <cell r="N93">
            <v>648.58</v>
          </cell>
        </row>
        <row r="94">
          <cell r="A94" t="str">
            <v>Other Expenses - Canteen - 068</v>
          </cell>
        </row>
        <row r="94">
          <cell r="C94">
            <v>66341</v>
          </cell>
        </row>
        <row r="94">
          <cell r="E94">
            <v>66341</v>
          </cell>
          <cell r="F94">
            <v>66341</v>
          </cell>
        </row>
        <row r="94">
          <cell r="I94" t="str">
            <v>Audit Fees - 426</v>
          </cell>
        </row>
        <row r="94">
          <cell r="L94">
            <v>150000</v>
          </cell>
          <cell r="M94">
            <v>150000</v>
          </cell>
          <cell r="N94">
            <v>-150000</v>
          </cell>
        </row>
        <row r="95">
          <cell r="A95" t="str">
            <v>Provisions/ Groceries - Canteen - 079</v>
          </cell>
        </row>
        <row r="95">
          <cell r="C95">
            <v>114801</v>
          </cell>
        </row>
        <row r="95">
          <cell r="E95">
            <v>114801</v>
          </cell>
          <cell r="F95">
            <v>114801</v>
          </cell>
        </row>
        <row r="95">
          <cell r="I95" t="str">
            <v>Business Promotion - Admin - 196</v>
          </cell>
        </row>
        <row r="95">
          <cell r="K95">
            <v>228577</v>
          </cell>
        </row>
        <row r="95">
          <cell r="M95">
            <v>228577</v>
          </cell>
          <cell r="N95">
            <v>228577</v>
          </cell>
        </row>
        <row r="96">
          <cell r="A96" t="str">
            <v>Rice - Canteen - 105</v>
          </cell>
        </row>
        <row r="96">
          <cell r="C96">
            <v>30790</v>
          </cell>
        </row>
        <row r="96">
          <cell r="E96">
            <v>30790</v>
          </cell>
          <cell r="F96">
            <v>30790</v>
          </cell>
        </row>
        <row r="96">
          <cell r="I96" t="str">
            <v>Production Expenses</v>
          </cell>
        </row>
        <row r="96">
          <cell r="K96">
            <v>1882137</v>
          </cell>
          <cell r="L96">
            <v>928287</v>
          </cell>
          <cell r="M96">
            <v>953850</v>
          </cell>
        </row>
        <row r="97">
          <cell r="A97" t="str">
            <v>Vegetables - Canteen - 132</v>
          </cell>
        </row>
        <row r="97">
          <cell r="C97">
            <v>63997</v>
          </cell>
        </row>
        <row r="97">
          <cell r="E97">
            <v>63997</v>
          </cell>
          <cell r="F97">
            <v>63997</v>
          </cell>
        </row>
        <row r="97">
          <cell r="I97" t="str">
            <v>Employee Cost - Crusher</v>
          </cell>
        </row>
        <row r="97">
          <cell r="K97">
            <v>770948</v>
          </cell>
        </row>
        <row r="97">
          <cell r="M97">
            <v>770948</v>
          </cell>
        </row>
        <row r="98">
          <cell r="A98" t="str">
            <v>Staff Welfare - Crusher - 114</v>
          </cell>
        </row>
        <row r="98">
          <cell r="C98">
            <v>3000</v>
          </cell>
        </row>
        <row r="98">
          <cell r="E98">
            <v>3000</v>
          </cell>
          <cell r="F98">
            <v>3000</v>
          </cell>
        </row>
        <row r="98">
          <cell r="I98" t="str">
            <v>Salary - Crusher</v>
          </cell>
        </row>
        <row r="98">
          <cell r="K98">
            <v>618802</v>
          </cell>
        </row>
        <row r="98">
          <cell r="M98">
            <v>618802</v>
          </cell>
        </row>
        <row r="99">
          <cell r="A99" t="str">
            <v>Fuel - Crusher</v>
          </cell>
        </row>
        <row r="99">
          <cell r="C99">
            <v>1162415.98</v>
          </cell>
          <cell r="D99">
            <v>10708.05</v>
          </cell>
          <cell r="E99">
            <v>1151707.93</v>
          </cell>
        </row>
        <row r="99">
          <cell r="I99" t="str">
            <v>Salary - Crusher - 107</v>
          </cell>
        </row>
        <row r="99">
          <cell r="K99">
            <v>198060</v>
          </cell>
        </row>
        <row r="99">
          <cell r="M99">
            <v>198060</v>
          </cell>
          <cell r="N99">
            <v>198060</v>
          </cell>
        </row>
        <row r="100">
          <cell r="A100" t="str">
            <v>Fuel Bolero New Crusher - 397</v>
          </cell>
        </row>
        <row r="100">
          <cell r="C100">
            <v>30790.67</v>
          </cell>
        </row>
        <row r="100">
          <cell r="E100">
            <v>30790.67</v>
          </cell>
          <cell r="F100">
            <v>30790.67</v>
          </cell>
        </row>
        <row r="100">
          <cell r="I100" t="str">
            <v>Salary O&amp;M - Crusher - 108</v>
          </cell>
        </row>
        <row r="100">
          <cell r="K100">
            <v>420742</v>
          </cell>
        </row>
        <row r="100">
          <cell r="M100">
            <v>420742</v>
          </cell>
          <cell r="N100">
            <v>420742</v>
          </cell>
        </row>
        <row r="101">
          <cell r="A101" t="str">
            <v>Fuel Bolero TN07CT8761 Crusher - 029</v>
          </cell>
        </row>
        <row r="101">
          <cell r="C101">
            <v>23214.33</v>
          </cell>
        </row>
        <row r="101">
          <cell r="E101">
            <v>23214.33</v>
          </cell>
          <cell r="F101">
            <v>23214.33</v>
          </cell>
        </row>
        <row r="101">
          <cell r="I101" t="str">
            <v>Staff Welfare - Crusher</v>
          </cell>
        </row>
        <row r="101">
          <cell r="K101">
            <v>152146</v>
          </cell>
        </row>
        <row r="101">
          <cell r="M101">
            <v>152146</v>
          </cell>
        </row>
        <row r="102">
          <cell r="A102" t="str">
            <v>Fuel Discount - 034</v>
          </cell>
        </row>
        <row r="102">
          <cell r="D102">
            <v>10708.05</v>
          </cell>
          <cell r="E102">
            <v>10708.05</v>
          </cell>
          <cell r="F102">
            <v>-10708.05</v>
          </cell>
        </row>
        <row r="102">
          <cell r="I102" t="str">
            <v>Canteen Expenses - Crusher</v>
          </cell>
        </row>
        <row r="102">
          <cell r="K102">
            <v>150316</v>
          </cell>
        </row>
        <row r="102">
          <cell r="M102">
            <v>150316</v>
          </cell>
        </row>
        <row r="103">
          <cell r="A103" t="str">
            <v>Fuel Genset 75kva Crusher - 036</v>
          </cell>
        </row>
        <row r="103">
          <cell r="C103">
            <v>63781.32</v>
          </cell>
        </row>
        <row r="103">
          <cell r="E103">
            <v>63781.32</v>
          </cell>
          <cell r="F103">
            <v>63781.32</v>
          </cell>
        </row>
        <row r="103">
          <cell r="I103" t="str">
            <v>Caterers - 011</v>
          </cell>
        </row>
        <row r="103">
          <cell r="K103">
            <v>150000</v>
          </cell>
        </row>
        <row r="103">
          <cell r="M103">
            <v>150000</v>
          </cell>
          <cell r="N103">
            <v>150000</v>
          </cell>
        </row>
        <row r="104">
          <cell r="A104" t="str">
            <v>Fuel Hyundai Crusher - 039</v>
          </cell>
        </row>
        <row r="104">
          <cell r="C104">
            <v>347853.39</v>
          </cell>
        </row>
        <row r="104">
          <cell r="E104">
            <v>347853.39</v>
          </cell>
          <cell r="F104">
            <v>347853.39</v>
          </cell>
        </row>
        <row r="104">
          <cell r="I104" t="str">
            <v>Provisions/ Groceries - Canteen - 079</v>
          </cell>
        </row>
        <row r="104">
          <cell r="K104">
            <v>106</v>
          </cell>
        </row>
        <row r="104">
          <cell r="M104">
            <v>106</v>
          </cell>
          <cell r="N104">
            <v>106</v>
          </cell>
        </row>
        <row r="105">
          <cell r="A105" t="str">
            <v>Fuel JCB 170 Crusher - 456</v>
          </cell>
        </row>
        <row r="105">
          <cell r="C105">
            <v>8754.41</v>
          </cell>
        </row>
        <row r="105">
          <cell r="E105">
            <v>8754.41</v>
          </cell>
          <cell r="F105">
            <v>8754.41</v>
          </cell>
        </row>
        <row r="105">
          <cell r="I105" t="str">
            <v>Repairs &amp; Maintenance - Canteen - 080</v>
          </cell>
        </row>
        <row r="105">
          <cell r="K105">
            <v>105</v>
          </cell>
        </row>
        <row r="105">
          <cell r="M105">
            <v>105</v>
          </cell>
          <cell r="N105">
            <v>105</v>
          </cell>
        </row>
        <row r="106">
          <cell r="A106" t="str">
            <v>Fuel JCB Crusher - 040</v>
          </cell>
        </row>
        <row r="106">
          <cell r="C106">
            <v>41385.41</v>
          </cell>
        </row>
        <row r="106">
          <cell r="E106">
            <v>41385.41</v>
          </cell>
          <cell r="F106">
            <v>41385.41</v>
          </cell>
        </row>
        <row r="106">
          <cell r="I106" t="str">
            <v>Vegetables - Canteen - 132</v>
          </cell>
        </row>
        <row r="106">
          <cell r="K106">
            <v>105</v>
          </cell>
        </row>
        <row r="106">
          <cell r="M106">
            <v>105</v>
          </cell>
          <cell r="N106">
            <v>105</v>
          </cell>
        </row>
        <row r="107">
          <cell r="A107" t="str">
            <v>Fuel Loader 2 Crusher - 451</v>
          </cell>
        </row>
        <row r="107">
          <cell r="C107">
            <v>299256.01</v>
          </cell>
        </row>
        <row r="107">
          <cell r="E107">
            <v>299256.01</v>
          </cell>
          <cell r="F107">
            <v>299256.01</v>
          </cell>
        </row>
        <row r="107">
          <cell r="I107" t="str">
            <v>Food Expenses - Crusher - 028</v>
          </cell>
        </row>
        <row r="107">
          <cell r="K107">
            <v>230</v>
          </cell>
        </row>
        <row r="107">
          <cell r="M107">
            <v>230</v>
          </cell>
          <cell r="N107">
            <v>230</v>
          </cell>
        </row>
        <row r="108">
          <cell r="A108" t="str">
            <v>Fuel Loader Crusher - 368</v>
          </cell>
        </row>
        <row r="108">
          <cell r="C108">
            <v>345512.89</v>
          </cell>
        </row>
        <row r="108">
          <cell r="E108">
            <v>345512.89</v>
          </cell>
          <cell r="F108">
            <v>345512.89</v>
          </cell>
        </row>
        <row r="108">
          <cell r="I108" t="str">
            <v>Staff Welfare - Crusher - 114</v>
          </cell>
        </row>
        <row r="108">
          <cell r="K108">
            <v>1600</v>
          </cell>
        </row>
        <row r="108">
          <cell r="M108">
            <v>1600</v>
          </cell>
          <cell r="N108">
            <v>1600</v>
          </cell>
        </row>
        <row r="109">
          <cell r="A109" t="str">
            <v>Fuel Pumpset - Crusher - 041</v>
          </cell>
        </row>
        <row r="109">
          <cell r="C109">
            <v>1867.55</v>
          </cell>
        </row>
        <row r="109">
          <cell r="E109">
            <v>1867.55</v>
          </cell>
          <cell r="F109">
            <v>1867.55</v>
          </cell>
        </row>
        <row r="109">
          <cell r="I109" t="str">
            <v>Fuel - Crusher</v>
          </cell>
        </row>
        <row r="109">
          <cell r="K109">
            <v>325549</v>
          </cell>
          <cell r="L109">
            <v>182046</v>
          </cell>
          <cell r="M109">
            <v>143503</v>
          </cell>
        </row>
        <row r="110">
          <cell r="A110" t="str">
            <v>Other Expenses - Crusher</v>
          </cell>
        </row>
        <row r="110">
          <cell r="C110">
            <v>233443.17</v>
          </cell>
        </row>
        <row r="110">
          <cell r="E110">
            <v>233443.17</v>
          </cell>
        </row>
        <row r="110">
          <cell r="I110" t="str">
            <v>Company Bike Petrol - Crusher - 016</v>
          </cell>
        </row>
        <row r="110">
          <cell r="K110">
            <v>1000</v>
          </cell>
        </row>
        <row r="110">
          <cell r="M110">
            <v>1000</v>
          </cell>
          <cell r="N110">
            <v>1000</v>
          </cell>
        </row>
        <row r="111">
          <cell r="A111" t="str">
            <v>Other Crusher Cost</v>
          </cell>
        </row>
        <row r="111">
          <cell r="C111">
            <v>80793.17</v>
          </cell>
        </row>
        <row r="111">
          <cell r="E111">
            <v>80793.17</v>
          </cell>
        </row>
        <row r="111">
          <cell r="I111" t="str">
            <v>Fuel Company Bike - Crusher - 032</v>
          </cell>
        </row>
        <row r="111">
          <cell r="K111">
            <v>750</v>
          </cell>
        </row>
        <row r="111">
          <cell r="M111">
            <v>750</v>
          </cell>
          <cell r="N111">
            <v>750</v>
          </cell>
        </row>
        <row r="112">
          <cell r="A112" t="str">
            <v>Printing &amp; Stationery - Crusher</v>
          </cell>
        </row>
        <row r="112">
          <cell r="C112">
            <v>16195.17</v>
          </cell>
        </row>
        <row r="112">
          <cell r="E112">
            <v>16195.17</v>
          </cell>
        </row>
        <row r="112">
          <cell r="I112" t="str">
            <v>Fuel Hyundai Crusher - 039</v>
          </cell>
        </row>
        <row r="112">
          <cell r="K112">
            <v>323799</v>
          </cell>
          <cell r="L112">
            <v>174373</v>
          </cell>
          <cell r="M112">
            <v>149426</v>
          </cell>
          <cell r="N112">
            <v>149426</v>
          </cell>
        </row>
        <row r="113">
          <cell r="A113" t="str">
            <v>Printing &amp; Stationery - Crusher - 077</v>
          </cell>
        </row>
        <row r="113">
          <cell r="C113">
            <v>16195.17</v>
          </cell>
        </row>
        <row r="113">
          <cell r="E113">
            <v>16195.17</v>
          </cell>
          <cell r="F113">
            <v>16195.17</v>
          </cell>
        </row>
        <row r="113">
          <cell r="I113" t="str">
            <v>Fuel JCB Crusher - 040</v>
          </cell>
        </row>
        <row r="113">
          <cell r="L113">
            <v>7673</v>
          </cell>
          <cell r="M113">
            <v>7673</v>
          </cell>
          <cell r="N113">
            <v>-7673</v>
          </cell>
        </row>
        <row r="114">
          <cell r="A114" t="str">
            <v>Travelling &amp; Conveyance - Crusher</v>
          </cell>
        </row>
        <row r="114">
          <cell r="C114">
            <v>64248</v>
          </cell>
        </row>
        <row r="114">
          <cell r="E114">
            <v>64248</v>
          </cell>
        </row>
        <row r="114">
          <cell r="I114" t="str">
            <v>Intercart - Crusher</v>
          </cell>
        </row>
        <row r="114">
          <cell r="K114">
            <v>12000</v>
          </cell>
        </row>
        <row r="114">
          <cell r="M114">
            <v>12000</v>
          </cell>
        </row>
        <row r="115">
          <cell r="A115" t="str">
            <v>Travelling &amp; Conveyance - Crusher - 130</v>
          </cell>
        </row>
        <row r="115">
          <cell r="C115">
            <v>64248</v>
          </cell>
        </row>
        <row r="115">
          <cell r="E115">
            <v>64248</v>
          </cell>
          <cell r="F115">
            <v>64248</v>
          </cell>
        </row>
        <row r="115">
          <cell r="I115" t="str">
            <v>Transport Charges - Intercart - 425</v>
          </cell>
        </row>
        <row r="115">
          <cell r="K115">
            <v>12000</v>
          </cell>
        </row>
        <row r="115">
          <cell r="M115">
            <v>12000</v>
          </cell>
          <cell r="N115">
            <v>12000</v>
          </cell>
        </row>
        <row r="116">
          <cell r="A116" t="str">
            <v>Packing &amp; Forwarding - 369</v>
          </cell>
        </row>
        <row r="116">
          <cell r="C116">
            <v>350</v>
          </cell>
        </row>
        <row r="116">
          <cell r="E116">
            <v>350</v>
          </cell>
          <cell r="F116">
            <v>350</v>
          </cell>
        </row>
        <row r="116">
          <cell r="I116" t="str">
            <v>Other Expenses - Crusher</v>
          </cell>
        </row>
        <row r="116">
          <cell r="K116">
            <v>486122</v>
          </cell>
          <cell r="L116">
            <v>129600</v>
          </cell>
          <cell r="M116">
            <v>356522</v>
          </cell>
        </row>
        <row r="117">
          <cell r="A117" t="str">
            <v>Crane Hire Charges - Crusher - 019</v>
          </cell>
        </row>
        <row r="117">
          <cell r="C117">
            <v>23050</v>
          </cell>
        </row>
        <row r="117">
          <cell r="E117">
            <v>23050</v>
          </cell>
          <cell r="F117">
            <v>23050</v>
          </cell>
        </row>
        <row r="117">
          <cell r="I117" t="str">
            <v>Other Crusher Cost</v>
          </cell>
        </row>
        <row r="117">
          <cell r="K117">
            <v>486122</v>
          </cell>
        </row>
        <row r="117">
          <cell r="M117">
            <v>486122</v>
          </cell>
        </row>
        <row r="118">
          <cell r="A118" t="str">
            <v>Royalty-Govt Fee</v>
          </cell>
        </row>
        <row r="118">
          <cell r="C118">
            <v>129600</v>
          </cell>
        </row>
        <row r="118">
          <cell r="E118">
            <v>129600</v>
          </cell>
        </row>
        <row r="118">
          <cell r="I118" t="str">
            <v>Monthly Commitment &amp; Testing - Crusher</v>
          </cell>
        </row>
        <row r="118">
          <cell r="K118">
            <v>480000</v>
          </cell>
        </row>
        <row r="118">
          <cell r="M118">
            <v>480000</v>
          </cell>
        </row>
        <row r="119">
          <cell r="A119" t="str">
            <v>Rental Expenses - Crusher</v>
          </cell>
        </row>
        <row r="119">
          <cell r="C119">
            <v>20000</v>
          </cell>
        </row>
        <row r="119">
          <cell r="E119">
            <v>20000</v>
          </cell>
        </row>
        <row r="119">
          <cell r="I119" t="str">
            <v>AD Mines - 265</v>
          </cell>
        </row>
        <row r="119">
          <cell r="K119">
            <v>365000</v>
          </cell>
        </row>
        <row r="119">
          <cell r="M119">
            <v>365000</v>
          </cell>
          <cell r="N119">
            <v>365000</v>
          </cell>
        </row>
        <row r="120">
          <cell r="A120" t="str">
            <v>Hire Charges - (62.5 KVA SP DG Set) - Crusher - 048</v>
          </cell>
        </row>
        <row r="120">
          <cell r="C120">
            <v>20000</v>
          </cell>
        </row>
        <row r="120">
          <cell r="E120">
            <v>20000</v>
          </cell>
          <cell r="F120">
            <v>20000</v>
          </cell>
        </row>
        <row r="120">
          <cell r="I120" t="str">
            <v>Cheyyar Thasildhar -</v>
          </cell>
        </row>
        <row r="120">
          <cell r="K120">
            <v>10000</v>
          </cell>
        </row>
        <row r="120">
          <cell r="M120">
            <v>10000</v>
          </cell>
          <cell r="N120">
            <v>10000</v>
          </cell>
        </row>
        <row r="121">
          <cell r="A121" t="str">
            <v>Repairs &amp; Maintenance - Crusher</v>
          </cell>
        </row>
        <row r="121">
          <cell r="C121">
            <v>3881571.38</v>
          </cell>
          <cell r="D121">
            <v>2881.5</v>
          </cell>
          <cell r="E121">
            <v>3878689.88</v>
          </cell>
        </row>
        <row r="121">
          <cell r="I121" t="str">
            <v>Dy. Thasildhar - Chetpet - 391</v>
          </cell>
        </row>
        <row r="121">
          <cell r="K121">
            <v>3000</v>
          </cell>
        </row>
        <row r="121">
          <cell r="M121">
            <v>3000</v>
          </cell>
          <cell r="N121">
            <v>3000</v>
          </cell>
        </row>
        <row r="122">
          <cell r="A122" t="str">
            <v>Repairs &amp; Maintenance - Excavator</v>
          </cell>
        </row>
        <row r="122">
          <cell r="C122">
            <v>794710.35</v>
          </cell>
          <cell r="D122">
            <v>2881.5</v>
          </cell>
          <cell r="E122">
            <v>791828.85</v>
          </cell>
        </row>
        <row r="122">
          <cell r="I122" t="str">
            <v>EB AE (Reading) - 024</v>
          </cell>
        </row>
        <row r="122">
          <cell r="K122">
            <v>6000</v>
          </cell>
        </row>
        <row r="122">
          <cell r="M122">
            <v>6000</v>
          </cell>
          <cell r="N122">
            <v>6000</v>
          </cell>
        </row>
        <row r="123">
          <cell r="A123" t="str">
            <v>Repairs &amp; Maintenance - CAT - 081</v>
          </cell>
        </row>
        <row r="123">
          <cell r="C123">
            <v>5635.7</v>
          </cell>
        </row>
        <row r="123">
          <cell r="E123">
            <v>5635.7</v>
          </cell>
          <cell r="F123">
            <v>5635.7</v>
          </cell>
        </row>
        <row r="123">
          <cell r="I123" t="str">
            <v>Police - Chetpet - 117</v>
          </cell>
        </row>
        <row r="123">
          <cell r="K123">
            <v>10000</v>
          </cell>
        </row>
        <row r="123">
          <cell r="M123">
            <v>10000</v>
          </cell>
          <cell r="N123">
            <v>10000</v>
          </cell>
        </row>
        <row r="124">
          <cell r="A124" t="str">
            <v>Repairs &amp; Maintenance - CAT 3 - 083</v>
          </cell>
        </row>
        <row r="124">
          <cell r="C124">
            <v>166803.51</v>
          </cell>
        </row>
        <row r="124">
          <cell r="E124">
            <v>166803.51</v>
          </cell>
          <cell r="F124">
            <v>166803.51</v>
          </cell>
        </row>
        <row r="124">
          <cell r="I124" t="str">
            <v>Police - Highway patrol - 389</v>
          </cell>
        </row>
        <row r="124">
          <cell r="K124">
            <v>5000</v>
          </cell>
        </row>
        <row r="124">
          <cell r="M124">
            <v>5000</v>
          </cell>
          <cell r="N124">
            <v>5000</v>
          </cell>
        </row>
        <row r="125">
          <cell r="A125" t="str">
            <v>Repairs &amp; Maintenance - CAT 4 - 452</v>
          </cell>
        </row>
        <row r="125">
          <cell r="C125">
            <v>397420.49</v>
          </cell>
          <cell r="D125">
            <v>2881.5</v>
          </cell>
          <cell r="E125">
            <v>394538.99</v>
          </cell>
          <cell r="F125">
            <v>394538.99</v>
          </cell>
        </row>
        <row r="125">
          <cell r="I125" t="str">
            <v>Police - Perunagar - 386</v>
          </cell>
        </row>
        <row r="125">
          <cell r="K125">
            <v>5000</v>
          </cell>
        </row>
        <row r="125">
          <cell r="M125">
            <v>5000</v>
          </cell>
          <cell r="N125">
            <v>5000</v>
          </cell>
        </row>
        <row r="126">
          <cell r="A126" t="str">
            <v>Repairs &amp; Maintenance - CAT 5 - 460</v>
          </cell>
        </row>
        <row r="126">
          <cell r="C126">
            <v>146627.8</v>
          </cell>
        </row>
        <row r="126">
          <cell r="E126">
            <v>146627.8</v>
          </cell>
          <cell r="F126">
            <v>146627.8</v>
          </cell>
        </row>
        <row r="126">
          <cell r="I126" t="str">
            <v>Police - Perunagar- SI - 387</v>
          </cell>
        </row>
        <row r="126">
          <cell r="K126">
            <v>5000</v>
          </cell>
        </row>
        <row r="126">
          <cell r="M126">
            <v>5000</v>
          </cell>
          <cell r="N126">
            <v>5000</v>
          </cell>
        </row>
        <row r="127">
          <cell r="A127" t="str">
            <v>Repairs &amp; Maintenance - Hyundai - 090</v>
          </cell>
        </row>
        <row r="127">
          <cell r="C127">
            <v>2754.05</v>
          </cell>
        </row>
        <row r="127">
          <cell r="E127">
            <v>2754.05</v>
          </cell>
          <cell r="F127">
            <v>2754.05</v>
          </cell>
        </row>
        <row r="127">
          <cell r="I127" t="str">
            <v>Police - Ponnur - 384</v>
          </cell>
        </row>
        <row r="127">
          <cell r="K127">
            <v>5000</v>
          </cell>
        </row>
        <row r="127">
          <cell r="M127">
            <v>5000</v>
          </cell>
          <cell r="N127">
            <v>5000</v>
          </cell>
        </row>
        <row r="128">
          <cell r="A128" t="str">
            <v>Repairs &amp; Maintenance - JCB - 092</v>
          </cell>
        </row>
        <row r="128">
          <cell r="C128">
            <v>75468.8</v>
          </cell>
        </row>
        <row r="128">
          <cell r="E128">
            <v>75468.8</v>
          </cell>
          <cell r="F128">
            <v>75468.8</v>
          </cell>
        </row>
        <row r="128">
          <cell r="I128" t="str">
            <v>Police - Thesur - 388</v>
          </cell>
        </row>
        <row r="128">
          <cell r="K128">
            <v>5000</v>
          </cell>
        </row>
        <row r="128">
          <cell r="M128">
            <v>5000</v>
          </cell>
          <cell r="N128">
            <v>5000</v>
          </cell>
        </row>
        <row r="129">
          <cell r="A129" t="str">
            <v>Repairs &amp; Maintenance - Loader</v>
          </cell>
        </row>
        <row r="129">
          <cell r="C129">
            <v>73716.95</v>
          </cell>
        </row>
        <row r="129">
          <cell r="E129">
            <v>73716.95</v>
          </cell>
        </row>
        <row r="129">
          <cell r="I129" t="str">
            <v>Police - Uthiramerur - 404</v>
          </cell>
        </row>
        <row r="129">
          <cell r="K129">
            <v>5000</v>
          </cell>
        </row>
        <row r="129">
          <cell r="M129">
            <v>5000</v>
          </cell>
          <cell r="N129">
            <v>5000</v>
          </cell>
        </row>
        <row r="130">
          <cell r="A130" t="str">
            <v>Repairs &amp; Maintenance - SEM Loader - 096</v>
          </cell>
        </row>
        <row r="130">
          <cell r="C130">
            <v>5310.17</v>
          </cell>
        </row>
        <row r="130">
          <cell r="E130">
            <v>5310.17</v>
          </cell>
          <cell r="F130">
            <v>5310.17</v>
          </cell>
        </row>
        <row r="130">
          <cell r="I130" t="str">
            <v>Police - Vadavanakampadi - 385</v>
          </cell>
        </row>
        <row r="130">
          <cell r="K130">
            <v>5000</v>
          </cell>
        </row>
        <row r="130">
          <cell r="M130">
            <v>5000</v>
          </cell>
          <cell r="N130">
            <v>5000</v>
          </cell>
        </row>
        <row r="131">
          <cell r="A131" t="str">
            <v>Repairs &amp; Maintenance - SEM Loader 2 - 454</v>
          </cell>
        </row>
        <row r="131">
          <cell r="C131">
            <v>68406.78</v>
          </cell>
        </row>
        <row r="131">
          <cell r="E131">
            <v>68406.78</v>
          </cell>
          <cell r="F131">
            <v>68406.78</v>
          </cell>
        </row>
        <row r="131">
          <cell r="I131" t="str">
            <v>Police - Vandavasi Inspector - 406</v>
          </cell>
        </row>
        <row r="131">
          <cell r="K131">
            <v>5000</v>
          </cell>
        </row>
        <row r="131">
          <cell r="M131">
            <v>5000</v>
          </cell>
          <cell r="N131">
            <v>5000</v>
          </cell>
        </row>
        <row r="132">
          <cell r="A132" t="str">
            <v>Repairs &amp; Maintenance - Others Crusher</v>
          </cell>
        </row>
        <row r="132">
          <cell r="C132">
            <v>574586.98</v>
          </cell>
        </row>
        <row r="132">
          <cell r="E132">
            <v>574586.98</v>
          </cell>
        </row>
        <row r="132">
          <cell r="I132" t="str">
            <v>Police - Vandavasi SI - 405</v>
          </cell>
        </row>
        <row r="132">
          <cell r="K132">
            <v>2000</v>
          </cell>
        </row>
        <row r="132">
          <cell r="M132">
            <v>2000</v>
          </cell>
          <cell r="N132">
            <v>2000</v>
          </cell>
        </row>
        <row r="133">
          <cell r="A133" t="str">
            <v>Electrical Materials/Work - Others Crusher - 026</v>
          </cell>
        </row>
        <row r="133">
          <cell r="C133">
            <v>545056</v>
          </cell>
        </row>
        <row r="133">
          <cell r="E133">
            <v>545056</v>
          </cell>
          <cell r="F133">
            <v>545056</v>
          </cell>
        </row>
        <row r="133">
          <cell r="I133" t="str">
            <v>Police - Vandavasi South - 383</v>
          </cell>
        </row>
        <row r="133">
          <cell r="K133">
            <v>5000</v>
          </cell>
        </row>
        <row r="133">
          <cell r="M133">
            <v>5000</v>
          </cell>
          <cell r="N133">
            <v>5000</v>
          </cell>
        </row>
        <row r="134">
          <cell r="A134" t="str">
            <v>Maintenance Bolero TN07CT8761 Crusher - 061</v>
          </cell>
        </row>
        <row r="134">
          <cell r="C134">
            <v>12330.98</v>
          </cell>
        </row>
        <row r="134">
          <cell r="E134">
            <v>12330.98</v>
          </cell>
          <cell r="F134">
            <v>12330.98</v>
          </cell>
        </row>
        <row r="134">
          <cell r="I134" t="str">
            <v>Police - Vandavasi town - 104</v>
          </cell>
        </row>
        <row r="134">
          <cell r="K134">
            <v>5000</v>
          </cell>
        </row>
        <row r="134">
          <cell r="M134">
            <v>5000</v>
          </cell>
          <cell r="N134">
            <v>5000</v>
          </cell>
        </row>
        <row r="135">
          <cell r="A135" t="str">
            <v>Repairs &amp; Maintenance - Electrical Spares (Crusher) - 089</v>
          </cell>
        </row>
        <row r="135">
          <cell r="C135">
            <v>17200</v>
          </cell>
        </row>
        <row r="135">
          <cell r="E135">
            <v>17200</v>
          </cell>
          <cell r="F135">
            <v>17200</v>
          </cell>
        </row>
        <row r="135">
          <cell r="I135" t="str">
            <v>RI - Cheyyar -</v>
          </cell>
        </row>
        <row r="135">
          <cell r="K135">
            <v>3000</v>
          </cell>
        </row>
        <row r="135">
          <cell r="M135">
            <v>3000</v>
          </cell>
          <cell r="N135">
            <v>3000</v>
          </cell>
        </row>
        <row r="136">
          <cell r="A136" t="str">
            <v>Repairs &amp; Maintenance - Plant</v>
          </cell>
        </row>
        <row r="136">
          <cell r="C136">
            <v>2438557.1</v>
          </cell>
        </row>
        <row r="136">
          <cell r="E136">
            <v>2438557.1</v>
          </cell>
        </row>
        <row r="136">
          <cell r="I136" t="str">
            <v>RI - Devikapuram - 394</v>
          </cell>
        </row>
        <row r="136">
          <cell r="K136">
            <v>2000</v>
          </cell>
        </row>
        <row r="136">
          <cell r="M136">
            <v>2000</v>
          </cell>
          <cell r="N136">
            <v>2000</v>
          </cell>
        </row>
        <row r="137">
          <cell r="A137" t="str">
            <v>Repairs &amp; Maintenance - Cone - 084</v>
          </cell>
        </row>
        <row r="137">
          <cell r="C137">
            <v>436572</v>
          </cell>
        </row>
        <row r="137">
          <cell r="E137">
            <v>436572</v>
          </cell>
          <cell r="F137">
            <v>436572</v>
          </cell>
        </row>
        <row r="137">
          <cell r="I137" t="str">
            <v>RI / VAO - Veerambakkam - 317</v>
          </cell>
        </row>
        <row r="137">
          <cell r="K137">
            <v>8000</v>
          </cell>
        </row>
        <row r="137">
          <cell r="M137">
            <v>8000</v>
          </cell>
          <cell r="N137">
            <v>8000</v>
          </cell>
        </row>
        <row r="138">
          <cell r="A138" t="str">
            <v>Repairs &amp; Maintenance - Crusher - 086</v>
          </cell>
        </row>
        <row r="138">
          <cell r="C138">
            <v>9606.9</v>
          </cell>
        </row>
        <row r="138">
          <cell r="E138">
            <v>9606.9</v>
          </cell>
          <cell r="F138">
            <v>9606.9</v>
          </cell>
        </row>
        <row r="138">
          <cell r="I138" t="str">
            <v>Special RI Villupuram JD Mines - 510</v>
          </cell>
        </row>
        <row r="138">
          <cell r="K138">
            <v>5000</v>
          </cell>
        </row>
        <row r="138">
          <cell r="M138">
            <v>5000</v>
          </cell>
          <cell r="N138">
            <v>5000</v>
          </cell>
        </row>
        <row r="139">
          <cell r="A139" t="str">
            <v>Repairs &amp; Maintenance - Jaw - 403</v>
          </cell>
        </row>
        <row r="139">
          <cell r="C139">
            <v>402204</v>
          </cell>
        </row>
        <row r="139">
          <cell r="E139">
            <v>402204</v>
          </cell>
          <cell r="F139">
            <v>402204</v>
          </cell>
        </row>
        <row r="139">
          <cell r="I139" t="str">
            <v>Thasildhar - Chetpet - 390</v>
          </cell>
        </row>
        <row r="139">
          <cell r="K139">
            <v>10000</v>
          </cell>
        </row>
        <row r="139">
          <cell r="M139">
            <v>10000</v>
          </cell>
          <cell r="N139">
            <v>10000</v>
          </cell>
        </row>
        <row r="140">
          <cell r="A140" t="str">
            <v>Repairs &amp; Maintenance - Plant Spares - 094</v>
          </cell>
        </row>
        <row r="140">
          <cell r="C140">
            <v>158810</v>
          </cell>
        </row>
        <row r="140">
          <cell r="E140">
            <v>158810</v>
          </cell>
          <cell r="F140">
            <v>158810</v>
          </cell>
        </row>
        <row r="140">
          <cell r="I140" t="str">
            <v>Thasildhar Driver - Chetpet - 392</v>
          </cell>
        </row>
        <row r="140">
          <cell r="K140">
            <v>500</v>
          </cell>
        </row>
        <row r="140">
          <cell r="M140">
            <v>500</v>
          </cell>
          <cell r="N140">
            <v>500</v>
          </cell>
        </row>
        <row r="141">
          <cell r="A141" t="str">
            <v>Repairs &amp; Maintenance - Pro Wash - 448</v>
          </cell>
        </row>
        <row r="141">
          <cell r="C141">
            <v>580662</v>
          </cell>
        </row>
        <row r="141">
          <cell r="E141">
            <v>580662</v>
          </cell>
          <cell r="F141">
            <v>580662</v>
          </cell>
        </row>
        <row r="141">
          <cell r="I141" t="str">
            <v>Thasildhar OA - Chetpet - 393</v>
          </cell>
        </row>
        <row r="141">
          <cell r="K141">
            <v>500</v>
          </cell>
        </row>
        <row r="141">
          <cell r="M141">
            <v>500</v>
          </cell>
          <cell r="N141">
            <v>500</v>
          </cell>
        </row>
        <row r="142">
          <cell r="A142" t="str">
            <v>Repairs &amp; Maintenance - Screen Spares - 095</v>
          </cell>
        </row>
        <row r="142">
          <cell r="C142">
            <v>511702</v>
          </cell>
        </row>
        <row r="142">
          <cell r="E142">
            <v>511702</v>
          </cell>
          <cell r="F142">
            <v>511702</v>
          </cell>
        </row>
        <row r="142">
          <cell r="I142" t="str">
            <v>VAO - Muruganandhal - 395</v>
          </cell>
        </row>
        <row r="142">
          <cell r="K142">
            <v>2000</v>
          </cell>
        </row>
        <row r="142">
          <cell r="M142">
            <v>2000</v>
          </cell>
          <cell r="N142">
            <v>2000</v>
          </cell>
        </row>
        <row r="143">
          <cell r="A143" t="str">
            <v>Repairs &amp; Maintenance - VSI - 102</v>
          </cell>
        </row>
        <row r="143">
          <cell r="C143">
            <v>339000.2</v>
          </cell>
        </row>
        <row r="143">
          <cell r="E143">
            <v>339000.2</v>
          </cell>
          <cell r="F143">
            <v>339000.2</v>
          </cell>
        </row>
        <row r="143">
          <cell r="I143" t="str">
            <v>VAO Soundaryapuram - 509</v>
          </cell>
        </row>
        <row r="143">
          <cell r="K143">
            <v>3000</v>
          </cell>
        </row>
        <row r="143">
          <cell r="M143">
            <v>3000</v>
          </cell>
          <cell r="N143">
            <v>3000</v>
          </cell>
        </row>
        <row r="144">
          <cell r="A144" t="str">
            <v>Tanker Expenses</v>
          </cell>
        </row>
        <row r="144">
          <cell r="C144">
            <v>27528.5</v>
          </cell>
        </row>
        <row r="144">
          <cell r="E144">
            <v>27528.5</v>
          </cell>
        </row>
        <row r="144">
          <cell r="I144" t="str">
            <v>Pooja Expenses - Crusher</v>
          </cell>
        </row>
        <row r="144">
          <cell r="K144">
            <v>3352</v>
          </cell>
        </row>
        <row r="144">
          <cell r="M144">
            <v>3352</v>
          </cell>
        </row>
        <row r="145">
          <cell r="A145" t="str">
            <v>Repairs &amp; Maintenance - Tanker (SMK) - 098</v>
          </cell>
        </row>
        <row r="145">
          <cell r="C145">
            <v>27528.5</v>
          </cell>
        </row>
        <row r="145">
          <cell r="E145">
            <v>27528.5</v>
          </cell>
          <cell r="F145">
            <v>27528.5</v>
          </cell>
        </row>
        <row r="145">
          <cell r="I145" t="str">
            <v>Pooja Expenses - Crusher - 075</v>
          </cell>
        </row>
        <row r="145">
          <cell r="K145">
            <v>3352</v>
          </cell>
        </row>
        <row r="145">
          <cell r="M145">
            <v>3352</v>
          </cell>
          <cell r="N145">
            <v>3352</v>
          </cell>
        </row>
        <row r="146">
          <cell r="A146" t="str">
            <v>Water Expenses</v>
          </cell>
        </row>
        <row r="146">
          <cell r="C146">
            <v>76556.41</v>
          </cell>
        </row>
        <row r="146">
          <cell r="E146">
            <v>76556.41</v>
          </cell>
        </row>
        <row r="146">
          <cell r="I146" t="str">
            <v>Travelling &amp; Conveyance - Crusher</v>
          </cell>
        </row>
        <row r="146">
          <cell r="K146">
            <v>2770</v>
          </cell>
        </row>
        <row r="146">
          <cell r="M146">
            <v>2770</v>
          </cell>
        </row>
        <row r="147">
          <cell r="A147" t="str">
            <v>Fuel - SMK Water Tanker - 358</v>
          </cell>
        </row>
        <row r="147">
          <cell r="C147">
            <v>76556.41</v>
          </cell>
        </row>
        <row r="147">
          <cell r="E147">
            <v>76556.41</v>
          </cell>
          <cell r="F147">
            <v>76556.41</v>
          </cell>
        </row>
        <row r="147">
          <cell r="I147" t="str">
            <v>Travelling &amp; Conveyance - Crusher - 130</v>
          </cell>
        </row>
        <row r="147">
          <cell r="K147">
            <v>2770</v>
          </cell>
        </row>
        <row r="147">
          <cell r="M147">
            <v>2770</v>
          </cell>
          <cell r="N147">
            <v>2770</v>
          </cell>
        </row>
        <row r="148">
          <cell r="A148" t="str">
            <v>Transport Charges - Crusher - 122</v>
          </cell>
        </row>
        <row r="148">
          <cell r="C148">
            <v>37500</v>
          </cell>
        </row>
        <row r="148">
          <cell r="E148">
            <v>37500</v>
          </cell>
          <cell r="F148">
            <v>37500</v>
          </cell>
        </row>
        <row r="148">
          <cell r="I148" t="str">
            <v>Royalty-Govt Fee</v>
          </cell>
        </row>
        <row r="148">
          <cell r="L148">
            <v>129600</v>
          </cell>
          <cell r="M148">
            <v>129600</v>
          </cell>
        </row>
        <row r="149">
          <cell r="A149" t="str">
            <v>Selling &amp; Distribution Expenses</v>
          </cell>
        </row>
        <row r="149">
          <cell r="C149">
            <v>522277.75</v>
          </cell>
        </row>
        <row r="149">
          <cell r="E149">
            <v>522277.75</v>
          </cell>
        </row>
        <row r="149">
          <cell r="I149" t="str">
            <v>Repairs &amp; Maintenance - Crusher</v>
          </cell>
        </row>
        <row r="149">
          <cell r="K149">
            <v>16956</v>
          </cell>
          <cell r="L149">
            <v>616641</v>
          </cell>
          <cell r="M149">
            <v>599685</v>
          </cell>
        </row>
        <row r="150">
          <cell r="A150" t="str">
            <v>Transport Charges - S&amp;D</v>
          </cell>
        </row>
        <row r="150">
          <cell r="C150">
            <v>204977.75</v>
          </cell>
        </row>
        <row r="150">
          <cell r="E150">
            <v>204977.75</v>
          </cell>
        </row>
        <row r="150">
          <cell r="I150" t="str">
            <v>Repairs &amp; Maintenance - Excavator</v>
          </cell>
        </row>
        <row r="150">
          <cell r="K150">
            <v>5911</v>
          </cell>
          <cell r="L150">
            <v>616641</v>
          </cell>
          <cell r="M150">
            <v>610730</v>
          </cell>
        </row>
        <row r="151">
          <cell r="A151" t="str">
            <v>Transport Charges - S&amp;D - 333</v>
          </cell>
        </row>
        <row r="151">
          <cell r="C151">
            <v>204977.75</v>
          </cell>
        </row>
        <row r="151">
          <cell r="E151">
            <v>204977.75</v>
          </cell>
          <cell r="F151">
            <v>204977.75</v>
          </cell>
        </row>
        <row r="151">
          <cell r="I151" t="str">
            <v>Repairs &amp; Maintenance - CAT - 081</v>
          </cell>
        </row>
        <row r="151">
          <cell r="L151">
            <v>5636</v>
          </cell>
          <cell r="M151">
            <v>5636</v>
          </cell>
          <cell r="N151">
            <v>-5636</v>
          </cell>
        </row>
        <row r="152">
          <cell r="A152" t="str">
            <v>Driver Bata - S&amp;D - 330</v>
          </cell>
        </row>
        <row r="152">
          <cell r="C152">
            <v>317300</v>
          </cell>
        </row>
        <row r="152">
          <cell r="E152">
            <v>317300</v>
          </cell>
          <cell r="F152">
            <v>317300</v>
          </cell>
        </row>
        <row r="152">
          <cell r="I152" t="str">
            <v>Repairs &amp; Maintenance - CAT 3 - 083</v>
          </cell>
        </row>
        <row r="152">
          <cell r="L152">
            <v>100502</v>
          </cell>
          <cell r="M152">
            <v>100502</v>
          </cell>
          <cell r="N152">
            <v>-100502</v>
          </cell>
        </row>
        <row r="153">
          <cell r="A153" t="str">
            <v>Transport Control Group</v>
          </cell>
        </row>
        <row r="153">
          <cell r="C153">
            <v>10208767.27</v>
          </cell>
        </row>
        <row r="153">
          <cell r="E153">
            <v>10208767.27</v>
          </cell>
        </row>
        <row r="153">
          <cell r="I153" t="str">
            <v>Repairs &amp; Maintenance - CAT 4 - 452</v>
          </cell>
        </row>
        <row r="153">
          <cell r="K153">
            <v>3535</v>
          </cell>
          <cell r="L153">
            <v>367220</v>
          </cell>
          <cell r="M153">
            <v>363685</v>
          </cell>
          <cell r="N153">
            <v>-363685</v>
          </cell>
        </row>
        <row r="154">
          <cell r="A154" t="str">
            <v>CWC - Eicher 1 - 10 Wheeler</v>
          </cell>
        </row>
        <row r="154">
          <cell r="C154">
            <v>45596.62</v>
          </cell>
        </row>
        <row r="154">
          <cell r="E154">
            <v>45596.62</v>
          </cell>
        </row>
        <row r="154">
          <cell r="I154" t="str">
            <v>Repairs &amp; Maintenance - CAT 5 - 460</v>
          </cell>
        </row>
        <row r="154">
          <cell r="K154">
            <v>1062</v>
          </cell>
          <cell r="L154">
            <v>127379</v>
          </cell>
          <cell r="M154">
            <v>126317</v>
          </cell>
          <cell r="N154">
            <v>-126317</v>
          </cell>
        </row>
        <row r="155">
          <cell r="A155" t="str">
            <v>Fuel - CWC 1 - 235</v>
          </cell>
        </row>
        <row r="155">
          <cell r="C155">
            <v>45596.62</v>
          </cell>
        </row>
        <row r="155">
          <cell r="E155">
            <v>45596.62</v>
          </cell>
          <cell r="F155">
            <v>45596.62</v>
          </cell>
        </row>
        <row r="155">
          <cell r="I155" t="str">
            <v>Repairs &amp; Maintenance - Hyundai - 090</v>
          </cell>
        </row>
        <row r="155">
          <cell r="K155">
            <v>904</v>
          </cell>
          <cell r="L155">
            <v>1834</v>
          </cell>
          <cell r="M155">
            <v>930</v>
          </cell>
          <cell r="N155">
            <v>-930</v>
          </cell>
        </row>
        <row r="156">
          <cell r="A156" t="str">
            <v>CWC - Eicher 2 - 10 wheeler</v>
          </cell>
        </row>
        <row r="156">
          <cell r="C156">
            <v>161887.63</v>
          </cell>
        </row>
        <row r="156">
          <cell r="E156">
            <v>161887.63</v>
          </cell>
        </row>
        <row r="156">
          <cell r="I156" t="str">
            <v>Repairs &amp; Maintenance - JCB - 092</v>
          </cell>
        </row>
        <row r="156">
          <cell r="K156">
            <v>410</v>
          </cell>
          <cell r="L156">
            <v>14070</v>
          </cell>
          <cell r="M156">
            <v>13660</v>
          </cell>
          <cell r="N156">
            <v>-13660</v>
          </cell>
        </row>
        <row r="157">
          <cell r="A157" t="str">
            <v>Fuel - CWC 2 - 240</v>
          </cell>
        </row>
        <row r="157">
          <cell r="C157">
            <v>143918.87</v>
          </cell>
        </row>
        <row r="157">
          <cell r="E157">
            <v>143918.87</v>
          </cell>
          <cell r="F157">
            <v>143918.87</v>
          </cell>
        </row>
        <row r="157">
          <cell r="I157" t="str">
            <v>Repairs &amp; Maintenance - Loader</v>
          </cell>
        </row>
        <row r="157">
          <cell r="K157">
            <v>1815</v>
          </cell>
        </row>
        <row r="157">
          <cell r="M157">
            <v>1815</v>
          </cell>
        </row>
        <row r="158">
          <cell r="A158" t="str">
            <v>Repairs &amp; Maintenance - CWC 2 - 243</v>
          </cell>
        </row>
        <row r="158">
          <cell r="C158">
            <v>17968.76</v>
          </cell>
        </row>
        <row r="158">
          <cell r="E158">
            <v>17968.76</v>
          </cell>
          <cell r="F158">
            <v>17968.76</v>
          </cell>
        </row>
        <row r="158">
          <cell r="I158" t="str">
            <v>Repairs &amp; Maintenance - SEM Loader - 096</v>
          </cell>
        </row>
        <row r="158">
          <cell r="K158">
            <v>799</v>
          </cell>
        </row>
        <row r="158">
          <cell r="M158">
            <v>799</v>
          </cell>
          <cell r="N158">
            <v>799</v>
          </cell>
        </row>
        <row r="159">
          <cell r="A159" t="str">
            <v>Prudential - Bharath Benz - 6 Wheeler</v>
          </cell>
        </row>
        <row r="159">
          <cell r="C159">
            <v>15440.16</v>
          </cell>
        </row>
        <row r="159">
          <cell r="E159">
            <v>15440.16</v>
          </cell>
        </row>
        <row r="159">
          <cell r="I159" t="str">
            <v>Repairs &amp; Maintenance - SEM Loader 2 - 454</v>
          </cell>
        </row>
        <row r="159">
          <cell r="K159">
            <v>1016</v>
          </cell>
        </row>
        <row r="159">
          <cell r="M159">
            <v>1016</v>
          </cell>
          <cell r="N159">
            <v>1016</v>
          </cell>
        </row>
        <row r="160">
          <cell r="A160" t="str">
            <v>Fuel - Prudential 6 Wheeler - 250</v>
          </cell>
        </row>
        <row r="160">
          <cell r="C160">
            <v>15440.16</v>
          </cell>
        </row>
        <row r="160">
          <cell r="E160">
            <v>15440.16</v>
          </cell>
          <cell r="F160">
            <v>15440.16</v>
          </cell>
        </row>
        <row r="160">
          <cell r="I160" t="str">
            <v>Repairs &amp; Maintenance - Others Crusher</v>
          </cell>
        </row>
        <row r="160">
          <cell r="K160">
            <v>1470</v>
          </cell>
        </row>
        <row r="160">
          <cell r="M160">
            <v>1470</v>
          </cell>
        </row>
        <row r="161">
          <cell r="A161" t="str">
            <v>SMKL</v>
          </cell>
        </row>
        <row r="161">
          <cell r="C161">
            <v>2857524.11</v>
          </cell>
        </row>
        <row r="161">
          <cell r="E161">
            <v>2857524.11</v>
          </cell>
        </row>
        <row r="161">
          <cell r="I161" t="str">
            <v>Repairs &amp; Maintenance - Electrical Spares (Crusher) - 089</v>
          </cell>
        </row>
        <row r="161">
          <cell r="K161">
            <v>1470</v>
          </cell>
        </row>
        <row r="161">
          <cell r="M161">
            <v>1470</v>
          </cell>
          <cell r="N161">
            <v>1470</v>
          </cell>
        </row>
        <row r="162">
          <cell r="A162" t="str">
            <v>Fuel-SMKL-506</v>
          </cell>
        </row>
        <row r="162">
          <cell r="C162">
            <v>2857524.11</v>
          </cell>
        </row>
        <row r="162">
          <cell r="E162">
            <v>2857524.11</v>
          </cell>
        </row>
        <row r="162">
          <cell r="I162" t="str">
            <v>Repairs &amp; Maintenance - Plant</v>
          </cell>
        </row>
        <row r="162">
          <cell r="K162">
            <v>7760</v>
          </cell>
        </row>
        <row r="162">
          <cell r="M162">
            <v>7760</v>
          </cell>
        </row>
        <row r="163">
          <cell r="A163" t="str">
            <v>Vehicle Rental Charges-509</v>
          </cell>
        </row>
        <row r="163">
          <cell r="C163">
            <v>7128318.75</v>
          </cell>
        </row>
        <row r="163">
          <cell r="E163">
            <v>7128318.75</v>
          </cell>
        </row>
        <row r="163">
          <cell r="I163" t="str">
            <v>Oxygen Cylinder - Crusher - 070</v>
          </cell>
        </row>
        <row r="163">
          <cell r="K163">
            <v>7200</v>
          </cell>
        </row>
        <row r="163">
          <cell r="M163">
            <v>7200</v>
          </cell>
          <cell r="N163">
            <v>7200</v>
          </cell>
        </row>
        <row r="164">
          <cell r="A164" t="str">
            <v>Profit &amp; Loss A/c</v>
          </cell>
          <cell r="B164">
            <v>197313171.02</v>
          </cell>
        </row>
        <row r="164">
          <cell r="E164">
            <v>197313171.02</v>
          </cell>
        </row>
        <row r="164">
          <cell r="I164" t="str">
            <v>Plant Maintenance - Crusher - 379</v>
          </cell>
        </row>
        <row r="164">
          <cell r="K164">
            <v>560</v>
          </cell>
        </row>
        <row r="164">
          <cell r="M164">
            <v>560</v>
          </cell>
          <cell r="N164">
            <v>560</v>
          </cell>
        </row>
        <row r="165">
          <cell r="A165" t="str">
            <v>Grand Total</v>
          </cell>
          <cell r="B165">
            <v>197313171.02</v>
          </cell>
          <cell r="C165">
            <v>25277176.46</v>
          </cell>
          <cell r="D165">
            <v>69190.59</v>
          </cell>
          <cell r="E165">
            <v>172105185.15</v>
          </cell>
        </row>
        <row r="165">
          <cell r="I165" t="str">
            <v>Slurry Maintenance - Crusher</v>
          </cell>
        </row>
        <row r="165">
          <cell r="K165">
            <v>222418</v>
          </cell>
        </row>
        <row r="165">
          <cell r="M165">
            <v>222418</v>
          </cell>
        </row>
        <row r="166">
          <cell r="I166" t="str">
            <v>Fuel Excavator - Slurry Maintenance - 035</v>
          </cell>
        </row>
        <row r="166">
          <cell r="K166">
            <v>192426</v>
          </cell>
        </row>
        <row r="166">
          <cell r="M166">
            <v>192426</v>
          </cell>
          <cell r="N166">
            <v>192426</v>
          </cell>
        </row>
        <row r="167">
          <cell r="I167" t="str">
            <v>Repairs &amp; Maintenance - Slurry - 097</v>
          </cell>
        </row>
        <row r="167">
          <cell r="K167">
            <v>29992</v>
          </cell>
        </row>
        <row r="167">
          <cell r="M167">
            <v>29992</v>
          </cell>
          <cell r="N167">
            <v>29992</v>
          </cell>
        </row>
        <row r="168">
          <cell r="I168" t="str">
            <v>Water Expenses</v>
          </cell>
        </row>
        <row r="168">
          <cell r="K168">
            <v>9000</v>
          </cell>
        </row>
        <row r="168">
          <cell r="M168">
            <v>9000</v>
          </cell>
        </row>
        <row r="169">
          <cell r="I169" t="str">
            <v>Water Expenses - Crusher - 135</v>
          </cell>
        </row>
        <row r="169">
          <cell r="K169">
            <v>9000</v>
          </cell>
        </row>
        <row r="169">
          <cell r="M169">
            <v>9000</v>
          </cell>
          <cell r="N169">
            <v>9000</v>
          </cell>
        </row>
        <row r="170">
          <cell r="I170" t="str">
            <v>Salary Slurry-537</v>
          </cell>
        </row>
        <row r="170">
          <cell r="K170">
            <v>31378</v>
          </cell>
        </row>
        <row r="170">
          <cell r="M170">
            <v>31378</v>
          </cell>
          <cell r="N170">
            <v>31378</v>
          </cell>
        </row>
        <row r="171">
          <cell r="I171" t="str">
            <v>Transport Charges - Crusher - 122</v>
          </cell>
        </row>
        <row r="171">
          <cell r="K171">
            <v>7766</v>
          </cell>
        </row>
        <row r="171">
          <cell r="M171">
            <v>7766</v>
          </cell>
          <cell r="N171">
            <v>7766</v>
          </cell>
        </row>
        <row r="172">
          <cell r="I172" t="str">
            <v>Quarry Development - Black Quarry</v>
          </cell>
        </row>
        <row r="172">
          <cell r="K172">
            <v>1206441.5</v>
          </cell>
        </row>
        <row r="172">
          <cell r="M172">
            <v>1206441.5</v>
          </cell>
        </row>
        <row r="173">
          <cell r="I173" t="str">
            <v>Compressor Rent -Black Quarry Development - 483</v>
          </cell>
        </row>
        <row r="173">
          <cell r="K173">
            <v>526592</v>
          </cell>
        </row>
        <row r="173">
          <cell r="M173">
            <v>526592</v>
          </cell>
          <cell r="N173">
            <v>526592</v>
          </cell>
        </row>
        <row r="174">
          <cell r="I174" t="str">
            <v>Fuel -Development Black Quarry-502</v>
          </cell>
        </row>
        <row r="174">
          <cell r="K174">
            <v>155055</v>
          </cell>
        </row>
        <row r="174">
          <cell r="M174">
            <v>155055</v>
          </cell>
          <cell r="N174">
            <v>155055</v>
          </cell>
        </row>
        <row r="175">
          <cell r="I175" t="str">
            <v>Q3 Explosives - Black Quarry Development - 482</v>
          </cell>
        </row>
        <row r="175">
          <cell r="K175">
            <v>412648</v>
          </cell>
        </row>
        <row r="175">
          <cell r="M175">
            <v>412648</v>
          </cell>
          <cell r="N175">
            <v>412648</v>
          </cell>
        </row>
        <row r="176">
          <cell r="I176" t="str">
            <v>Q3 Labour Explosives - Quarry Development - 484</v>
          </cell>
        </row>
        <row r="176">
          <cell r="K176">
            <v>17886.5</v>
          </cell>
        </row>
        <row r="176">
          <cell r="M176">
            <v>17886.5</v>
          </cell>
          <cell r="N176">
            <v>17886.5</v>
          </cell>
        </row>
        <row r="177">
          <cell r="I177" t="str">
            <v>Q3 Repair &amp; Maintenance - Quarry Development-534</v>
          </cell>
        </row>
        <row r="177">
          <cell r="K177">
            <v>60239</v>
          </cell>
        </row>
        <row r="177">
          <cell r="M177">
            <v>60239</v>
          </cell>
          <cell r="N177">
            <v>60239</v>
          </cell>
        </row>
        <row r="178">
          <cell r="I178" t="str">
            <v>Q3-Salary-Quarry Development-536</v>
          </cell>
        </row>
        <row r="178">
          <cell r="K178">
            <v>34021</v>
          </cell>
        </row>
        <row r="178">
          <cell r="M178">
            <v>34021</v>
          </cell>
          <cell r="N178">
            <v>34021</v>
          </cell>
        </row>
        <row r="179">
          <cell r="I179" t="str">
            <v>Quarry Development - Veerambakkam</v>
          </cell>
        </row>
        <row r="179">
          <cell r="K179">
            <v>118812</v>
          </cell>
        </row>
        <row r="179">
          <cell r="M179">
            <v>118812</v>
          </cell>
        </row>
        <row r="180">
          <cell r="I180" t="str">
            <v>Compressor Rent - Veerambakkam Quarry Development - 347</v>
          </cell>
        </row>
        <row r="180">
          <cell r="K180">
            <v>62088</v>
          </cell>
        </row>
        <row r="180">
          <cell r="M180">
            <v>62088</v>
          </cell>
          <cell r="N180">
            <v>62088</v>
          </cell>
        </row>
        <row r="181">
          <cell r="I181" t="str">
            <v>Q2 Explosives - Veerambakkam Quarry Development - 350</v>
          </cell>
        </row>
        <row r="181">
          <cell r="K181">
            <v>54274</v>
          </cell>
        </row>
        <row r="181">
          <cell r="M181">
            <v>54274</v>
          </cell>
          <cell r="N181">
            <v>54274</v>
          </cell>
        </row>
        <row r="182">
          <cell r="I182" t="str">
            <v>Q2 Labour Explosives - Quarry Development - 351</v>
          </cell>
        </row>
        <row r="182">
          <cell r="K182">
            <v>2450</v>
          </cell>
        </row>
        <row r="182">
          <cell r="M182">
            <v>2450</v>
          </cell>
          <cell r="N182">
            <v>2450</v>
          </cell>
        </row>
        <row r="183">
          <cell r="I183" t="str">
            <v>Selling &amp; Distribution Expenses</v>
          </cell>
        </row>
        <row r="183">
          <cell r="K183">
            <v>5065892.5</v>
          </cell>
          <cell r="L183">
            <v>1221050.75</v>
          </cell>
          <cell r="M183">
            <v>3844841.75</v>
          </cell>
        </row>
        <row r="184">
          <cell r="I184" t="str">
            <v>Fuel Expenses - S&amp;D</v>
          </cell>
        </row>
        <row r="184">
          <cell r="K184">
            <v>104475</v>
          </cell>
        </row>
        <row r="184">
          <cell r="M184">
            <v>104475</v>
          </cell>
        </row>
        <row r="185">
          <cell r="I185" t="str">
            <v>Fuel Excavator - S&amp;D - 331</v>
          </cell>
        </row>
        <row r="185">
          <cell r="K185">
            <v>104475</v>
          </cell>
        </row>
        <row r="185">
          <cell r="M185">
            <v>104475</v>
          </cell>
          <cell r="N185">
            <v>104475</v>
          </cell>
        </row>
        <row r="186">
          <cell r="I186" t="str">
            <v>Transport Charges - S&amp;D</v>
          </cell>
        </row>
        <row r="186">
          <cell r="K186">
            <v>3390126</v>
          </cell>
          <cell r="L186">
            <v>204977.75</v>
          </cell>
          <cell r="M186">
            <v>3185148.25</v>
          </cell>
        </row>
        <row r="187">
          <cell r="I187" t="str">
            <v>Transport Charges - S&amp;D - 333</v>
          </cell>
        </row>
        <row r="187">
          <cell r="K187">
            <v>3390126</v>
          </cell>
          <cell r="L187">
            <v>204977.75</v>
          </cell>
          <cell r="M187">
            <v>3185148.25</v>
          </cell>
          <cell r="N187">
            <v>3185148.25</v>
          </cell>
        </row>
        <row r="188">
          <cell r="I188" t="str">
            <v>Repair &amp; Maintenance - S&amp;D-535</v>
          </cell>
        </row>
        <row r="188">
          <cell r="K188">
            <v>85815</v>
          </cell>
        </row>
        <row r="188">
          <cell r="M188">
            <v>85815</v>
          </cell>
          <cell r="N188">
            <v>85815</v>
          </cell>
        </row>
        <row r="189">
          <cell r="I189" t="str">
            <v>Salary Marketing- 514</v>
          </cell>
        </row>
        <row r="189">
          <cell r="K189">
            <v>44500</v>
          </cell>
        </row>
        <row r="189">
          <cell r="M189">
            <v>44500</v>
          </cell>
          <cell r="N189">
            <v>44500</v>
          </cell>
        </row>
        <row r="190">
          <cell r="I190" t="str">
            <v>Salary - Sales - 332</v>
          </cell>
        </row>
        <row r="190">
          <cell r="K190">
            <v>170581</v>
          </cell>
        </row>
        <row r="190">
          <cell r="M190">
            <v>170581</v>
          </cell>
          <cell r="N190">
            <v>170581</v>
          </cell>
        </row>
        <row r="191">
          <cell r="I191" t="str">
            <v>Transport Charges - S&amp;D - Trading</v>
          </cell>
        </row>
        <row r="191">
          <cell r="K191">
            <v>1270395.5</v>
          </cell>
          <cell r="L191">
            <v>1016073</v>
          </cell>
          <cell r="M191">
            <v>254322.5</v>
          </cell>
        </row>
        <row r="192">
          <cell r="I192" t="str">
            <v>Transport Control Group</v>
          </cell>
        </row>
        <row r="192">
          <cell r="K192">
            <v>550</v>
          </cell>
        </row>
        <row r="192">
          <cell r="M192">
            <v>550</v>
          </cell>
        </row>
        <row r="193">
          <cell r="I193" t="str">
            <v>CWC - Eicher 1 - 10 Wheeler</v>
          </cell>
        </row>
        <row r="193">
          <cell r="K193">
            <v>550</v>
          </cell>
        </row>
        <row r="193">
          <cell r="M193">
            <v>550</v>
          </cell>
        </row>
        <row r="194">
          <cell r="I194" t="str">
            <v>Repairs &amp; Maintenance - CWC 1 - 238</v>
          </cell>
        </row>
        <row r="194">
          <cell r="K194">
            <v>550</v>
          </cell>
        </row>
        <row r="194">
          <cell r="M194">
            <v>550</v>
          </cell>
          <cell r="N194">
            <v>550</v>
          </cell>
        </row>
        <row r="195">
          <cell r="I195" t="str">
            <v>Vehicle Lease Expenses</v>
          </cell>
        </row>
        <row r="195">
          <cell r="K195">
            <v>176970</v>
          </cell>
        </row>
        <row r="195">
          <cell r="M195">
            <v>176970</v>
          </cell>
        </row>
        <row r="196">
          <cell r="I196" t="str">
            <v>CWC Vehicle Lease</v>
          </cell>
        </row>
        <row r="196">
          <cell r="K196">
            <v>176970</v>
          </cell>
        </row>
        <row r="196">
          <cell r="M196">
            <v>176970</v>
          </cell>
        </row>
        <row r="197">
          <cell r="I197" t="str">
            <v>EMI TN11AS2851 - Lease Hold - 144</v>
          </cell>
        </row>
        <row r="197">
          <cell r="K197">
            <v>88485</v>
          </cell>
        </row>
        <row r="197">
          <cell r="M197">
            <v>88485</v>
          </cell>
          <cell r="N197">
            <v>88485</v>
          </cell>
        </row>
        <row r="198">
          <cell r="I198" t="str">
            <v>EMI TN11AS2874 - Lease Hold - 145</v>
          </cell>
        </row>
        <row r="198">
          <cell r="K198">
            <v>88485</v>
          </cell>
        </row>
        <row r="198">
          <cell r="M198">
            <v>88485</v>
          </cell>
          <cell r="N198">
            <v>88485</v>
          </cell>
        </row>
        <row r="199">
          <cell r="I199" t="str">
            <v>Profit &amp; Loss A/c</v>
          </cell>
          <cell r="J199">
            <v>22070052.09</v>
          </cell>
        </row>
        <row r="199">
          <cell r="M199">
            <v>22070052.09</v>
          </cell>
        </row>
        <row r="200">
          <cell r="I200" t="str">
            <v>Grand Total</v>
          </cell>
          <cell r="J200">
            <v>22070052.09</v>
          </cell>
          <cell r="K200">
            <v>14485201.46</v>
          </cell>
          <cell r="L200">
            <v>4996965.13</v>
          </cell>
          <cell r="M200">
            <v>12581815.76</v>
          </cell>
        </row>
        <row r="203">
          <cell r="F203">
            <v>15065543.01</v>
          </cell>
        </row>
        <row r="203">
          <cell r="N203">
            <v>9370289.83</v>
          </cell>
        </row>
        <row r="204">
          <cell r="F204">
            <v>15092543.01</v>
          </cell>
        </row>
        <row r="204">
          <cell r="N204">
            <v>9363513.83</v>
          </cell>
          <cell r="O204">
            <v>24456056.84</v>
          </cell>
        </row>
        <row r="205">
          <cell r="N205">
            <v>6776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>
        <row r="20">
          <cell r="N20">
            <v>0</v>
          </cell>
          <cell r="O20">
            <v>60</v>
          </cell>
          <cell r="P20">
            <v>4000</v>
          </cell>
          <cell r="Q20">
            <v>3182</v>
          </cell>
          <cell r="R20">
            <v>0</v>
          </cell>
          <cell r="S20">
            <v>0</v>
          </cell>
          <cell r="T20">
            <v>350</v>
          </cell>
          <cell r="U20">
            <v>3700</v>
          </cell>
          <cell r="V20">
            <v>1600</v>
          </cell>
          <cell r="W20">
            <v>6260</v>
          </cell>
          <cell r="X20">
            <v>150</v>
          </cell>
          <cell r="Y20">
            <v>700</v>
          </cell>
          <cell r="Z20">
            <v>5500</v>
          </cell>
        </row>
        <row r="30">
          <cell r="O30">
            <v>-22772.7908557859</v>
          </cell>
          <cell r="P30">
            <v>693432.534879257</v>
          </cell>
          <cell r="Q30">
            <v>383301.602116978</v>
          </cell>
          <cell r="R30">
            <v>-473.994259255489</v>
          </cell>
          <cell r="S30">
            <v>1199878.25048846</v>
          </cell>
          <cell r="T30">
            <v>34779.0797243033</v>
          </cell>
          <cell r="U30">
            <v>2061135.98760783</v>
          </cell>
          <cell r="V30">
            <v>55646.2862696932</v>
          </cell>
          <cell r="W30">
            <v>521686.19586455</v>
          </cell>
          <cell r="X30">
            <v>434738.496553791</v>
          </cell>
          <cell r="Y30">
            <v>347790.797243033</v>
          </cell>
          <cell r="Z30">
            <v>818437.811998702</v>
          </cell>
        </row>
      </sheetData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>
        <row r="18">
          <cell r="J18">
            <v>506.261587128721</v>
          </cell>
        </row>
        <row r="24">
          <cell r="J24">
            <v>233.59987373776</v>
          </cell>
        </row>
      </sheetData>
      <sheetData sheetId="116" refreshError="1"/>
      <sheetData sheetId="117" refreshError="1">
        <row r="24">
          <cell r="J24">
            <v>0</v>
          </cell>
        </row>
      </sheetData>
      <sheetData sheetId="118" refreshError="1"/>
      <sheetData sheetId="119" refreshError="1">
        <row r="20">
          <cell r="L20">
            <v>0</v>
          </cell>
          <cell r="M20">
            <v>0</v>
          </cell>
        </row>
      </sheetData>
      <sheetData sheetId="120" refreshError="1">
        <row r="29">
          <cell r="L29">
            <v>292.284989949118</v>
          </cell>
          <cell r="M29">
            <v>291.800005226341</v>
          </cell>
        </row>
      </sheetData>
      <sheetData sheetId="121" refreshError="1">
        <row r="30">
          <cell r="J30">
            <v>321057.799424892</v>
          </cell>
        </row>
      </sheetData>
      <sheetData sheetId="122" refreshError="1"/>
      <sheetData sheetId="123" refreshError="1">
        <row r="29">
          <cell r="E29">
            <v>62500</v>
          </cell>
        </row>
        <row r="29">
          <cell r="G29">
            <v>6000</v>
          </cell>
        </row>
        <row r="30">
          <cell r="E30">
            <v>216682</v>
          </cell>
        </row>
        <row r="31">
          <cell r="E31">
            <v>50000</v>
          </cell>
        </row>
        <row r="35">
          <cell r="D35">
            <v>17475.21</v>
          </cell>
          <cell r="E35">
            <v>14339109.32</v>
          </cell>
          <cell r="F35">
            <v>20358.14</v>
          </cell>
          <cell r="G35">
            <v>17437363.4</v>
          </cell>
        </row>
        <row r="40">
          <cell r="I40">
            <v>898570.17</v>
          </cell>
        </row>
      </sheetData>
      <sheetData sheetId="124" refreshError="1">
        <row r="31">
          <cell r="E31">
            <v>216682</v>
          </cell>
          <cell r="F31">
            <v>0</v>
          </cell>
          <cell r="G31">
            <v>0</v>
          </cell>
        </row>
        <row r="31">
          <cell r="I31">
            <v>216682</v>
          </cell>
        </row>
        <row r="32">
          <cell r="F32">
            <v>0</v>
          </cell>
          <cell r="G32">
            <v>0</v>
          </cell>
        </row>
        <row r="33">
          <cell r="I33">
            <v>18546.9</v>
          </cell>
        </row>
        <row r="35">
          <cell r="I35">
            <v>228810.73</v>
          </cell>
        </row>
        <row r="36">
          <cell r="D36">
            <v>12998.88</v>
          </cell>
          <cell r="E36">
            <v>10870353.29</v>
          </cell>
          <cell r="F36">
            <v>17099.71</v>
          </cell>
          <cell r="G36">
            <v>13371111.93</v>
          </cell>
        </row>
        <row r="41">
          <cell r="I41">
            <v>679037.96</v>
          </cell>
        </row>
      </sheetData>
      <sheetData sheetId="125" refreshError="1">
        <row r="30">
          <cell r="I30">
            <v>0</v>
          </cell>
        </row>
        <row r="31">
          <cell r="E31">
            <v>216682</v>
          </cell>
        </row>
        <row r="31">
          <cell r="I31">
            <v>216682</v>
          </cell>
        </row>
        <row r="33">
          <cell r="I33">
            <v>7756</v>
          </cell>
        </row>
        <row r="35">
          <cell r="I35">
            <v>353861.975</v>
          </cell>
        </row>
        <row r="36">
          <cell r="D36">
            <v>14118.68</v>
          </cell>
          <cell r="E36">
            <v>11756119.41</v>
          </cell>
          <cell r="F36">
            <v>21489.09</v>
          </cell>
          <cell r="G36">
            <v>16629276.74</v>
          </cell>
        </row>
        <row r="41">
          <cell r="I41">
            <v>831463.837</v>
          </cell>
        </row>
      </sheetData>
      <sheetData sheetId="126" refreshError="1">
        <row r="30">
          <cell r="E30">
            <v>0</v>
          </cell>
        </row>
        <row r="30">
          <cell r="G30">
            <v>0</v>
          </cell>
        </row>
        <row r="30">
          <cell r="I30">
            <v>0</v>
          </cell>
        </row>
        <row r="31">
          <cell r="E31">
            <v>216682</v>
          </cell>
        </row>
        <row r="31">
          <cell r="G31">
            <v>0</v>
          </cell>
        </row>
        <row r="31">
          <cell r="I31">
            <v>216682</v>
          </cell>
        </row>
        <row r="32">
          <cell r="E32">
            <v>0</v>
          </cell>
        </row>
        <row r="32">
          <cell r="G32">
            <v>0</v>
          </cell>
        </row>
        <row r="32">
          <cell r="I32">
            <v>0</v>
          </cell>
        </row>
        <row r="33">
          <cell r="E33">
            <v>908460</v>
          </cell>
        </row>
        <row r="33">
          <cell r="G33">
            <v>0</v>
          </cell>
        </row>
        <row r="33">
          <cell r="I33">
            <v>908460</v>
          </cell>
        </row>
        <row r="34">
          <cell r="E34">
            <v>0</v>
          </cell>
        </row>
        <row r="34">
          <cell r="G34">
            <v>0</v>
          </cell>
        </row>
        <row r="34">
          <cell r="I34">
            <v>0</v>
          </cell>
        </row>
        <row r="35">
          <cell r="I35">
            <v>557255.175</v>
          </cell>
        </row>
        <row r="36">
          <cell r="D36">
            <v>17578.23</v>
          </cell>
          <cell r="E36">
            <v>15552547.9</v>
          </cell>
          <cell r="F36">
            <v>30050.904</v>
          </cell>
          <cell r="G36">
            <v>23325841.68</v>
          </cell>
        </row>
        <row r="41">
          <cell r="I41">
            <v>1166292.084</v>
          </cell>
        </row>
      </sheetData>
      <sheetData sheetId="127" refreshError="1">
        <row r="28">
          <cell r="D28">
            <v>13540.55</v>
          </cell>
          <cell r="E28">
            <v>11266811.66</v>
          </cell>
        </row>
        <row r="28">
          <cell r="G28">
            <v>30023668.16</v>
          </cell>
        </row>
        <row r="31">
          <cell r="D31">
            <v>0</v>
          </cell>
        </row>
        <row r="33">
          <cell r="I33">
            <v>216682</v>
          </cell>
        </row>
        <row r="34">
          <cell r="E34">
            <v>0</v>
          </cell>
        </row>
        <row r="35">
          <cell r="E35">
            <v>0</v>
          </cell>
        </row>
        <row r="36">
          <cell r="I36">
            <v>1119540</v>
          </cell>
        </row>
        <row r="37">
          <cell r="I37">
            <v>14600</v>
          </cell>
        </row>
        <row r="38">
          <cell r="I38">
            <v>504305.125999999</v>
          </cell>
        </row>
        <row r="39">
          <cell r="F39">
            <v>37358.12</v>
          </cell>
        </row>
        <row r="44">
          <cell r="G44">
            <v>1501183.408</v>
          </cell>
        </row>
      </sheetData>
      <sheetData sheetId="128" refreshError="1">
        <row r="29">
          <cell r="D29">
            <v>9903.75</v>
          </cell>
          <cell r="E29">
            <v>7544225</v>
          </cell>
          <cell r="F29">
            <v>47229.141</v>
          </cell>
          <cell r="G29">
            <v>35002174.91</v>
          </cell>
        </row>
        <row r="31">
          <cell r="I31">
            <v>413389.38</v>
          </cell>
        </row>
        <row r="33">
          <cell r="I33">
            <v>39300</v>
          </cell>
        </row>
        <row r="34">
          <cell r="I34">
            <v>137232</v>
          </cell>
        </row>
        <row r="36">
          <cell r="I36">
            <v>5114.7</v>
          </cell>
        </row>
        <row r="38">
          <cell r="I38">
            <v>4300</v>
          </cell>
        </row>
        <row r="39">
          <cell r="I39">
            <v>814894.3943</v>
          </cell>
        </row>
        <row r="45">
          <cell r="G45">
            <v>1751022.216</v>
          </cell>
        </row>
      </sheetData>
      <sheetData sheetId="129" refreshError="1"/>
      <sheetData sheetId="130" refreshError="1"/>
      <sheetData sheetId="131" refreshError="1">
        <row r="7">
          <cell r="J7">
            <v>0</v>
          </cell>
        </row>
        <row r="8">
          <cell r="J8">
            <v>126279.358368997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790591.206353221</v>
          </cell>
        </row>
        <row r="13">
          <cell r="J13">
            <v>150629.485972963</v>
          </cell>
        </row>
        <row r="14">
          <cell r="J14">
            <v>2421596.26202003</v>
          </cell>
        </row>
        <row r="15">
          <cell r="J15">
            <v>478768.386971904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350391.111743787</v>
          </cell>
        </row>
        <row r="22">
          <cell r="J22">
            <v>0</v>
          </cell>
        </row>
        <row r="23">
          <cell r="E23">
            <v>25728.4000025</v>
          </cell>
        </row>
        <row r="24">
          <cell r="E24">
            <v>10009.5816475</v>
          </cell>
        </row>
        <row r="30">
          <cell r="J30">
            <v>30192.7532446699</v>
          </cell>
        </row>
      </sheetData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>
        <row r="29">
          <cell r="U29">
            <v>232.536311321108</v>
          </cell>
          <cell r="V29">
            <v>232.536311321108</v>
          </cell>
        </row>
      </sheetData>
      <sheetData sheetId="141" refreshError="1"/>
      <sheetData sheetId="142" refreshError="1"/>
      <sheetData sheetId="1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B overall-Oct23"/>
      <sheetName val="TB overall-Sep23"/>
      <sheetName val="Trial Balance"/>
      <sheetName val="Trial balance - sep23"/>
      <sheetName val="Trial balance - oct23"/>
      <sheetName val="Traditional P &amp; L"/>
      <sheetName val="Expenses Category"/>
      <sheetName val="Cost sheet - Detailed"/>
      <sheetName val="Cost sheet - summary"/>
      <sheetName val="Cost sheet - summary sep23"/>
      <sheetName val="Cost sheet - summary oct23"/>
      <sheetName val="Cost sheet - Monthly"/>
      <sheetName val="Profit computation-Aug"/>
      <sheetName val="Profit computation-Sep"/>
      <sheetName val="Profit computation-Oct"/>
      <sheetName val="Profit comparison"/>
      <sheetName val="EMI-Aug"/>
      <sheetName val="EMI-Sep"/>
      <sheetName val="EMI-Oct"/>
      <sheetName val="EMI - Monthly"/>
      <sheetName val="Production &amp; stock details"/>
      <sheetName val="Product &amp; stock detail - sep 23"/>
      <sheetName val="Product &amp; stock detail - oct 23"/>
      <sheetName val="Sales-Aug"/>
      <sheetName val="Sales-Sep"/>
      <sheetName val="Sales-Oct"/>
      <sheetName val="Sales monthly"/>
      <sheetName val="Monthly Average price"/>
      <sheetName val="Inward and consumption"/>
      <sheetName val="Other points"/>
      <sheetName val="Sa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1">
          <cell r="C41">
            <v>113.453403321494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">
          <cell r="E9">
            <v>99479.11</v>
          </cell>
        </row>
        <row r="30">
          <cell r="I30">
            <v>207.281654438487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ecklist"/>
      <sheetName val="List of ledgers"/>
      <sheetName val="Summary"/>
      <sheetName val="TB 1-Oct"/>
      <sheetName val="TB 2-Oct"/>
      <sheetName val="Working-Oct"/>
      <sheetName val="TB 1- Nov"/>
      <sheetName val="TB 2- Nov"/>
      <sheetName val="Working -Nov"/>
      <sheetName val="Traditional P &amp; L"/>
      <sheetName val="Expenses Category"/>
      <sheetName val="Cost sheet - Detailed"/>
      <sheetName val="Profit and Loss Ac"/>
      <sheetName val="Sales-Nov"/>
      <sheetName val="PBC Sales"/>
      <sheetName val="Cost sheet summary Oct"/>
      <sheetName val="Cost sheet - Monthly"/>
      <sheetName val="Nov Closing stock"/>
      <sheetName val="Profit computation-Nov"/>
      <sheetName val="Product &amp; stock detail - Nov 23"/>
      <sheetName val="Profit comparison"/>
      <sheetName val="Sales monthly"/>
      <sheetName val="Monthly Average price"/>
      <sheetName val="EMI-Nov"/>
      <sheetName val="EMI - Monthly"/>
      <sheetName val="Annexure - Loan"/>
      <sheetName val="Qty reconciliation"/>
      <sheetName val="Profit and loss account"/>
      <sheetName val="P &amp; L Ac with Capital"/>
      <sheetName val="Annexures"/>
      <sheetName val="Revised production cost V1"/>
      <sheetName val="Costing sheet"/>
      <sheetName val="Closing stock computation V1"/>
      <sheetName val="Gravel income"/>
      <sheetName val="Trading sales"/>
      <sheetName val="Quarry development"/>
      <sheetName val="Closing stock computation"/>
      <sheetName val="SMK Quarry stock"/>
      <sheetName val="GST on Transport"/>
      <sheetName val="Profit and loss account V1"/>
      <sheetName val="Ganesh marg"/>
      <sheetName val="Equipment fuel details"/>
      <sheetName val="Closing stock overall till Feb "/>
      <sheetName val="Vehicle fuel details"/>
      <sheetName val="Closing stock comparision"/>
      <sheetName val="Budget working"/>
      <sheetName val="Avg cost of Closing stock (R)"/>
      <sheetName val="Transport cost comparision"/>
      <sheetName val="Annexure to transport cost comp"/>
      <sheetName val="Sheet1"/>
      <sheetName val="Pft diff Apr to Aug"/>
      <sheetName val="Change in TO"/>
      <sheetName val="Partner salary payab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0">
          <cell r="C30" t="str">
            <v>Rental Income SEM Loader</v>
          </cell>
        </row>
        <row r="31">
          <cell r="C31" t="str">
            <v>Rental Income Breaker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BC Sales-Nov-23"/>
      <sheetName val="PBC Sales-Dec"/>
      <sheetName val="PBC Sales-Feb"/>
      <sheetName val="Dec Closing Stock"/>
      <sheetName val="Nov Closing stock"/>
      <sheetName val="CS Feb-24"/>
      <sheetName val="Trading -GS-Dec"/>
      <sheetName val="Trading -SRMK-Jan"/>
      <sheetName val="Trading -GS -Jan"/>
      <sheetName val="Trading -GS-Feb"/>
      <sheetName val="Trading -SRMK-Mar"/>
      <sheetName val="Trading -GS-Mar"/>
      <sheetName val="Listing"/>
      <sheetName val="TB 1-Oct"/>
      <sheetName val="TB 2-Oct"/>
      <sheetName val="Working-Oct"/>
      <sheetName val="TB-Nov-23"/>
      <sheetName val="TB - Dec-23"/>
      <sheetName val="TB-Jan-24"/>
      <sheetName val="TB-Feb-24"/>
      <sheetName val="Key points"/>
      <sheetName val="Analysis"/>
      <sheetName val="Key points Jul 2024"/>
      <sheetName val="Annexures Jul 2024"/>
      <sheetName val="EB comparison"/>
      <sheetName val="TB-Aug-24 (2)"/>
      <sheetName val="Profit computation-Oct"/>
      <sheetName val="Profit comparison"/>
      <sheetName val="Cost sheet - Detailed"/>
      <sheetName val="Sales monthly"/>
      <sheetName val="Cost sheet - Monthly"/>
      <sheetName val="Monthly Average Price"/>
      <sheetName val="Sheet2"/>
      <sheetName val="Profit computation-Sep"/>
      <sheetName val="Monthly Average price-Oct"/>
      <sheetName val="Product &amp; stock detail - Aug-24"/>
      <sheetName val="Expenses Category"/>
      <sheetName val="Product &amp; stock detail - Sep-24"/>
      <sheetName val="Costing Breakup"/>
      <sheetName val="Quarry Stock-Val"/>
      <sheetName val="Clos Stock op cf val -Oct24"/>
      <sheetName val="Product &amp; stock detail - Oct-24"/>
      <sheetName val="Traditional P &amp; L"/>
      <sheetName val="Input Sheet"/>
      <sheetName val="Adjustments"/>
      <sheetName val="Monthly Average price-Sep"/>
      <sheetName val="TB-Aug-24"/>
      <sheetName val="TB-Jul-24"/>
      <sheetName val="TB-Oct-24"/>
      <sheetName val="TB-Sep-24"/>
      <sheetName val="Working-Sep"/>
      <sheetName val="Working-Aug"/>
      <sheetName val="Working-July"/>
      <sheetName val="Cost sheet - summary-Jul-24"/>
      <sheetName val="Cost sheet - summary-Jun-24"/>
      <sheetName val="Change Summary"/>
      <sheetName val="Cost sheet - summary-Sep-24"/>
      <sheetName val="Cost sheet - summary-Aug-24 "/>
      <sheetName val="Working-Oct-24"/>
      <sheetName val="Traditional P &amp; L - taxdisclose"/>
      <sheetName val="Monthly Average price-Jun"/>
      <sheetName val="Clos Stock op cf val -Sep24"/>
      <sheetName val="Monthly Average price-Aug"/>
      <sheetName val="Profit computation-Jun"/>
      <sheetName val="Monthly Average price-Jul"/>
      <sheetName val="Clos Stock op cf val -Aug24 "/>
      <sheetName val="Profit computation-Aug"/>
      <sheetName val="Clos Stock op cf val -Jul24"/>
      <sheetName val="Profit computation-Jul"/>
      <sheetName val="Costing Breakup-Jun-24"/>
      <sheetName val="Product &amp; stock detail - Jun-24"/>
      <sheetName val="Quarry Stock-Jun-24"/>
      <sheetName val="Product &amp; stock detail-JunINV"/>
      <sheetName val="Clos Stock op cf valuation"/>
      <sheetName val="Salary &amp; EMI working"/>
      <sheetName val="Cost sheet - summary-May-24"/>
      <sheetName val="Profit computation-May"/>
      <sheetName val="TB-May-24"/>
      <sheetName val="Working -May"/>
      <sheetName val="TB-Jun-24"/>
      <sheetName val="TB-Apr-24"/>
      <sheetName val="TB-Mar-24"/>
      <sheetName val="Working -Apr"/>
      <sheetName val="Working -Nov"/>
      <sheetName val="Working -Dec"/>
      <sheetName val="Working -Jan"/>
      <sheetName val="Working -Feb"/>
      <sheetName val="Working -Mar"/>
      <sheetName val="Product &amp; stock detail - Jul-24"/>
      <sheetName val="CHECKS"/>
      <sheetName val="Working-June"/>
      <sheetName val="Sheet1"/>
      <sheetName val="Fixed , Variable"/>
      <sheetName val="Profit and Loss Ac"/>
      <sheetName val="Cost sheet - summary-Nov"/>
      <sheetName val="Cost sheet - summary-Dec"/>
      <sheetName val="Cost sheet - summary-Jan"/>
      <sheetName val="Cost sheet - summary-Feb"/>
      <sheetName val="Cost sheet - summary-Mar"/>
      <sheetName val="Cost sheet - summary-Apr-24"/>
      <sheetName val="Product &amp; stock detail - Nov 23"/>
      <sheetName val="Product &amp; stock detail - Dec 23"/>
      <sheetName val="Product &amp; stock detail - Jan 24"/>
      <sheetName val="Product &amp; stock detail - Feb 24"/>
      <sheetName val="Sales-Nov"/>
      <sheetName val="Sales - Dec"/>
      <sheetName val="Sales - Jan"/>
      <sheetName val="Sales - Feb"/>
      <sheetName val="Sales - Mar"/>
      <sheetName val="Sales - Apr"/>
      <sheetName val="Profit computation-Nov"/>
      <sheetName val="Profit computation-Dec"/>
      <sheetName val="Profit computation-Jan"/>
      <sheetName val="Profit computation-Feb"/>
      <sheetName val="Profit computation-Mar"/>
      <sheetName val="Product &amp; stock detail -Mar 24"/>
      <sheetName val="Profit computation-Apr"/>
      <sheetName val="Monthly Average price-Nov"/>
      <sheetName val="Monthly Average price-Dec"/>
      <sheetName val="Monthly Average price-Jan"/>
      <sheetName val="Monthly Average price-Feb"/>
      <sheetName val="Monthly Average price-Mar"/>
      <sheetName val="Product &amp; stock detail - May-24"/>
      <sheetName val="Product &amp; stock detail -Apr-24"/>
      <sheetName val="Monthly Average price-May"/>
      <sheetName val="Monthly Average price-Apr"/>
      <sheetName val="Cost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>
        <row r="18">
          <cell r="I18">
            <v>11456.9275870174</v>
          </cell>
        </row>
        <row r="18">
          <cell r="K18">
            <v>7423.1</v>
          </cell>
          <cell r="L18">
            <v>5026</v>
          </cell>
          <cell r="M18">
            <v>26567</v>
          </cell>
          <cell r="N18">
            <v>0</v>
          </cell>
        </row>
        <row r="20">
          <cell r="I20">
            <v>19264.1175870174</v>
          </cell>
          <cell r="J20">
            <v>0</v>
          </cell>
          <cell r="K20">
            <v>1500</v>
          </cell>
          <cell r="L20">
            <v>12700</v>
          </cell>
          <cell r="M20">
            <v>13380</v>
          </cell>
          <cell r="N20">
            <v>0</v>
          </cell>
        </row>
      </sheetData>
      <sheetData sheetId="42" refreshError="1"/>
      <sheetData sheetId="43">
        <row r="165">
          <cell r="CW165" t="str">
            <v>FC work - Development expenses</v>
          </cell>
        </row>
      </sheetData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/>
      <sheetData sheetId="63" refreshError="1"/>
      <sheetData sheetId="64"/>
      <sheetData sheetId="65" refreshError="1"/>
      <sheetData sheetId="66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/>
      <sheetData sheetId="106"/>
      <sheetData sheetId="107"/>
      <sheetData sheetId="108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>
        <row r="27">
          <cell r="U27" t="str">
            <v>12mm Black</v>
          </cell>
          <cell r="V27" t="str">
            <v>20mm Black</v>
          </cell>
          <cell r="W27" t="str">
            <v>Filter Chakkai-Black</v>
          </cell>
        </row>
      </sheetData>
      <sheetData sheetId="124"/>
      <sheetData sheetId="125"/>
      <sheetData sheetId="12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BC Sales-Nov-23"/>
      <sheetName val="PBC Sales-Dec"/>
      <sheetName val="PBC Sales-Feb"/>
      <sheetName val="Dec Closing Stock"/>
      <sheetName val="Nov Closing stock"/>
      <sheetName val="CS Feb-24"/>
      <sheetName val="Trading -GS-Dec"/>
      <sheetName val="Trading -SRMK-Jan"/>
      <sheetName val="Trading -GS -Jan"/>
      <sheetName val="Trading -GS-Feb"/>
      <sheetName val="Trading -SRMK-Mar"/>
      <sheetName val="Trading -GS-Mar"/>
      <sheetName val="Listing"/>
      <sheetName val="TB 1-Oct"/>
      <sheetName val="TB 2-Oct"/>
      <sheetName val="Working-Oct"/>
      <sheetName val="TB-Nov-23"/>
      <sheetName val="TB - Dec-23"/>
      <sheetName val="TB-Jan-24"/>
      <sheetName val="TB-Feb-24"/>
      <sheetName val="TB-May-24"/>
      <sheetName val="TB-Apr-24"/>
      <sheetName val="TB-Mar-24"/>
      <sheetName val="Input Sheet"/>
      <sheetName val="Cost sheet - Detailed"/>
      <sheetName val="Working -May"/>
      <sheetName val="Working -Apr"/>
      <sheetName val="Working -Nov"/>
      <sheetName val="Working -Dec"/>
      <sheetName val="Working -Jan"/>
      <sheetName val="Working -Feb"/>
      <sheetName val="Working -Mar"/>
      <sheetName val="Fixed , Variable"/>
      <sheetName val="Expenses Category"/>
      <sheetName val="Profit and Loss Ac"/>
      <sheetName val="Cost sheet - summary-Nov"/>
      <sheetName val="Cost sheet - summary-Dec"/>
      <sheetName val="Cost sheet - summary-Jan"/>
      <sheetName val="Cost sheet - summary-Feb"/>
      <sheetName val="Cost sheet - summary-Mar"/>
      <sheetName val="Cost sheet - summary-Apr-24"/>
      <sheetName val="Cost sheet - Monthly"/>
      <sheetName val="Product &amp; stock detail - Nov 23"/>
      <sheetName val="Product &amp; stock detail - Dec 23"/>
      <sheetName val="Product &amp; stock detail - Jan 24"/>
      <sheetName val="Product &amp; stock detail - Feb 24"/>
      <sheetName val="Sales-Nov"/>
      <sheetName val="Sales - Dec"/>
      <sheetName val="Sales - Jan"/>
      <sheetName val="Sales - Feb"/>
      <sheetName val="Sales - Mar"/>
      <sheetName val="Sales - Apr"/>
      <sheetName val="Sales monthly"/>
      <sheetName val="Profit computation-Nov"/>
      <sheetName val="Profit computation-Dec"/>
      <sheetName val="Profit computation-Jan"/>
      <sheetName val="Profit computation-Feb"/>
      <sheetName val="Profit computation-Mar"/>
      <sheetName val="Product &amp; stock detail -Mar 24"/>
      <sheetName val="Profit computation-Apr"/>
      <sheetName val="Profit comparison"/>
      <sheetName val="Monthly Average price-Nov"/>
      <sheetName val="Monthly Average price-Dec"/>
      <sheetName val="Monthly Average price-Jan"/>
      <sheetName val="Monthly Average price-Feb"/>
      <sheetName val="Monthly Average price-Mar"/>
      <sheetName val="Profit computation-May"/>
      <sheetName val="Cost sheet - summary-May-24"/>
      <sheetName val="Traditional P &amp; L"/>
      <sheetName val="Product &amp; stock detail - May-24"/>
      <sheetName val="Product &amp; stock detail -Apr-24"/>
      <sheetName val="Monthly Average price-May"/>
      <sheetName val="Monthly Average price-Apr"/>
      <sheetName val="Monthly Average Price"/>
      <sheetName val="Cost Wo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2">
          <cell r="FQ12">
            <v>533527.5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Day Book"/>
      <sheetName val="Sheet1 (2)"/>
    </sheetNames>
    <sheetDataSet>
      <sheetData sheetId="0">
        <row r="1">
          <cell r="B1" t="str">
            <v>Ledger</v>
          </cell>
        </row>
        <row r="1">
          <cell r="F1" t="str">
            <v>Amount</v>
          </cell>
        </row>
        <row r="2">
          <cell r="B2" t="str">
            <v>Driver Bata - S&amp;D - 330</v>
          </cell>
        </row>
        <row r="2">
          <cell r="F2">
            <v>9700</v>
          </cell>
        </row>
        <row r="3">
          <cell r="B3" t="str">
            <v>Q1 Food Expenses - Quarry - 276</v>
          </cell>
        </row>
        <row r="3">
          <cell r="F3">
            <v>630</v>
          </cell>
        </row>
        <row r="4">
          <cell r="B4" t="str">
            <v>Q1 Fuel Genset 62.5kva - 543</v>
          </cell>
        </row>
        <row r="4">
          <cell r="F4">
            <v>5603.4</v>
          </cell>
        </row>
        <row r="5">
          <cell r="B5" t="str">
            <v>Q1 Fuel Cat 6 Quarry-572</v>
          </cell>
        </row>
        <row r="5">
          <cell r="F5">
            <v>18678</v>
          </cell>
        </row>
        <row r="6">
          <cell r="B6" t="str">
            <v>Fuel - CWC 2 - 240</v>
          </cell>
        </row>
        <row r="6">
          <cell r="F6">
            <v>8435.92</v>
          </cell>
        </row>
        <row r="7">
          <cell r="B7" t="str">
            <v>Fuel Hyundai Crusher - 039</v>
          </cell>
        </row>
        <row r="7">
          <cell r="F7">
            <v>12867.27</v>
          </cell>
        </row>
        <row r="8">
          <cell r="B8" t="str">
            <v>Q3 Fuel Genset 82.5kva - 547</v>
          </cell>
        </row>
        <row r="8">
          <cell r="F8">
            <v>13074.6</v>
          </cell>
        </row>
        <row r="9">
          <cell r="B9" t="str">
            <v>Q3 Fuel Cat 5 Quarry - 475</v>
          </cell>
        </row>
        <row r="9">
          <cell r="F9">
            <v>22891.76</v>
          </cell>
        </row>
        <row r="10">
          <cell r="B10" t="str">
            <v>Q3 Fuel CAT 3 Quarry - 470</v>
          </cell>
        </row>
        <row r="10">
          <cell r="F10">
            <v>19824.83</v>
          </cell>
        </row>
        <row r="11">
          <cell r="B11" t="str">
            <v>Fuel Loader Crusher - 368</v>
          </cell>
        </row>
        <row r="11">
          <cell r="F11">
            <v>7817.68</v>
          </cell>
        </row>
        <row r="12">
          <cell r="B12" t="str">
            <v>Fuel Loader 2 Crusher - 451</v>
          </cell>
        </row>
        <row r="12">
          <cell r="F12">
            <v>7252.67</v>
          </cell>
        </row>
        <row r="13">
          <cell r="B13" t="str">
            <v>Fuel Bolero TN07CT8761 Crusher - 029</v>
          </cell>
        </row>
        <row r="13">
          <cell r="F13">
            <v>3697.31</v>
          </cell>
        </row>
        <row r="14">
          <cell r="B14" t="str">
            <v>Fuel JCB Crusher - 040</v>
          </cell>
        </row>
        <row r="14">
          <cell r="F14">
            <v>8539.58</v>
          </cell>
        </row>
        <row r="15">
          <cell r="B15" t="str">
            <v>Staff Welfare - Admin - 217</v>
          </cell>
        </row>
        <row r="15">
          <cell r="F15">
            <v>1376</v>
          </cell>
        </row>
        <row r="16">
          <cell r="B16" t="str">
            <v>Staff Welfare - Admin - 217</v>
          </cell>
        </row>
        <row r="16">
          <cell r="F16">
            <v>4684</v>
          </cell>
        </row>
        <row r="17">
          <cell r="B17" t="str">
            <v>Courier Expenses - Admin - 199</v>
          </cell>
        </row>
        <row r="17">
          <cell r="F17">
            <v>280</v>
          </cell>
        </row>
        <row r="18">
          <cell r="B18" t="str">
            <v>Staff Welfare - Admin - 217</v>
          </cell>
        </row>
        <row r="18">
          <cell r="F18">
            <v>85</v>
          </cell>
        </row>
        <row r="19">
          <cell r="B19" t="str">
            <v>Gross Salary - 398</v>
          </cell>
        </row>
        <row r="19">
          <cell r="F19">
            <v>18000</v>
          </cell>
        </row>
        <row r="20">
          <cell r="B20" t="str">
            <v>Gross Salary - 398</v>
          </cell>
        </row>
        <row r="20">
          <cell r="F20">
            <v>2500</v>
          </cell>
        </row>
        <row r="21">
          <cell r="B21" t="str">
            <v>Driver Bata - S&amp;D - 330</v>
          </cell>
        </row>
        <row r="21">
          <cell r="F21">
            <v>10350</v>
          </cell>
        </row>
        <row r="22">
          <cell r="B22" t="str">
            <v>Q1 Food Expenses - Quarry - 276</v>
          </cell>
        </row>
        <row r="22">
          <cell r="F22">
            <v>990</v>
          </cell>
        </row>
        <row r="23">
          <cell r="B23" t="str">
            <v>Q1 Bata - Explosives - 266</v>
          </cell>
        </row>
        <row r="23">
          <cell r="F23">
            <v>100</v>
          </cell>
        </row>
        <row r="24">
          <cell r="B24" t="str">
            <v>Q1 Sathish Bike Petrol - Quarry - 301</v>
          </cell>
        </row>
        <row r="24">
          <cell r="F24">
            <v>500</v>
          </cell>
        </row>
        <row r="25">
          <cell r="B25" t="str">
            <v>Q1 Fuel Cat 6 Quarry-572</v>
          </cell>
        </row>
        <row r="25">
          <cell r="F25">
            <v>18678</v>
          </cell>
        </row>
        <row r="26">
          <cell r="B26" t="str">
            <v>Q1 Fuel Genset 62.5kva - 543</v>
          </cell>
        </row>
        <row r="26">
          <cell r="F26">
            <v>13074.6</v>
          </cell>
        </row>
        <row r="27">
          <cell r="B27" t="str">
            <v>Repairs &amp; Maintenance - Hyundai - 090</v>
          </cell>
        </row>
        <row r="27">
          <cell r="F27">
            <v>3392.45</v>
          </cell>
        </row>
        <row r="28">
          <cell r="B28" t="str">
            <v>Fuel - CWC 1 - 235</v>
          </cell>
        </row>
        <row r="28">
          <cell r="F28">
            <v>8344.4</v>
          </cell>
        </row>
        <row r="29">
          <cell r="B29" t="str">
            <v>Q3 Fuel Genset 82.5kva - 547</v>
          </cell>
        </row>
        <row r="29">
          <cell r="F29">
            <v>13263.25</v>
          </cell>
        </row>
        <row r="30">
          <cell r="B30" t="str">
            <v>Q3 Fuel Cat 5 Quarry - 475</v>
          </cell>
        </row>
        <row r="30">
          <cell r="F30">
            <v>27459.46</v>
          </cell>
        </row>
        <row r="31">
          <cell r="B31" t="str">
            <v>Q3 Fuel CAT 3 Quarry - 470</v>
          </cell>
        </row>
        <row r="31">
          <cell r="F31">
            <v>8560.13</v>
          </cell>
        </row>
        <row r="32">
          <cell r="B32" t="str">
            <v>Fuel Hyundai Crusher - 039</v>
          </cell>
        </row>
        <row r="32">
          <cell r="F32">
            <v>15937.94</v>
          </cell>
        </row>
        <row r="33">
          <cell r="B33" t="str">
            <v>Q3 Fuel Cat 4 Quarry - 515</v>
          </cell>
        </row>
        <row r="33">
          <cell r="F33">
            <v>21487.17</v>
          </cell>
        </row>
        <row r="34">
          <cell r="B34" t="str">
            <v>Fuel Loader 2 Crusher - 451</v>
          </cell>
        </row>
        <row r="34">
          <cell r="F34">
            <v>5323.23</v>
          </cell>
        </row>
        <row r="35">
          <cell r="B35" t="str">
            <v>Fuel Loader Crusher - 368</v>
          </cell>
        </row>
        <row r="35">
          <cell r="F35">
            <v>7496.42</v>
          </cell>
        </row>
        <row r="36">
          <cell r="B36" t="str">
            <v>Fuel Bolero New Crusher - 397</v>
          </cell>
        </row>
        <row r="36">
          <cell r="F36">
            <v>1836.05</v>
          </cell>
        </row>
        <row r="37">
          <cell r="B37" t="str">
            <v>Other Expenses - Admin - 211</v>
          </cell>
        </row>
        <row r="37">
          <cell r="F37">
            <v>1080</v>
          </cell>
        </row>
        <row r="38">
          <cell r="B38" t="str">
            <v>Other Expenses - Admin - 211</v>
          </cell>
        </row>
        <row r="38">
          <cell r="F38">
            <v>450</v>
          </cell>
        </row>
        <row r="39">
          <cell r="B39" t="str">
            <v>Staff Welfare - Admin - 217</v>
          </cell>
        </row>
        <row r="39">
          <cell r="F39">
            <v>100</v>
          </cell>
        </row>
        <row r="40">
          <cell r="B40" t="str">
            <v>Staff Welfare - Admin - 217</v>
          </cell>
        </row>
        <row r="40">
          <cell r="F40">
            <v>750</v>
          </cell>
        </row>
        <row r="41">
          <cell r="B41" t="str">
            <v>Pooja Expenses - Admin - 212</v>
          </cell>
        </row>
        <row r="41">
          <cell r="F41">
            <v>750</v>
          </cell>
        </row>
        <row r="42">
          <cell r="B42" t="str">
            <v>Driver Bata - S&amp;D - 330</v>
          </cell>
        </row>
        <row r="42">
          <cell r="F42">
            <v>13950</v>
          </cell>
        </row>
        <row r="43">
          <cell r="B43" t="str">
            <v>Q1 Food Expenses - Quarry - 276</v>
          </cell>
        </row>
        <row r="43">
          <cell r="F43">
            <v>1050</v>
          </cell>
        </row>
        <row r="44">
          <cell r="B44" t="str">
            <v>Q1 Bata - Explosives - 266</v>
          </cell>
        </row>
        <row r="44">
          <cell r="F44">
            <v>100</v>
          </cell>
        </row>
        <row r="45">
          <cell r="B45" t="str">
            <v>Q1 Maintenanace - Bike - Quarry - 288</v>
          </cell>
        </row>
        <row r="45">
          <cell r="F45">
            <v>150</v>
          </cell>
        </row>
        <row r="46">
          <cell r="B46" t="str">
            <v>Q1 Fuel Cat 6 Quarry-572</v>
          </cell>
        </row>
        <row r="46">
          <cell r="F46">
            <v>18678</v>
          </cell>
        </row>
        <row r="47">
          <cell r="B47" t="str">
            <v>Q1 Fuel Genset 62.5kva - 543</v>
          </cell>
        </row>
        <row r="47">
          <cell r="F47">
            <v>13074.6</v>
          </cell>
        </row>
        <row r="48">
          <cell r="B48" t="str">
            <v>Professional charges - 445</v>
          </cell>
        </row>
        <row r="48">
          <cell r="F48">
            <v>5000</v>
          </cell>
        </row>
        <row r="49">
          <cell r="B49" t="str">
            <v>Fuel - SMK Water Tanker - 358</v>
          </cell>
        </row>
        <row r="49">
          <cell r="F49">
            <v>8251.01</v>
          </cell>
        </row>
        <row r="50">
          <cell r="B50" t="str">
            <v>Fuel - CWC 2 - 240</v>
          </cell>
        </row>
        <row r="50">
          <cell r="F50">
            <v>9148.48</v>
          </cell>
        </row>
        <row r="51">
          <cell r="B51" t="str">
            <v>Q3 Fuel Genset 82.5kva - 547</v>
          </cell>
        </row>
        <row r="51">
          <cell r="F51">
            <v>13261.38</v>
          </cell>
        </row>
        <row r="52">
          <cell r="B52" t="str">
            <v>Q3 Fuel Cat 5 Quarry - 475</v>
          </cell>
        </row>
        <row r="52">
          <cell r="F52">
            <v>21150.03</v>
          </cell>
        </row>
        <row r="53">
          <cell r="B53" t="str">
            <v>Q3 Fuel CAT 3 Quarry - 470</v>
          </cell>
        </row>
        <row r="53">
          <cell r="F53">
            <v>18903.07</v>
          </cell>
        </row>
        <row r="54">
          <cell r="B54" t="str">
            <v>Fuel Loader Crusher - 368</v>
          </cell>
        </row>
        <row r="54">
          <cell r="F54">
            <v>11020.95</v>
          </cell>
        </row>
        <row r="55">
          <cell r="B55" t="str">
            <v>Fuel Hyundai Crusher - 039</v>
          </cell>
        </row>
        <row r="55">
          <cell r="F55">
            <v>11466.42</v>
          </cell>
        </row>
        <row r="56">
          <cell r="B56" t="str">
            <v>Q3 Fuel Cat 4 Quarry - 515</v>
          </cell>
        </row>
        <row r="56">
          <cell r="F56">
            <v>26100.64</v>
          </cell>
        </row>
        <row r="57">
          <cell r="B57" t="str">
            <v>Fuel Loader 2 Crusher - 451</v>
          </cell>
        </row>
        <row r="57">
          <cell r="F57">
            <v>8884.19</v>
          </cell>
        </row>
        <row r="58">
          <cell r="B58" t="str">
            <v>Staff Welfare - Admin - 217</v>
          </cell>
        </row>
        <row r="58">
          <cell r="F58">
            <v>946</v>
          </cell>
        </row>
        <row r="59">
          <cell r="B59" t="str">
            <v>Staff Welfare - Admin - 217</v>
          </cell>
        </row>
        <row r="59">
          <cell r="F59">
            <v>485</v>
          </cell>
        </row>
        <row r="60">
          <cell r="B60" t="str">
            <v>Staff Welfare - Admin - 217</v>
          </cell>
        </row>
        <row r="60">
          <cell r="F60">
            <v>1321</v>
          </cell>
        </row>
        <row r="61">
          <cell r="B61" t="str">
            <v>Staff Welfare - Admin - 217</v>
          </cell>
        </row>
        <row r="61">
          <cell r="F61">
            <v>320</v>
          </cell>
        </row>
        <row r="62">
          <cell r="B62" t="str">
            <v>Travelling &amp; Conveyance - Admin - 226</v>
          </cell>
        </row>
        <row r="62">
          <cell r="F62">
            <v>200</v>
          </cell>
        </row>
        <row r="63">
          <cell r="B63" t="str">
            <v>Courier Expenses - Admin - 199</v>
          </cell>
        </row>
        <row r="63">
          <cell r="F63">
            <v>100</v>
          </cell>
        </row>
        <row r="64">
          <cell r="B64" t="str">
            <v>Vegetables - Canteen - 132</v>
          </cell>
        </row>
        <row r="64">
          <cell r="F64">
            <v>15610</v>
          </cell>
        </row>
        <row r="65">
          <cell r="B65" t="str">
            <v>Chicken - Canteen - 015</v>
          </cell>
        </row>
        <row r="65">
          <cell r="F65">
            <v>4800</v>
          </cell>
        </row>
        <row r="66">
          <cell r="B66" t="str">
            <v>Milk - Canteen - 063</v>
          </cell>
        </row>
        <row r="66">
          <cell r="F66">
            <v>1474</v>
          </cell>
        </row>
        <row r="67">
          <cell r="B67" t="str">
            <v>Driver Bata - S&amp;D - 330</v>
          </cell>
        </row>
        <row r="67">
          <cell r="F67">
            <v>9100</v>
          </cell>
        </row>
        <row r="68">
          <cell r="B68" t="str">
            <v>Q2 EB Charges - Quarry - 308</v>
          </cell>
        </row>
        <row r="68">
          <cell r="F68">
            <v>37534.54</v>
          </cell>
        </row>
        <row r="69">
          <cell r="B69" t="str">
            <v>Q1 Food Expenses - Quarry - 276</v>
          </cell>
        </row>
        <row r="69">
          <cell r="F69">
            <v>760</v>
          </cell>
        </row>
        <row r="70">
          <cell r="B70" t="str">
            <v>Q1 Fuel Cat 6 Quarry-572</v>
          </cell>
        </row>
        <row r="70">
          <cell r="F70">
            <v>18678</v>
          </cell>
        </row>
        <row r="71">
          <cell r="B71" t="str">
            <v>Q1 Fuel Genset 62.5kva - 543</v>
          </cell>
        </row>
        <row r="71">
          <cell r="F71">
            <v>11206.8</v>
          </cell>
        </row>
        <row r="72">
          <cell r="B72" t="str">
            <v>Fuel - CWC 1 - 235</v>
          </cell>
        </row>
        <row r="72">
          <cell r="F72">
            <v>10545.6</v>
          </cell>
        </row>
        <row r="73">
          <cell r="B73" t="str">
            <v>Q3 Fuel Genset 82.5kva - 547</v>
          </cell>
        </row>
        <row r="73">
          <cell r="F73">
            <v>8405.1</v>
          </cell>
        </row>
        <row r="74">
          <cell r="B74" t="str">
            <v>Q3 Fuel Cat 5 Quarry - 475</v>
          </cell>
        </row>
        <row r="74">
          <cell r="F74">
            <v>9358.61</v>
          </cell>
        </row>
        <row r="75">
          <cell r="B75" t="str">
            <v>Q3 Fuel CAT 3 Quarry - 470</v>
          </cell>
        </row>
        <row r="75">
          <cell r="F75">
            <v>17203.37</v>
          </cell>
        </row>
        <row r="76">
          <cell r="B76" t="str">
            <v>Q3 Fuel Cat 4 Quarry - 515</v>
          </cell>
        </row>
        <row r="76">
          <cell r="F76">
            <v>5661.3</v>
          </cell>
        </row>
        <row r="77">
          <cell r="B77" t="str">
            <v>Fuel Loader 2 Crusher - 451</v>
          </cell>
        </row>
        <row r="77">
          <cell r="F77">
            <v>6582.13</v>
          </cell>
        </row>
        <row r="78">
          <cell r="B78" t="str">
            <v>Fuel Loader Crusher - 368</v>
          </cell>
        </row>
        <row r="78">
          <cell r="F78">
            <v>9684.54</v>
          </cell>
        </row>
        <row r="79">
          <cell r="B79" t="str">
            <v>Fuel Bolero New Crusher - 397</v>
          </cell>
        </row>
        <row r="79">
          <cell r="F79">
            <v>1516.65</v>
          </cell>
        </row>
        <row r="80">
          <cell r="B80" t="str">
            <v>Driver Bata - S&amp;D - 330</v>
          </cell>
        </row>
        <row r="80">
          <cell r="F80">
            <v>8550</v>
          </cell>
        </row>
        <row r="81">
          <cell r="B81" t="str">
            <v>Q1 Food Expenses - Quarry - 276</v>
          </cell>
        </row>
        <row r="81">
          <cell r="F81">
            <v>660</v>
          </cell>
        </row>
        <row r="82">
          <cell r="B82" t="str">
            <v>Q1 Fuel Cat 6 Quarry-572</v>
          </cell>
        </row>
        <row r="82">
          <cell r="F82">
            <v>18678</v>
          </cell>
        </row>
        <row r="83">
          <cell r="B83" t="str">
            <v>Professional charges - 445</v>
          </cell>
        </row>
        <row r="83">
          <cell r="F83">
            <v>3750</v>
          </cell>
        </row>
        <row r="84">
          <cell r="B84" t="str">
            <v>Fuel - CWC 2 - 240</v>
          </cell>
        </row>
        <row r="84">
          <cell r="F84">
            <v>12526.4</v>
          </cell>
        </row>
        <row r="85">
          <cell r="B85" t="str">
            <v>Q3 Fuel Genset 82.5kva - 547</v>
          </cell>
        </row>
        <row r="85">
          <cell r="F85">
            <v>7097.64</v>
          </cell>
        </row>
        <row r="86">
          <cell r="B86" t="str">
            <v>Q3 Fuel CAT 3 Quarry - 470</v>
          </cell>
        </row>
        <row r="86">
          <cell r="F86">
            <v>26382.68</v>
          </cell>
        </row>
        <row r="87">
          <cell r="B87" t="str">
            <v>Q3 Fuel Cat 5 Quarry - 475</v>
          </cell>
        </row>
        <row r="87">
          <cell r="F87">
            <v>10992</v>
          </cell>
        </row>
        <row r="88">
          <cell r="B88" t="str">
            <v>Fuel Bolero New Crusher - 397</v>
          </cell>
        </row>
        <row r="88">
          <cell r="F88">
            <v>2657.88</v>
          </cell>
        </row>
        <row r="89">
          <cell r="B89" t="str">
            <v>Q3 Fuel Cat 4 Quarry - 515</v>
          </cell>
        </row>
        <row r="89">
          <cell r="F89">
            <v>12715.05</v>
          </cell>
        </row>
        <row r="90">
          <cell r="B90" t="str">
            <v>Fuel Loader Crusher - 368</v>
          </cell>
        </row>
        <row r="90">
          <cell r="F90">
            <v>11536.47</v>
          </cell>
        </row>
        <row r="91">
          <cell r="B91" t="str">
            <v>Fuel Hyundai Crusher - 039</v>
          </cell>
        </row>
        <row r="91">
          <cell r="F91">
            <v>11194.66</v>
          </cell>
        </row>
        <row r="92">
          <cell r="B92" t="str">
            <v>Fuel Loader 2 Crusher - 451</v>
          </cell>
        </row>
        <row r="92">
          <cell r="F92">
            <v>9339</v>
          </cell>
        </row>
        <row r="93">
          <cell r="B93" t="str">
            <v>Staff Welfare - Admin - 217</v>
          </cell>
        </row>
        <row r="93">
          <cell r="F93">
            <v>389</v>
          </cell>
        </row>
        <row r="94">
          <cell r="B94" t="str">
            <v>Staff Welfare - Admin - 217</v>
          </cell>
        </row>
        <row r="94">
          <cell r="F94">
            <v>320</v>
          </cell>
        </row>
        <row r="95">
          <cell r="B95" t="str">
            <v>Courier Expenses - Admin - 199</v>
          </cell>
        </row>
        <row r="95">
          <cell r="F95">
            <v>90</v>
          </cell>
        </row>
        <row r="96">
          <cell r="B96" t="str">
            <v>Driver Bata - S&amp;D - 330</v>
          </cell>
        </row>
        <row r="96">
          <cell r="F96">
            <v>8150</v>
          </cell>
        </row>
        <row r="97">
          <cell r="B97" t="str">
            <v>Q1 Food Expenses - Quarry - 276</v>
          </cell>
        </row>
        <row r="97">
          <cell r="F97">
            <v>990</v>
          </cell>
        </row>
        <row r="98">
          <cell r="B98" t="str">
            <v>Q1 Bata - Explosives - 266</v>
          </cell>
        </row>
        <row r="98">
          <cell r="F98">
            <v>100</v>
          </cell>
        </row>
        <row r="99">
          <cell r="B99" t="str">
            <v>Q1 Fuel Cat 6 Quarry-572</v>
          </cell>
        </row>
        <row r="99">
          <cell r="F99">
            <v>18678</v>
          </cell>
        </row>
        <row r="100">
          <cell r="B100" t="str">
            <v>Q1 Fuel Genset 62.5kva - 543</v>
          </cell>
        </row>
        <row r="100">
          <cell r="F100">
            <v>13074.6</v>
          </cell>
        </row>
        <row r="101">
          <cell r="B101" t="str">
            <v>Fuel - CWC 1 - 235</v>
          </cell>
        </row>
        <row r="101">
          <cell r="F101">
            <v>12957.86</v>
          </cell>
        </row>
        <row r="102">
          <cell r="B102" t="str">
            <v>Q3 Fuel Genset 82.5kva - 547</v>
          </cell>
        </row>
        <row r="102">
          <cell r="F102">
            <v>13542.48</v>
          </cell>
        </row>
        <row r="103">
          <cell r="B103" t="str">
            <v>Q3 Fuel Cat 4 Quarry - 515</v>
          </cell>
        </row>
        <row r="103">
          <cell r="F103">
            <v>17686.2</v>
          </cell>
        </row>
        <row r="104">
          <cell r="B104" t="str">
            <v>Fuel Hyundai Crusher - 039</v>
          </cell>
        </row>
        <row r="104">
          <cell r="F104">
            <v>4591.05</v>
          </cell>
        </row>
        <row r="105">
          <cell r="B105" t="str">
            <v>Fuel Loader 2 Crusher - 451</v>
          </cell>
        </row>
        <row r="105">
          <cell r="F105">
            <v>5510.01</v>
          </cell>
        </row>
        <row r="106">
          <cell r="B106" t="str">
            <v>Fuel Loader Crusher - 368</v>
          </cell>
        </row>
        <row r="106">
          <cell r="F106">
            <v>6630.69</v>
          </cell>
        </row>
        <row r="107">
          <cell r="B107" t="str">
            <v>Q3 Fuel CAT 3 Quarry - 470</v>
          </cell>
        </row>
        <row r="107">
          <cell r="F107">
            <v>24395.34</v>
          </cell>
        </row>
        <row r="108">
          <cell r="B108" t="str">
            <v>Gas Cylinder - Canteen - 046</v>
          </cell>
        </row>
        <row r="108">
          <cell r="F108">
            <v>19960</v>
          </cell>
        </row>
        <row r="109">
          <cell r="B109" t="str">
            <v>Staff Welfare - Admin - 217</v>
          </cell>
        </row>
        <row r="109">
          <cell r="F109">
            <v>300</v>
          </cell>
        </row>
        <row r="110">
          <cell r="B110" t="str">
            <v>Bank Charges - 195</v>
          </cell>
        </row>
        <row r="110">
          <cell r="F110">
            <v>6</v>
          </cell>
        </row>
        <row r="111">
          <cell r="B111" t="str">
            <v>Bank Charges - 195</v>
          </cell>
        </row>
        <row r="111">
          <cell r="F111">
            <v>6</v>
          </cell>
        </row>
        <row r="112">
          <cell r="B112" t="str">
            <v>Bank Charges - 195</v>
          </cell>
        </row>
        <row r="112">
          <cell r="F112">
            <v>6</v>
          </cell>
        </row>
        <row r="113">
          <cell r="B113" t="str">
            <v>Bank Charges - 195</v>
          </cell>
        </row>
        <row r="113">
          <cell r="F113">
            <v>6</v>
          </cell>
        </row>
        <row r="114">
          <cell r="B114" t="str">
            <v>Bank Charges - 195</v>
          </cell>
        </row>
        <row r="114">
          <cell r="F114">
            <v>6</v>
          </cell>
        </row>
        <row r="115">
          <cell r="B115" t="str">
            <v>Bank Charges - 195</v>
          </cell>
        </row>
        <row r="115">
          <cell r="F115">
            <v>6</v>
          </cell>
        </row>
        <row r="116">
          <cell r="B116" t="str">
            <v>Bank Charges - 195</v>
          </cell>
        </row>
        <row r="116">
          <cell r="F116">
            <v>6</v>
          </cell>
        </row>
        <row r="117">
          <cell r="B117" t="str">
            <v>Driver Bata - S&amp;D - 330</v>
          </cell>
        </row>
        <row r="117">
          <cell r="F117">
            <v>10750</v>
          </cell>
        </row>
        <row r="118">
          <cell r="B118" t="str">
            <v>Q1 Food Expenses - Quarry - 276</v>
          </cell>
        </row>
        <row r="118">
          <cell r="F118">
            <v>1050</v>
          </cell>
        </row>
        <row r="119">
          <cell r="B119" t="str">
            <v>Q1 Bata - Explosives - 266</v>
          </cell>
        </row>
        <row r="119">
          <cell r="F119">
            <v>100</v>
          </cell>
        </row>
        <row r="120">
          <cell r="B120" t="str">
            <v>Q1 Fuel Cat 6 Quarry-572</v>
          </cell>
        </row>
        <row r="120">
          <cell r="F120">
            <v>18678</v>
          </cell>
        </row>
        <row r="121">
          <cell r="B121" t="str">
            <v>Q1 Repair &amp; Maintenance - Quarry - 294</v>
          </cell>
        </row>
        <row r="121">
          <cell r="F121">
            <v>39600</v>
          </cell>
        </row>
        <row r="122">
          <cell r="B122" t="str">
            <v>Repairs &amp; Maintenance - CAT 6-544</v>
          </cell>
        </row>
        <row r="122">
          <cell r="F122">
            <v>15254.28</v>
          </cell>
        </row>
        <row r="123">
          <cell r="B123" t="str">
            <v>Repairs &amp; Maintenance - CAT - 081</v>
          </cell>
        </row>
        <row r="123">
          <cell r="F123">
            <v>22881.42</v>
          </cell>
        </row>
        <row r="124">
          <cell r="B124" t="str">
            <v>Repairs &amp; Maintenance - Conveyor - 085</v>
          </cell>
        </row>
        <row r="124">
          <cell r="F124">
            <v>1483.05</v>
          </cell>
        </row>
        <row r="125">
          <cell r="B125" t="str">
            <v>Fuel - CWC 2 - 240</v>
          </cell>
        </row>
        <row r="125">
          <cell r="F125">
            <v>11972.6</v>
          </cell>
        </row>
        <row r="126">
          <cell r="B126" t="str">
            <v>Fuel Loader Crusher - 368</v>
          </cell>
        </row>
        <row r="126">
          <cell r="F126">
            <v>8124.93</v>
          </cell>
        </row>
        <row r="127">
          <cell r="B127" t="str">
            <v>Q3 Fuel Cat 5 Quarry - 475</v>
          </cell>
        </row>
        <row r="127">
          <cell r="F127">
            <v>29994.07</v>
          </cell>
        </row>
        <row r="128">
          <cell r="B128" t="str">
            <v>Q3 Fuel Genset 82.5kva - 547</v>
          </cell>
        </row>
        <row r="128">
          <cell r="F128">
            <v>9621.04</v>
          </cell>
        </row>
        <row r="129">
          <cell r="B129" t="str">
            <v>Q3 Fuel CAT 3 Quarry - 470</v>
          </cell>
        </row>
        <row r="129">
          <cell r="F129">
            <v>29787.67</v>
          </cell>
        </row>
        <row r="130">
          <cell r="B130" t="str">
            <v>Q3 Fuel Cat 4 Quarry - 515</v>
          </cell>
        </row>
        <row r="130">
          <cell r="F130">
            <v>14714.53</v>
          </cell>
        </row>
        <row r="131">
          <cell r="B131" t="str">
            <v>Fuel Loader 2 Crusher - 451</v>
          </cell>
        </row>
        <row r="131">
          <cell r="F131">
            <v>6537.3</v>
          </cell>
        </row>
        <row r="132">
          <cell r="B132" t="str">
            <v>Fuel Bolero TN07CT8761 Crusher - 029</v>
          </cell>
        </row>
        <row r="132">
          <cell r="F132">
            <v>1989.21</v>
          </cell>
        </row>
        <row r="133">
          <cell r="B133" t="str">
            <v>Fuel Bolero New Crusher - 397</v>
          </cell>
        </row>
        <row r="133">
          <cell r="F133">
            <v>2267.51</v>
          </cell>
        </row>
        <row r="134">
          <cell r="B134" t="str">
            <v>Repairs &amp; Maintenance - Conveyor - 085</v>
          </cell>
        </row>
        <row r="134">
          <cell r="F134">
            <v>9500</v>
          </cell>
        </row>
        <row r="135">
          <cell r="B135" t="str">
            <v>Staff Welfare - Admin - 217</v>
          </cell>
        </row>
        <row r="135">
          <cell r="F135">
            <v>650</v>
          </cell>
        </row>
        <row r="136">
          <cell r="B136" t="str">
            <v>Courier Expenses - Admin - 199</v>
          </cell>
        </row>
        <row r="136">
          <cell r="F136">
            <v>25</v>
          </cell>
        </row>
        <row r="137">
          <cell r="B137" t="str">
            <v>Staff Welfare - Admin - 217</v>
          </cell>
        </row>
        <row r="137">
          <cell r="F137">
            <v>4500</v>
          </cell>
        </row>
        <row r="138">
          <cell r="B138" t="str">
            <v>Driver Bata - S&amp;D - 330</v>
          </cell>
        </row>
        <row r="138">
          <cell r="F138">
            <v>10350</v>
          </cell>
        </row>
        <row r="139">
          <cell r="B139" t="str">
            <v>Q1 Food Expenses - Quarry - 276</v>
          </cell>
        </row>
        <row r="139">
          <cell r="F139">
            <v>1120</v>
          </cell>
        </row>
        <row r="140">
          <cell r="B140" t="str">
            <v>Q1 Bata - Explosives - 266</v>
          </cell>
        </row>
        <row r="140">
          <cell r="F140">
            <v>100</v>
          </cell>
        </row>
        <row r="141">
          <cell r="B141" t="str">
            <v>Q1 Repair &amp; Maintenance - Quarry - 294</v>
          </cell>
        </row>
        <row r="141">
          <cell r="F141">
            <v>2500</v>
          </cell>
        </row>
        <row r="142">
          <cell r="B142" t="str">
            <v>Fuel - CWC 1 - 235</v>
          </cell>
        </row>
        <row r="142">
          <cell r="F142">
            <v>9454.8</v>
          </cell>
        </row>
        <row r="143">
          <cell r="B143" t="str">
            <v>Q3 Fuel CAT 3 Quarry - 470</v>
          </cell>
        </row>
        <row r="143">
          <cell r="F143">
            <v>30445.14</v>
          </cell>
        </row>
        <row r="144">
          <cell r="B144" t="str">
            <v>Q3 Fuel Cat 5 Quarry - 475</v>
          </cell>
        </row>
        <row r="144">
          <cell r="F144">
            <v>19893</v>
          </cell>
        </row>
        <row r="145">
          <cell r="B145" t="str">
            <v>Q3 Fuel Genset 82.5kva - 547</v>
          </cell>
        </row>
        <row r="145">
          <cell r="F145">
            <v>12140.7</v>
          </cell>
        </row>
        <row r="146">
          <cell r="B146" t="str">
            <v>Fuel Hyundai Crusher - 039</v>
          </cell>
        </row>
        <row r="146">
          <cell r="F146">
            <v>13093.28</v>
          </cell>
        </row>
        <row r="147">
          <cell r="B147" t="str">
            <v>Q3 Fuel Cat 4 Quarry - 515</v>
          </cell>
        </row>
        <row r="147">
          <cell r="F147">
            <v>17018.46</v>
          </cell>
        </row>
        <row r="148">
          <cell r="B148" t="str">
            <v>Fuel Loader Crusher - 368</v>
          </cell>
        </row>
        <row r="148">
          <cell r="F148">
            <v>8218.32</v>
          </cell>
        </row>
        <row r="149">
          <cell r="B149" t="str">
            <v>Fuel Loader 2 Crusher - 451</v>
          </cell>
        </row>
        <row r="149">
          <cell r="F149">
            <v>7004.25</v>
          </cell>
        </row>
        <row r="150">
          <cell r="B150" t="str">
            <v>Fuel Bolero New Crusher - 397</v>
          </cell>
        </row>
        <row r="150">
          <cell r="F150">
            <v>1521.32</v>
          </cell>
        </row>
        <row r="151">
          <cell r="B151" t="str">
            <v>Staff Welfare - Admin - 217</v>
          </cell>
        </row>
        <row r="151">
          <cell r="F151">
            <v>165</v>
          </cell>
        </row>
        <row r="152">
          <cell r="B152" t="str">
            <v>Courier Expenses - Admin - 199</v>
          </cell>
        </row>
        <row r="152">
          <cell r="F152">
            <v>180</v>
          </cell>
        </row>
        <row r="153">
          <cell r="B153" t="str">
            <v>Travelling &amp; Conveyance - Admin - 226</v>
          </cell>
        </row>
        <row r="153">
          <cell r="F153">
            <v>220</v>
          </cell>
        </row>
        <row r="154">
          <cell r="B154" t="str">
            <v>Staff Welfare - Admin - 217</v>
          </cell>
        </row>
        <row r="154">
          <cell r="F154">
            <v>1358</v>
          </cell>
        </row>
        <row r="155">
          <cell r="B155" t="str">
            <v>Driver Bata - S&amp;D - 330</v>
          </cell>
        </row>
        <row r="155">
          <cell r="F155">
            <v>8500</v>
          </cell>
        </row>
        <row r="156">
          <cell r="B156" t="str">
            <v>Q1 Food Expenses - Quarry - 276</v>
          </cell>
        </row>
        <row r="156">
          <cell r="F156">
            <v>1120</v>
          </cell>
        </row>
        <row r="157">
          <cell r="B157" t="str">
            <v>Q1 Bata - Explosives - 266</v>
          </cell>
        </row>
        <row r="157">
          <cell r="F157">
            <v>100</v>
          </cell>
        </row>
        <row r="158">
          <cell r="B158" t="str">
            <v>Q1 Sathish Bike Petrol - Quarry - 301</v>
          </cell>
        </row>
        <row r="158">
          <cell r="F158">
            <v>500</v>
          </cell>
        </row>
        <row r="159">
          <cell r="B159" t="str">
            <v>Q3 Fuel Genset 82.5kva - 547</v>
          </cell>
        </row>
        <row r="159">
          <cell r="F159">
            <v>18678</v>
          </cell>
        </row>
        <row r="160">
          <cell r="B160" t="str">
            <v>Q1 Fuel Cat 6 Quarry-572</v>
          </cell>
        </row>
        <row r="160">
          <cell r="F160">
            <v>18678</v>
          </cell>
        </row>
        <row r="161">
          <cell r="B161" t="str">
            <v>Printing &amp; Stationery Expenses-Admin - 213</v>
          </cell>
        </row>
        <row r="161">
          <cell r="F161">
            <v>4495</v>
          </cell>
        </row>
        <row r="162">
          <cell r="B162" t="str">
            <v>Other Expenses - Admin - 211</v>
          </cell>
        </row>
        <row r="162">
          <cell r="F162">
            <v>15000</v>
          </cell>
        </row>
        <row r="163">
          <cell r="B163" t="str">
            <v>Transport Charges - Crusher - 122</v>
          </cell>
        </row>
        <row r="163">
          <cell r="F163">
            <v>11500</v>
          </cell>
        </row>
        <row r="164">
          <cell r="B164" t="str">
            <v>Fuel - CWC 2 - 240</v>
          </cell>
        </row>
        <row r="164">
          <cell r="F164">
            <v>8418.17</v>
          </cell>
        </row>
        <row r="165">
          <cell r="B165" t="str">
            <v>Q3 Fuel Cat 5 Quarry - 475</v>
          </cell>
        </row>
        <row r="165">
          <cell r="F165">
            <v>20311.39</v>
          </cell>
        </row>
        <row r="166">
          <cell r="B166" t="str">
            <v>Q3 Fuel CAT 3 Quarry - 470</v>
          </cell>
        </row>
        <row r="166">
          <cell r="F166">
            <v>30896.21</v>
          </cell>
        </row>
        <row r="167">
          <cell r="B167" t="str">
            <v>Q3 Fuel Genset 82.5kva - 547</v>
          </cell>
        </row>
        <row r="167">
          <cell r="F167">
            <v>10179.51</v>
          </cell>
        </row>
        <row r="168">
          <cell r="B168" t="str">
            <v>Fuel Loader 2 Crusher - 451</v>
          </cell>
        </row>
        <row r="168">
          <cell r="F168">
            <v>16903.59</v>
          </cell>
        </row>
        <row r="169">
          <cell r="B169" t="str">
            <v>Q3 Fuel Cat 4 Quarry - 515</v>
          </cell>
        </row>
        <row r="169">
          <cell r="F169">
            <v>6494.34</v>
          </cell>
        </row>
        <row r="170">
          <cell r="B170" t="str">
            <v>Fuel JCB Crusher - 040</v>
          </cell>
        </row>
        <row r="170">
          <cell r="F170">
            <v>8281.83</v>
          </cell>
        </row>
        <row r="171">
          <cell r="B171" t="str">
            <v>Fuel Loader Crusher - 368</v>
          </cell>
        </row>
        <row r="171">
          <cell r="F171">
            <v>13354.77</v>
          </cell>
        </row>
        <row r="172">
          <cell r="B172" t="str">
            <v>Fuel Hyundai Crusher - 039</v>
          </cell>
        </row>
        <row r="172">
          <cell r="F172">
            <v>11843.72</v>
          </cell>
        </row>
        <row r="173">
          <cell r="B173" t="str">
            <v>Fuel Bolero New Crusher - 397</v>
          </cell>
        </row>
        <row r="173">
          <cell r="F173">
            <v>2166.65</v>
          </cell>
        </row>
        <row r="174">
          <cell r="B174" t="str">
            <v>Fuel Bolero New Crusher - 397</v>
          </cell>
        </row>
        <row r="174">
          <cell r="F174">
            <v>690.15</v>
          </cell>
        </row>
        <row r="175">
          <cell r="B175" t="str">
            <v>Staff Welfare - Admin - 217</v>
          </cell>
        </row>
        <row r="175">
          <cell r="F175">
            <v>120</v>
          </cell>
        </row>
        <row r="176">
          <cell r="B176" t="str">
            <v>Pooja Expenses - Admin - 212</v>
          </cell>
        </row>
        <row r="176">
          <cell r="F176">
            <v>750</v>
          </cell>
        </row>
        <row r="177">
          <cell r="B177" t="str">
            <v>Printing &amp; Stationery Expenses-Admin - 213</v>
          </cell>
        </row>
        <row r="177">
          <cell r="F177">
            <v>100</v>
          </cell>
        </row>
        <row r="178">
          <cell r="B178" t="str">
            <v>Staff Welfare - Admin - 217</v>
          </cell>
        </row>
        <row r="178">
          <cell r="F178">
            <v>160</v>
          </cell>
        </row>
        <row r="179">
          <cell r="B179" t="str">
            <v>Courier Expenses - Admin - 199</v>
          </cell>
        </row>
        <row r="179">
          <cell r="F179">
            <v>50</v>
          </cell>
        </row>
        <row r="180">
          <cell r="B180" t="str">
            <v>Driver Bata - S&amp;D - 330</v>
          </cell>
        </row>
        <row r="180">
          <cell r="F180">
            <v>13900</v>
          </cell>
        </row>
        <row r="181">
          <cell r="B181" t="str">
            <v>Q1 Food Expenses - Quarry - 276</v>
          </cell>
        </row>
        <row r="181">
          <cell r="F181">
            <v>1120</v>
          </cell>
        </row>
        <row r="182">
          <cell r="B182" t="str">
            <v>Q1 Bata - Explosives - 266</v>
          </cell>
        </row>
        <row r="182">
          <cell r="F182">
            <v>100</v>
          </cell>
        </row>
        <row r="183">
          <cell r="B183" t="str">
            <v>Printing &amp; Stationery - Crusher - 077</v>
          </cell>
        </row>
        <row r="183">
          <cell r="F183">
            <v>6208.85</v>
          </cell>
        </row>
        <row r="184">
          <cell r="B184" t="str">
            <v>Repairs &amp; Maintenance - CAT - 081</v>
          </cell>
        </row>
        <row r="184">
          <cell r="F184">
            <v>4571</v>
          </cell>
        </row>
        <row r="185">
          <cell r="B185" t="str">
            <v>Repairs &amp; Maintenance - JCB - 092</v>
          </cell>
        </row>
        <row r="185">
          <cell r="F185">
            <v>762.5</v>
          </cell>
        </row>
        <row r="186">
          <cell r="B186" t="str">
            <v>Repairs &amp; Maintenance - CAT 3 - 083</v>
          </cell>
        </row>
        <row r="186">
          <cell r="F186">
            <v>355.94</v>
          </cell>
        </row>
        <row r="187">
          <cell r="B187" t="str">
            <v>Repairs &amp; Maintenance - CAT - 081</v>
          </cell>
        </row>
        <row r="187">
          <cell r="F187">
            <v>851.56</v>
          </cell>
        </row>
        <row r="188">
          <cell r="B188" t="str">
            <v>Repairs &amp; Maintenance - CAT - 081</v>
          </cell>
        </row>
        <row r="188">
          <cell r="F188">
            <v>63756.45</v>
          </cell>
        </row>
        <row r="189">
          <cell r="B189" t="str">
            <v>N-Floc - Crusher - 363</v>
          </cell>
        </row>
        <row r="189">
          <cell r="F189">
            <v>344200</v>
          </cell>
        </row>
        <row r="190">
          <cell r="B190" t="str">
            <v>Telephone/CUG Expenses- Admin - 223</v>
          </cell>
        </row>
        <row r="190">
          <cell r="F190">
            <v>299</v>
          </cell>
        </row>
        <row r="191">
          <cell r="B191" t="str">
            <v>Repairs &amp; Maintenance - VSI - 102</v>
          </cell>
        </row>
        <row r="191">
          <cell r="F191">
            <v>14580</v>
          </cell>
        </row>
        <row r="192">
          <cell r="B192" t="str">
            <v>Repairs &amp; Maintenance - VSI - 102</v>
          </cell>
        </row>
        <row r="192">
          <cell r="F192">
            <v>126996</v>
          </cell>
        </row>
        <row r="193">
          <cell r="B193" t="str">
            <v>Repairs &amp; Maintenance - Conveyor - 085</v>
          </cell>
        </row>
        <row r="193">
          <cell r="F193">
            <v>33615</v>
          </cell>
        </row>
        <row r="194">
          <cell r="B194" t="str">
            <v>Repairs &amp; Maintenance - Cone - 084</v>
          </cell>
        </row>
        <row r="194">
          <cell r="F194">
            <v>359664</v>
          </cell>
        </row>
        <row r="195">
          <cell r="B195" t="str">
            <v>Repairs &amp; Maintenance - Screen Spares - 095</v>
          </cell>
        </row>
        <row r="195">
          <cell r="F195">
            <v>42228</v>
          </cell>
        </row>
        <row r="196">
          <cell r="B196" t="str">
            <v>Repairs &amp; Maintenance - Pro Wash - 448</v>
          </cell>
        </row>
        <row r="196">
          <cell r="F196">
            <v>389349</v>
          </cell>
        </row>
        <row r="197">
          <cell r="B197" t="str">
            <v>Repairs &amp; Maintenance - Jaw - 403</v>
          </cell>
        </row>
        <row r="197">
          <cell r="F197">
            <v>285175</v>
          </cell>
        </row>
        <row r="198">
          <cell r="B198" t="str">
            <v>Insurance Propel - Crusher - 054</v>
          </cell>
        </row>
        <row r="198">
          <cell r="F198">
            <v>7039</v>
          </cell>
        </row>
        <row r="199">
          <cell r="B199" t="str">
            <v>Insurance Propel - Crusher - 054</v>
          </cell>
        </row>
        <row r="199">
          <cell r="F199">
            <v>65088</v>
          </cell>
        </row>
        <row r="200">
          <cell r="B200" t="str">
            <v>Provisions/ Groceries - Canteen - 079</v>
          </cell>
        </row>
        <row r="200">
          <cell r="F200">
            <v>68693</v>
          </cell>
        </row>
        <row r="201">
          <cell r="B201" t="str">
            <v>Printing &amp; Stationery - Crusher - 077</v>
          </cell>
        </row>
        <row r="201">
          <cell r="F201">
            <v>3250</v>
          </cell>
        </row>
        <row r="202">
          <cell r="B202" t="str">
            <v>Fuel - CWC 1 - 235</v>
          </cell>
        </row>
        <row r="202">
          <cell r="F202">
            <v>8405.1</v>
          </cell>
        </row>
        <row r="203">
          <cell r="B203" t="str">
            <v>Q3 Fuel CAT 3 Quarry - 470</v>
          </cell>
        </row>
        <row r="203">
          <cell r="F203">
            <v>28380.29</v>
          </cell>
        </row>
        <row r="204">
          <cell r="B204" t="str">
            <v>Q3 Fuel Cat 5 Quarry - 475</v>
          </cell>
        </row>
        <row r="204">
          <cell r="F204">
            <v>26629.22</v>
          </cell>
        </row>
        <row r="205">
          <cell r="B205" t="str">
            <v>Q3 Fuel Cat 4 Quarry - 515</v>
          </cell>
        </row>
        <row r="205">
          <cell r="F205">
            <v>15911.79</v>
          </cell>
        </row>
        <row r="206">
          <cell r="B206" t="str">
            <v>Q3 Fuel Genset 82.5kva - 547</v>
          </cell>
        </row>
        <row r="206">
          <cell r="F206">
            <v>11206.8</v>
          </cell>
        </row>
        <row r="207">
          <cell r="B207" t="str">
            <v>Fuel Loader 2 Crusher - 451</v>
          </cell>
        </row>
        <row r="207">
          <cell r="F207">
            <v>10459.68</v>
          </cell>
        </row>
        <row r="208">
          <cell r="B208" t="str">
            <v>Fuel Loader Crusher - 368</v>
          </cell>
        </row>
        <row r="208">
          <cell r="F208">
            <v>9805.95</v>
          </cell>
        </row>
        <row r="209">
          <cell r="B209" t="str">
            <v>Fuel Hyundai Crusher - 039</v>
          </cell>
        </row>
        <row r="209">
          <cell r="F209">
            <v>10565.21</v>
          </cell>
        </row>
        <row r="210">
          <cell r="B210" t="str">
            <v>Business Promotion - Admin - 196</v>
          </cell>
        </row>
        <row r="210">
          <cell r="F210">
            <v>2650</v>
          </cell>
        </row>
        <row r="211">
          <cell r="B211" t="str">
            <v>Staff Welfare - Admin - 217</v>
          </cell>
        </row>
        <row r="211">
          <cell r="F211">
            <v>346</v>
          </cell>
        </row>
        <row r="212">
          <cell r="B212" t="str">
            <v>Staff Welfare - Admin - 217</v>
          </cell>
        </row>
        <row r="212">
          <cell r="F212">
            <v>220</v>
          </cell>
        </row>
        <row r="213">
          <cell r="B213" t="str">
            <v>Courier Expenses - Admin - 199</v>
          </cell>
        </row>
        <row r="213">
          <cell r="F213">
            <v>90</v>
          </cell>
        </row>
        <row r="214">
          <cell r="B214" t="str">
            <v>Vegetables - Canteen - 132</v>
          </cell>
        </row>
        <row r="214">
          <cell r="F214">
            <v>7660</v>
          </cell>
        </row>
        <row r="215">
          <cell r="B215" t="str">
            <v>Chicken - Canteen - 015</v>
          </cell>
        </row>
        <row r="215">
          <cell r="F215">
            <v>5460</v>
          </cell>
        </row>
        <row r="216">
          <cell r="B216" t="str">
            <v>Milk - Canteen - 063</v>
          </cell>
        </row>
        <row r="216">
          <cell r="F216">
            <v>2820</v>
          </cell>
        </row>
        <row r="217">
          <cell r="B217" t="str">
            <v>Driver Bata - S&amp;D - 330</v>
          </cell>
        </row>
        <row r="217">
          <cell r="F217">
            <v>9700</v>
          </cell>
        </row>
        <row r="218">
          <cell r="B218" t="str">
            <v>Q1 Food Expenses - Quarry - 276</v>
          </cell>
        </row>
        <row r="218">
          <cell r="F218">
            <v>840</v>
          </cell>
        </row>
        <row r="219">
          <cell r="B219" t="str">
            <v>Q1 Fuel Cat 6 Quarry-572</v>
          </cell>
        </row>
        <row r="219">
          <cell r="F219">
            <v>18678</v>
          </cell>
        </row>
        <row r="220">
          <cell r="B220" t="str">
            <v>Fuel - CWC 2 - 240</v>
          </cell>
        </row>
        <row r="220">
          <cell r="F220">
            <v>8924.35</v>
          </cell>
        </row>
        <row r="221">
          <cell r="B221" t="str">
            <v>Q3 Fuel CAT 3 Quarry - 470</v>
          </cell>
        </row>
        <row r="221">
          <cell r="F221">
            <v>14861.15</v>
          </cell>
        </row>
        <row r="222">
          <cell r="B222" t="str">
            <v>Q3 Fuel Cat 5 Quarry - 475</v>
          </cell>
        </row>
        <row r="222">
          <cell r="F222">
            <v>17525.57</v>
          </cell>
        </row>
        <row r="223">
          <cell r="B223" t="str">
            <v>Q3 Fuel Cat 4 Quarry - 515</v>
          </cell>
        </row>
        <row r="223">
          <cell r="F223">
            <v>15554.1</v>
          </cell>
        </row>
        <row r="224">
          <cell r="B224" t="str">
            <v>Fuel Hyundai Crusher - 039</v>
          </cell>
        </row>
        <row r="224">
          <cell r="F224">
            <v>12505.85</v>
          </cell>
        </row>
        <row r="225">
          <cell r="B225" t="str">
            <v>Fuel - Prudential 6 Wheeler - 250</v>
          </cell>
        </row>
        <row r="225">
          <cell r="F225">
            <v>7534.71</v>
          </cell>
        </row>
        <row r="226">
          <cell r="B226" t="str">
            <v>Fuel Loader 2 Crusher - 451</v>
          </cell>
        </row>
        <row r="226">
          <cell r="F226">
            <v>11206.8</v>
          </cell>
        </row>
        <row r="227">
          <cell r="B227" t="str">
            <v>Fuel Loader Crusher - 368</v>
          </cell>
        </row>
        <row r="227">
          <cell r="F227">
            <v>11245.09</v>
          </cell>
        </row>
        <row r="228">
          <cell r="B228" t="str">
            <v>Fuel Bolero New Crusher - 397</v>
          </cell>
        </row>
        <row r="228">
          <cell r="F228">
            <v>1714.64</v>
          </cell>
        </row>
        <row r="229">
          <cell r="B229" t="str">
            <v>Fuel Bolero TN07CT8761 Crusher - 029</v>
          </cell>
        </row>
        <row r="229">
          <cell r="F229">
            <v>3203.28</v>
          </cell>
        </row>
        <row r="230">
          <cell r="B230" t="str">
            <v>Driver Bata - S&amp;D - 330</v>
          </cell>
        </row>
        <row r="230">
          <cell r="F230">
            <v>3200</v>
          </cell>
        </row>
        <row r="231">
          <cell r="B231" t="str">
            <v>Q1 Food Expenses - Quarry - 276</v>
          </cell>
        </row>
        <row r="231">
          <cell r="F231">
            <v>660</v>
          </cell>
        </row>
        <row r="232">
          <cell r="B232" t="str">
            <v>Fuel - CWC 1 - 235</v>
          </cell>
        </row>
        <row r="232">
          <cell r="F232">
            <v>9432.39</v>
          </cell>
        </row>
        <row r="233">
          <cell r="B233" t="str">
            <v>Fuel Hyundai Crusher - 039</v>
          </cell>
        </row>
        <row r="233">
          <cell r="F233">
            <v>14245.71</v>
          </cell>
        </row>
        <row r="234">
          <cell r="B234" t="str">
            <v>Q3 Fuel CAT 3 Quarry - 470</v>
          </cell>
        </row>
        <row r="234">
          <cell r="F234">
            <v>11084.46</v>
          </cell>
        </row>
        <row r="235">
          <cell r="B235" t="str">
            <v>Q3 Fuel Cat 5 Quarry - 475</v>
          </cell>
        </row>
        <row r="235">
          <cell r="F235">
            <v>18771.39</v>
          </cell>
        </row>
        <row r="236">
          <cell r="B236" t="str">
            <v>Fuel Loader Crusher - 368</v>
          </cell>
        </row>
        <row r="236">
          <cell r="F236">
            <v>16954.02</v>
          </cell>
        </row>
        <row r="237">
          <cell r="B237" t="str">
            <v>Fuel Loader 2 Crusher - 451</v>
          </cell>
        </row>
        <row r="237">
          <cell r="F237">
            <v>11953.92</v>
          </cell>
        </row>
        <row r="238">
          <cell r="B238" t="str">
            <v>Q3 Fuel Cat 4 Quarry - 515</v>
          </cell>
        </row>
        <row r="238">
          <cell r="F238">
            <v>12390.05</v>
          </cell>
        </row>
        <row r="239">
          <cell r="B239" t="str">
            <v>Other Expenses - Admin - 211</v>
          </cell>
        </row>
        <row r="239">
          <cell r="F239">
            <v>250</v>
          </cell>
        </row>
        <row r="240">
          <cell r="B240" t="str">
            <v>Courier Expenses - Admin - 199</v>
          </cell>
        </row>
        <row r="240">
          <cell r="F240">
            <v>50</v>
          </cell>
        </row>
        <row r="241">
          <cell r="B241" t="str">
            <v>Repairs &amp; Maintenance - CAT 4 - 452</v>
          </cell>
        </row>
        <row r="241">
          <cell r="F241">
            <v>3150</v>
          </cell>
        </row>
        <row r="242">
          <cell r="B242" t="str">
            <v>Repairs &amp; Maintenance - CAT 3 - 083</v>
          </cell>
        </row>
        <row r="242">
          <cell r="F242">
            <v>3150</v>
          </cell>
        </row>
        <row r="243">
          <cell r="B243" t="str">
            <v>Driver Bata - S&amp;D - 330</v>
          </cell>
        </row>
        <row r="243">
          <cell r="F243">
            <v>8200</v>
          </cell>
        </row>
        <row r="244">
          <cell r="B244" t="str">
            <v>Q1 Food Expenses - Quarry - 276</v>
          </cell>
        </row>
        <row r="244">
          <cell r="F244">
            <v>290</v>
          </cell>
        </row>
        <row r="245">
          <cell r="B245" t="str">
            <v>Repairs &amp; Maintenance - CAT 6-544</v>
          </cell>
        </row>
        <row r="245">
          <cell r="F245">
            <v>490</v>
          </cell>
        </row>
        <row r="246">
          <cell r="B246" t="str">
            <v>Fuel - CWC 2 - 240</v>
          </cell>
        </row>
        <row r="246">
          <cell r="F246">
            <v>11581.29</v>
          </cell>
        </row>
        <row r="247">
          <cell r="B247" t="str">
            <v>Q3 Fuel Genset 82.5kva - 547</v>
          </cell>
        </row>
        <row r="247">
          <cell r="F247">
            <v>14008.5</v>
          </cell>
        </row>
        <row r="248">
          <cell r="B248" t="str">
            <v>Q3 Fuel CAT 3 Quarry - 470</v>
          </cell>
        </row>
        <row r="248">
          <cell r="F248">
            <v>15220.7</v>
          </cell>
        </row>
        <row r="249">
          <cell r="B249" t="str">
            <v>Q3 Fuel Cat 4 Quarry - 515</v>
          </cell>
        </row>
        <row r="249">
          <cell r="F249">
            <v>16126.59</v>
          </cell>
        </row>
        <row r="250">
          <cell r="B250" t="str">
            <v>Q3 Fuel Cat 5 Quarry - 475</v>
          </cell>
        </row>
        <row r="250">
          <cell r="F250">
            <v>16834.48</v>
          </cell>
        </row>
        <row r="251">
          <cell r="B251" t="str">
            <v>Fuel Hyundai Crusher - 039</v>
          </cell>
        </row>
        <row r="251">
          <cell r="F251">
            <v>7300.3</v>
          </cell>
        </row>
        <row r="252">
          <cell r="B252" t="str">
            <v>Fuel Loader Crusher - 368</v>
          </cell>
        </row>
        <row r="252">
          <cell r="F252">
            <v>8171.63</v>
          </cell>
        </row>
        <row r="253">
          <cell r="B253" t="str">
            <v>Fuel Loader 2 Crusher - 451</v>
          </cell>
        </row>
        <row r="253">
          <cell r="F253">
            <v>11454.28</v>
          </cell>
        </row>
        <row r="254">
          <cell r="B254" t="str">
            <v>Fuel Genset 75kva Crusher - 036</v>
          </cell>
        </row>
        <row r="254">
          <cell r="F254">
            <v>4669.5</v>
          </cell>
        </row>
        <row r="255">
          <cell r="B255" t="str">
            <v>Fuel Bolero New Crusher - 397</v>
          </cell>
        </row>
        <row r="255">
          <cell r="F255">
            <v>2102.21</v>
          </cell>
        </row>
        <row r="256">
          <cell r="B256" t="str">
            <v>Driver Bata - S&amp;D - 330</v>
          </cell>
        </row>
        <row r="256">
          <cell r="F256">
            <v>700</v>
          </cell>
        </row>
        <row r="257">
          <cell r="B257" t="str">
            <v>Q1 Food Expenses - Quarry - 276</v>
          </cell>
        </row>
        <row r="257">
          <cell r="F257">
            <v>630</v>
          </cell>
        </row>
        <row r="258">
          <cell r="B258" t="str">
            <v>Q1 Food Expenses - Quarry - 276</v>
          </cell>
        </row>
        <row r="258">
          <cell r="F258">
            <v>630</v>
          </cell>
        </row>
        <row r="259">
          <cell r="B259" t="str">
            <v>Q1 Sathish Bike Petrol - Quarry - 301</v>
          </cell>
        </row>
        <row r="259">
          <cell r="F259">
            <v>100</v>
          </cell>
        </row>
        <row r="260">
          <cell r="B260" t="str">
            <v>Q3 Fuel Cat 5 Quarry - 475</v>
          </cell>
        </row>
        <row r="260">
          <cell r="F260">
            <v>18678</v>
          </cell>
        </row>
        <row r="261">
          <cell r="B261" t="str">
            <v>Q1 Food Expenses - Quarry - 276</v>
          </cell>
        </row>
        <row r="261">
          <cell r="F261">
            <v>210</v>
          </cell>
        </row>
        <row r="262">
          <cell r="B262" t="str">
            <v>Pooja Expenses - Admin - 212</v>
          </cell>
        </row>
        <row r="262">
          <cell r="F262">
            <v>450</v>
          </cell>
        </row>
        <row r="263">
          <cell r="B263" t="str">
            <v>Driver Bata - S&amp;D - 330</v>
          </cell>
        </row>
        <row r="263">
          <cell r="F263">
            <v>5500</v>
          </cell>
        </row>
        <row r="264">
          <cell r="B264" t="str">
            <v>Q1 Food Expenses - Quarry - 276</v>
          </cell>
        </row>
        <row r="264">
          <cell r="F264">
            <v>210</v>
          </cell>
        </row>
        <row r="265">
          <cell r="B265" t="str">
            <v>Q3 Fuel Genset 82.5kva - 547</v>
          </cell>
        </row>
        <row r="265">
          <cell r="F265">
            <v>18678</v>
          </cell>
        </row>
        <row r="266">
          <cell r="B266" t="str">
            <v>Q3 Fuel Genset 82.5kva - 547</v>
          </cell>
        </row>
        <row r="266">
          <cell r="F266">
            <v>14008.5</v>
          </cell>
        </row>
        <row r="267">
          <cell r="B267" t="str">
            <v>Fuel Hyundai Crusher - 039</v>
          </cell>
        </row>
        <row r="267">
          <cell r="F267">
            <v>23814.45</v>
          </cell>
        </row>
        <row r="268">
          <cell r="B268" t="str">
            <v>Fuel Loader Crusher - 368</v>
          </cell>
        </row>
        <row r="268">
          <cell r="F268">
            <v>10739.85</v>
          </cell>
        </row>
        <row r="269">
          <cell r="B269" t="str">
            <v>Q3 Fuel Cat 5 Quarry - 475</v>
          </cell>
        </row>
        <row r="269">
          <cell r="F269">
            <v>23628.6</v>
          </cell>
        </row>
        <row r="270">
          <cell r="B270" t="str">
            <v>Fuel - CWC 2 - 240</v>
          </cell>
        </row>
        <row r="270">
          <cell r="F270">
            <v>9833.03</v>
          </cell>
        </row>
        <row r="271">
          <cell r="B271" t="str">
            <v>Fuel Loader 2 Crusher - 451</v>
          </cell>
        </row>
        <row r="271">
          <cell r="F271">
            <v>17548.91</v>
          </cell>
        </row>
        <row r="272">
          <cell r="B272" t="str">
            <v>Fuel Bolero TN07CT8761 Crusher - 029</v>
          </cell>
        </row>
        <row r="272">
          <cell r="F272">
            <v>2510.32</v>
          </cell>
        </row>
        <row r="273">
          <cell r="B273" t="str">
            <v>Fuel Bolero New Crusher - 397</v>
          </cell>
        </row>
        <row r="273">
          <cell r="F273">
            <v>2026.56</v>
          </cell>
        </row>
        <row r="274">
          <cell r="B274" t="str">
            <v>Fuel - CWC 1 - 235</v>
          </cell>
        </row>
        <row r="274">
          <cell r="F274">
            <v>11755</v>
          </cell>
        </row>
        <row r="275">
          <cell r="B275" t="str">
            <v>Fuel JCB 170 Crusher - 456</v>
          </cell>
        </row>
        <row r="275">
          <cell r="F275">
            <v>8405.1</v>
          </cell>
        </row>
        <row r="276">
          <cell r="B276" t="str">
            <v>Staff Welfare - Admin - 217</v>
          </cell>
        </row>
        <row r="276">
          <cell r="F276">
            <v>135</v>
          </cell>
        </row>
        <row r="277">
          <cell r="B277" t="str">
            <v>Vegetables - Canteen - 132</v>
          </cell>
        </row>
        <row r="277">
          <cell r="F277">
            <v>6910</v>
          </cell>
        </row>
        <row r="278">
          <cell r="B278" t="str">
            <v>Eggs - Canteen - 025</v>
          </cell>
        </row>
        <row r="278">
          <cell r="F278">
            <v>1050</v>
          </cell>
        </row>
        <row r="279">
          <cell r="B279" t="str">
            <v>Chicken - Canteen - 015</v>
          </cell>
        </row>
        <row r="279">
          <cell r="F279">
            <v>2160</v>
          </cell>
        </row>
        <row r="280">
          <cell r="B280" t="str">
            <v>Milk - Canteen - 063</v>
          </cell>
        </row>
        <row r="280">
          <cell r="F280">
            <v>975</v>
          </cell>
        </row>
        <row r="281">
          <cell r="B281" t="str">
            <v>Driver Bata - S&amp;D - 330</v>
          </cell>
        </row>
        <row r="281">
          <cell r="F281">
            <v>11400</v>
          </cell>
        </row>
        <row r="282">
          <cell r="B282" t="str">
            <v>Q1 Food Expenses - Quarry - 276</v>
          </cell>
        </row>
        <row r="282">
          <cell r="F282">
            <v>420</v>
          </cell>
        </row>
        <row r="283">
          <cell r="B283" t="str">
            <v>Fuel - SMK Water Tanker - 358</v>
          </cell>
        </row>
        <row r="283">
          <cell r="F283">
            <v>13783.43</v>
          </cell>
        </row>
        <row r="284">
          <cell r="B284" t="str">
            <v>Fuel Hyundai Crusher - 039</v>
          </cell>
        </row>
        <row r="284">
          <cell r="F284">
            <v>15916.45</v>
          </cell>
        </row>
        <row r="285">
          <cell r="B285" t="str">
            <v>Fuel JCB Crusher - 040</v>
          </cell>
        </row>
        <row r="285">
          <cell r="F285">
            <v>7938.15</v>
          </cell>
        </row>
        <row r="286">
          <cell r="B286" t="str">
            <v>Fuel Loader 2 Crusher - 451</v>
          </cell>
        </row>
        <row r="286">
          <cell r="F286">
            <v>8591.88</v>
          </cell>
        </row>
        <row r="287">
          <cell r="B287" t="str">
            <v>Q3 Fuel CAT 3 Quarry - 470</v>
          </cell>
        </row>
        <row r="287">
          <cell r="F287">
            <v>13373.44</v>
          </cell>
        </row>
        <row r="288">
          <cell r="B288" t="str">
            <v>Q3 Fuel Cat 5 Quarry - 475</v>
          </cell>
        </row>
        <row r="288">
          <cell r="F288">
            <v>19469.94</v>
          </cell>
        </row>
        <row r="289">
          <cell r="B289" t="str">
            <v>Q3 Fuel Genset 82.5kva - 547</v>
          </cell>
        </row>
        <row r="289">
          <cell r="F289">
            <v>13821.72</v>
          </cell>
        </row>
        <row r="290">
          <cell r="B290" t="str">
            <v>Fuel Loader Crusher - 368</v>
          </cell>
        </row>
        <row r="290">
          <cell r="F290">
            <v>9918.95</v>
          </cell>
        </row>
        <row r="291">
          <cell r="B291" t="str">
            <v>Driver Bata - S&amp;D - 330</v>
          </cell>
        </row>
        <row r="291">
          <cell r="F291">
            <v>9650</v>
          </cell>
        </row>
        <row r="292">
          <cell r="B292" t="str">
            <v>Q1 Food Expenses - Quarry - 276</v>
          </cell>
        </row>
        <row r="292">
          <cell r="F292">
            <v>280</v>
          </cell>
        </row>
        <row r="293">
          <cell r="B293" t="str">
            <v>Repairs &amp; Maintenance - Electrical Spares (Crusher) - 089</v>
          </cell>
        </row>
        <row r="293">
          <cell r="F293">
            <v>32432</v>
          </cell>
        </row>
        <row r="294">
          <cell r="B294" t="str">
            <v>Repairs &amp; Maintenance - Plant Spares - 094</v>
          </cell>
        </row>
        <row r="294">
          <cell r="F294">
            <v>-254.24</v>
          </cell>
        </row>
        <row r="295">
          <cell r="B295" t="str">
            <v>Repairs &amp; Maintenance - CAT 4 - 452</v>
          </cell>
        </row>
        <row r="295">
          <cell r="F295">
            <v>-4153</v>
          </cell>
        </row>
        <row r="296">
          <cell r="B296" t="str">
            <v>Fuel - CWC 1 - 235</v>
          </cell>
        </row>
        <row r="296">
          <cell r="F296">
            <v>14030.91</v>
          </cell>
        </row>
        <row r="297">
          <cell r="B297" t="str">
            <v>Fuel - CWC 2 - 240</v>
          </cell>
        </row>
        <row r="297">
          <cell r="F297">
            <v>14362.44</v>
          </cell>
        </row>
        <row r="298">
          <cell r="B298" t="str">
            <v>Fuel Hyundai Crusher - 039</v>
          </cell>
        </row>
        <row r="298">
          <cell r="F298">
            <v>6726.88</v>
          </cell>
        </row>
        <row r="299">
          <cell r="B299" t="str">
            <v>Q3 Fuel Cat 5 Quarry - 475</v>
          </cell>
        </row>
        <row r="299">
          <cell r="F299">
            <v>25377.79</v>
          </cell>
        </row>
        <row r="300">
          <cell r="B300" t="str">
            <v>Fuel Loader 2 Crusher - 451</v>
          </cell>
        </row>
        <row r="300">
          <cell r="F300">
            <v>7471.2</v>
          </cell>
        </row>
        <row r="301">
          <cell r="B301" t="str">
            <v>Fuel Loader Crusher - 368</v>
          </cell>
        </row>
        <row r="301">
          <cell r="F301">
            <v>6350.52</v>
          </cell>
        </row>
        <row r="302">
          <cell r="B302" t="str">
            <v>Q3 Fuel Genset 82.5kva - 547</v>
          </cell>
        </row>
        <row r="302">
          <cell r="F302">
            <v>5603.4</v>
          </cell>
        </row>
        <row r="303">
          <cell r="B303" t="str">
            <v>Fuel Genset 75kva Crusher - 036</v>
          </cell>
        </row>
        <row r="303">
          <cell r="F303">
            <v>4669.5</v>
          </cell>
        </row>
        <row r="304">
          <cell r="B304" t="str">
            <v>Fuel Bolero New Crusher - 397</v>
          </cell>
        </row>
        <row r="304">
          <cell r="F304">
            <v>1854.72</v>
          </cell>
        </row>
        <row r="305">
          <cell r="B305" t="str">
            <v>Business Promotion - Admin - 196</v>
          </cell>
        </row>
        <row r="305">
          <cell r="F305">
            <v>6000</v>
          </cell>
        </row>
        <row r="306">
          <cell r="B306" t="str">
            <v>Courier Expenses - Admin - 199</v>
          </cell>
        </row>
        <row r="306">
          <cell r="F306">
            <v>50</v>
          </cell>
        </row>
        <row r="307">
          <cell r="B307" t="str">
            <v>Other Expenses - Admin - 211</v>
          </cell>
        </row>
        <row r="307">
          <cell r="F307">
            <v>300</v>
          </cell>
        </row>
        <row r="308">
          <cell r="B308" t="str">
            <v>Staff Welfare - Admin - 217</v>
          </cell>
        </row>
        <row r="308">
          <cell r="F308">
            <v>750</v>
          </cell>
        </row>
        <row r="309">
          <cell r="B309" t="str">
            <v>Business Promotion - Admin - 196</v>
          </cell>
        </row>
        <row r="309">
          <cell r="F309">
            <v>2790</v>
          </cell>
        </row>
        <row r="310">
          <cell r="B310" t="str">
            <v>Driver Bata - S&amp;D - 330</v>
          </cell>
        </row>
        <row r="310">
          <cell r="F310">
            <v>8600</v>
          </cell>
        </row>
        <row r="311">
          <cell r="B311" t="str">
            <v>Q1 Food Expenses - Quarry - 276</v>
          </cell>
        </row>
        <row r="311">
          <cell r="F311">
            <v>840</v>
          </cell>
        </row>
        <row r="312">
          <cell r="B312" t="str">
            <v>Q1 Fuel Cat 6 Quarry-572</v>
          </cell>
        </row>
        <row r="312">
          <cell r="F312">
            <v>18678</v>
          </cell>
        </row>
        <row r="313">
          <cell r="B313" t="str">
            <v>Repairs &amp; Maintenance - CAT - 081</v>
          </cell>
        </row>
        <row r="313">
          <cell r="F313">
            <v>49000</v>
          </cell>
        </row>
        <row r="314">
          <cell r="B314" t="str">
            <v>Maintenance Bolero TN07CT8761 Crusher - 061</v>
          </cell>
        </row>
        <row r="314">
          <cell r="F314">
            <v>10790.29</v>
          </cell>
        </row>
        <row r="315">
          <cell r="B315" t="str">
            <v>Repairs &amp; Maintenance - CAT 3 - 083</v>
          </cell>
        </row>
        <row r="315">
          <cell r="F315">
            <v>14800</v>
          </cell>
        </row>
        <row r="316">
          <cell r="B316" t="str">
            <v>Repairs &amp; Maintenance - CAT 4 - 452</v>
          </cell>
        </row>
        <row r="316">
          <cell r="F316">
            <v>675294.72</v>
          </cell>
        </row>
        <row r="317">
          <cell r="B317" t="str">
            <v>Q1 Repair &amp; Maintenance - Quarry - 294</v>
          </cell>
        </row>
        <row r="317">
          <cell r="F317">
            <v>39600</v>
          </cell>
        </row>
        <row r="318">
          <cell r="B318" t="str">
            <v>Q3 Fuel Genset 82.5kva - 547</v>
          </cell>
        </row>
        <row r="318">
          <cell r="F318">
            <v>14008.5</v>
          </cell>
        </row>
        <row r="319">
          <cell r="B319" t="str">
            <v>Fuel Hyundai Crusher - 039</v>
          </cell>
        </row>
        <row r="319">
          <cell r="F319">
            <v>7988.58</v>
          </cell>
        </row>
        <row r="320">
          <cell r="B320" t="str">
            <v>Fuel Loader 2 Crusher - 451</v>
          </cell>
        </row>
        <row r="320">
          <cell r="F320">
            <v>1563.35</v>
          </cell>
        </row>
        <row r="321">
          <cell r="B321" t="str">
            <v>Fuel Loader Crusher - 368</v>
          </cell>
        </row>
        <row r="321">
          <cell r="F321">
            <v>6257.13</v>
          </cell>
        </row>
        <row r="322">
          <cell r="B322" t="str">
            <v>Q3 Fuel Cat 5 Quarry - 475</v>
          </cell>
        </row>
        <row r="322">
          <cell r="F322">
            <v>13182</v>
          </cell>
        </row>
        <row r="323">
          <cell r="B323" t="str">
            <v>Q3 Fuel CAT 3 Quarry - 470</v>
          </cell>
        </row>
        <row r="323">
          <cell r="F323">
            <v>7662.65</v>
          </cell>
        </row>
        <row r="324">
          <cell r="B324" t="str">
            <v>Fuel Bolero New Crusher - 397</v>
          </cell>
        </row>
        <row r="324">
          <cell r="F324">
            <v>1139.36</v>
          </cell>
        </row>
        <row r="325">
          <cell r="B325" t="str">
            <v>Staff Welfare - Admin - 217</v>
          </cell>
        </row>
        <row r="325">
          <cell r="F325">
            <v>215</v>
          </cell>
        </row>
        <row r="326">
          <cell r="B326" t="str">
            <v>Staff Welfare - Admin - 217</v>
          </cell>
        </row>
        <row r="326">
          <cell r="F326">
            <v>163</v>
          </cell>
        </row>
        <row r="327">
          <cell r="B327" t="str">
            <v>Other Expenses - Admin - 211</v>
          </cell>
        </row>
        <row r="327">
          <cell r="F327">
            <v>820</v>
          </cell>
        </row>
        <row r="328">
          <cell r="B328" t="str">
            <v>Driver Bata - S&amp;D - 330</v>
          </cell>
        </row>
        <row r="328">
          <cell r="F328">
            <v>15050</v>
          </cell>
        </row>
        <row r="329">
          <cell r="B329" t="str">
            <v>Q1 Food Expenses - Quarry - 276</v>
          </cell>
        </row>
        <row r="329">
          <cell r="F329">
            <v>840</v>
          </cell>
        </row>
        <row r="330">
          <cell r="B330" t="str">
            <v>Interest Paid on Bills Discounting</v>
          </cell>
        </row>
        <row r="330">
          <cell r="F330">
            <v>29501</v>
          </cell>
        </row>
        <row r="331">
          <cell r="B331" t="str">
            <v>Q1 Fuel Cat 6 Quarry-572</v>
          </cell>
        </row>
        <row r="331">
          <cell r="F331">
            <v>18678</v>
          </cell>
        </row>
        <row r="332">
          <cell r="B332" t="str">
            <v>Repairs &amp; Maintenance - SEM Loader - 096</v>
          </cell>
        </row>
        <row r="332">
          <cell r="F332">
            <v>4856</v>
          </cell>
        </row>
        <row r="333">
          <cell r="B333" t="str">
            <v>Repairs &amp; Maintenance - SEM Loader - 096</v>
          </cell>
        </row>
        <row r="333">
          <cell r="F333">
            <v>1907</v>
          </cell>
        </row>
        <row r="334">
          <cell r="B334" t="str">
            <v>Repairs &amp; Maintenance - CAT - 081</v>
          </cell>
        </row>
        <row r="334">
          <cell r="F334">
            <v>50847.6</v>
          </cell>
        </row>
        <row r="335">
          <cell r="B335" t="str">
            <v>Repairs &amp; Maintenance - Conveyor - 085</v>
          </cell>
        </row>
        <row r="335">
          <cell r="F335">
            <v>3728.84</v>
          </cell>
        </row>
        <row r="336">
          <cell r="B336" t="str">
            <v>Repairs &amp; Maintenance - CAT 3 - 083</v>
          </cell>
        </row>
        <row r="336">
          <cell r="F336">
            <v>2173</v>
          </cell>
        </row>
        <row r="337">
          <cell r="B337" t="str">
            <v>Repairs &amp; Maintenance - CAT - 081</v>
          </cell>
        </row>
        <row r="337">
          <cell r="F337">
            <v>584.75</v>
          </cell>
        </row>
        <row r="338">
          <cell r="B338" t="str">
            <v>Repairs &amp; Maintenance - CAT 4 - 452</v>
          </cell>
        </row>
        <row r="338">
          <cell r="F338">
            <v>24500</v>
          </cell>
        </row>
        <row r="339">
          <cell r="B339" t="str">
            <v>Repairs &amp; Maintenance - CAT 4 - 452</v>
          </cell>
        </row>
        <row r="339">
          <cell r="F339">
            <v>3639</v>
          </cell>
        </row>
        <row r="340">
          <cell r="B340" t="str">
            <v>Repairs &amp; Maintenance - CAT 4 - 452</v>
          </cell>
        </row>
        <row r="340">
          <cell r="F340">
            <v>11725</v>
          </cell>
        </row>
        <row r="341">
          <cell r="B341" t="str">
            <v>Repairs &amp; Maintenance - Cone - 084</v>
          </cell>
        </row>
        <row r="341">
          <cell r="F341">
            <v>47385</v>
          </cell>
        </row>
        <row r="342">
          <cell r="B342" t="str">
            <v>Telephone/CUG Expenses- Admin - 223</v>
          </cell>
        </row>
        <row r="342">
          <cell r="F342">
            <v>5507.38</v>
          </cell>
        </row>
        <row r="343">
          <cell r="B343" t="str">
            <v>Fuel - CWC 1 - 235</v>
          </cell>
        </row>
        <row r="343">
          <cell r="F343">
            <v>9289.5</v>
          </cell>
        </row>
        <row r="344">
          <cell r="B344" t="str">
            <v>Fuel - CWC 2 - 240</v>
          </cell>
        </row>
        <row r="344">
          <cell r="F344">
            <v>10780.94</v>
          </cell>
        </row>
        <row r="345">
          <cell r="B345" t="str">
            <v>Fuel Hyundai Crusher - 039</v>
          </cell>
        </row>
        <row r="345">
          <cell r="F345">
            <v>3901.83</v>
          </cell>
        </row>
        <row r="346">
          <cell r="B346" t="str">
            <v>Q3 Fuel Genset 82.5kva - 547</v>
          </cell>
        </row>
        <row r="346">
          <cell r="F346">
            <v>7471.2</v>
          </cell>
        </row>
        <row r="347">
          <cell r="B347" t="str">
            <v>Q3 Fuel CAT 3 Quarry - 470</v>
          </cell>
        </row>
        <row r="347">
          <cell r="F347">
            <v>22845.06</v>
          </cell>
        </row>
        <row r="348">
          <cell r="B348" t="str">
            <v>Q3 Fuel Cat 5 Quarry - 475</v>
          </cell>
        </row>
        <row r="348">
          <cell r="F348">
            <v>25253.59</v>
          </cell>
        </row>
        <row r="349">
          <cell r="B349" t="str">
            <v>Fuel Loader 2 Crusher - 451</v>
          </cell>
        </row>
        <row r="349">
          <cell r="F349">
            <v>7658.91</v>
          </cell>
        </row>
        <row r="350">
          <cell r="B350" t="str">
            <v>Fuel Loader Crusher - 368</v>
          </cell>
        </row>
        <row r="350">
          <cell r="F350">
            <v>7657.98</v>
          </cell>
        </row>
        <row r="351">
          <cell r="B351" t="str">
            <v>Fuel Bolero TN07CT8761 Crusher - 029</v>
          </cell>
        </row>
        <row r="351">
          <cell r="F351">
            <v>2435.61</v>
          </cell>
        </row>
        <row r="352">
          <cell r="B352" t="str">
            <v>Staff Welfare - Admin - 217</v>
          </cell>
        </row>
        <row r="352">
          <cell r="F352">
            <v>1350</v>
          </cell>
        </row>
        <row r="353">
          <cell r="B353" t="str">
            <v>Driver Bata - S&amp;D - 330</v>
          </cell>
        </row>
        <row r="353">
          <cell r="F353">
            <v>11850</v>
          </cell>
        </row>
        <row r="354">
          <cell r="B354" t="str">
            <v>Q1 Food Expenses - Quarry - 276</v>
          </cell>
        </row>
        <row r="354">
          <cell r="F354">
            <v>630</v>
          </cell>
        </row>
        <row r="355">
          <cell r="B355" t="str">
            <v>Q1 Fuel Cat 6 Quarry-572</v>
          </cell>
        </row>
        <row r="355">
          <cell r="F355">
            <v>18678</v>
          </cell>
        </row>
        <row r="356">
          <cell r="B356" t="str">
            <v>Repairs &amp; Maintenance - Non Operating Crusher - 184</v>
          </cell>
        </row>
        <row r="356">
          <cell r="F356">
            <v>21360</v>
          </cell>
        </row>
        <row r="357">
          <cell r="B357" t="str">
            <v>Repairs &amp; Maintenance - CAT 3 - 083</v>
          </cell>
        </row>
        <row r="357">
          <cell r="F357">
            <v>3150</v>
          </cell>
        </row>
        <row r="358">
          <cell r="B358" t="str">
            <v>Repairs &amp; Maintenance - CAT 4 - 452</v>
          </cell>
        </row>
        <row r="358">
          <cell r="F358">
            <v>3150</v>
          </cell>
        </row>
        <row r="359">
          <cell r="B359" t="str">
            <v>Gas Cylinder - Canteen - 046</v>
          </cell>
        </row>
        <row r="359">
          <cell r="F359">
            <v>19960</v>
          </cell>
        </row>
        <row r="360">
          <cell r="B360" t="str">
            <v>Q1 Repair &amp; Maintenance - Non Operating - Quarry - 180</v>
          </cell>
        </row>
        <row r="360">
          <cell r="F360">
            <v>6710</v>
          </cell>
        </row>
        <row r="361">
          <cell r="B361" t="str">
            <v>Fuel Loader 2 Crusher - 451</v>
          </cell>
        </row>
        <row r="361">
          <cell r="F361">
            <v>13074.6</v>
          </cell>
        </row>
        <row r="362">
          <cell r="B362" t="str">
            <v>Fuel Loader Crusher - 368</v>
          </cell>
        </row>
        <row r="362">
          <cell r="F362">
            <v>14008.5</v>
          </cell>
        </row>
        <row r="363">
          <cell r="B363" t="str">
            <v>Q3 Fuel CAT 3 Quarry - 470</v>
          </cell>
        </row>
        <row r="363">
          <cell r="F363">
            <v>27637.84</v>
          </cell>
        </row>
        <row r="364">
          <cell r="B364" t="str">
            <v>Q3 Fuel Cat 5 Quarry - 475</v>
          </cell>
        </row>
        <row r="364">
          <cell r="F364">
            <v>18231.6</v>
          </cell>
        </row>
        <row r="365">
          <cell r="B365" t="str">
            <v>Q3 Fuel Genset 82.5kva - 547</v>
          </cell>
        </row>
        <row r="365">
          <cell r="F365">
            <v>5136.45</v>
          </cell>
        </row>
        <row r="366">
          <cell r="B366" t="str">
            <v>Fuel Hyundai Crusher - 039</v>
          </cell>
        </row>
        <row r="366">
          <cell r="F366">
            <v>16101.37</v>
          </cell>
        </row>
        <row r="367">
          <cell r="B367" t="str">
            <v>Fuel - CWC 1 - 235</v>
          </cell>
        </row>
        <row r="367">
          <cell r="F367">
            <v>8791.73</v>
          </cell>
        </row>
        <row r="368">
          <cell r="B368" t="str">
            <v>Driver Bata - S&amp;D - 330</v>
          </cell>
        </row>
        <row r="368">
          <cell r="F368">
            <v>9950</v>
          </cell>
        </row>
        <row r="369">
          <cell r="B369" t="str">
            <v>Q1 Food Expenses - Quarry - 276</v>
          </cell>
        </row>
        <row r="369">
          <cell r="F369">
            <v>750</v>
          </cell>
        </row>
        <row r="370">
          <cell r="B370" t="str">
            <v>Q1 Bata - Explosives - 266</v>
          </cell>
        </row>
        <row r="370">
          <cell r="F370">
            <v>100</v>
          </cell>
        </row>
        <row r="371">
          <cell r="B371" t="str">
            <v>Q1 Fuel Cat 6 Quarry-572</v>
          </cell>
        </row>
        <row r="371">
          <cell r="F371">
            <v>18678</v>
          </cell>
        </row>
        <row r="372">
          <cell r="B372" t="str">
            <v>Fuel Bolero TN07CT8761 Crusher - 029</v>
          </cell>
        </row>
        <row r="372">
          <cell r="F372">
            <v>3592.71</v>
          </cell>
        </row>
        <row r="373">
          <cell r="B373" t="str">
            <v>Fuel Bolero New Crusher - 397</v>
          </cell>
        </row>
        <row r="373">
          <cell r="F373">
            <v>3011.83</v>
          </cell>
        </row>
        <row r="374">
          <cell r="B374" t="str">
            <v>Fuel - CWC 2 - 240</v>
          </cell>
        </row>
        <row r="374">
          <cell r="F374">
            <v>14634.21</v>
          </cell>
        </row>
        <row r="375">
          <cell r="B375" t="str">
            <v>Fuel Hyundai Crusher - 039</v>
          </cell>
        </row>
        <row r="375">
          <cell r="F375">
            <v>6446.71</v>
          </cell>
        </row>
        <row r="376">
          <cell r="B376" t="str">
            <v>Q3 Fuel Cat 4 Quarry - 515</v>
          </cell>
        </row>
        <row r="376">
          <cell r="F376">
            <v>17571.33</v>
          </cell>
        </row>
        <row r="377">
          <cell r="B377" t="str">
            <v>Q3 Fuel Cat 5 Quarry - 475</v>
          </cell>
        </row>
        <row r="377">
          <cell r="F377">
            <v>26944.88</v>
          </cell>
        </row>
        <row r="378">
          <cell r="B378" t="str">
            <v>Q3 Fuel CAT 3 Quarry - 470</v>
          </cell>
        </row>
        <row r="378">
          <cell r="F378">
            <v>14985.36</v>
          </cell>
        </row>
        <row r="379">
          <cell r="B379" t="str">
            <v>Q3 Fuel Genset 82.5kva - 547</v>
          </cell>
        </row>
        <row r="379">
          <cell r="F379">
            <v>4669.5</v>
          </cell>
        </row>
        <row r="380">
          <cell r="B380" t="str">
            <v>Fuel Loader 2 Crusher - 451</v>
          </cell>
        </row>
        <row r="380">
          <cell r="F380">
            <v>11673.75</v>
          </cell>
        </row>
        <row r="381">
          <cell r="B381" t="str">
            <v>Fuel Loader Crusher - 368</v>
          </cell>
        </row>
        <row r="381">
          <cell r="F381">
            <v>8685.27</v>
          </cell>
        </row>
        <row r="382">
          <cell r="B382" t="str">
            <v>Pooja Expenses - Admin - 212</v>
          </cell>
        </row>
        <row r="382">
          <cell r="F382">
            <v>900</v>
          </cell>
        </row>
        <row r="383">
          <cell r="B383" t="str">
            <v>Staff Welfare - Admin - 217</v>
          </cell>
        </row>
        <row r="383">
          <cell r="F383">
            <v>1066</v>
          </cell>
        </row>
        <row r="384">
          <cell r="B384" t="str">
            <v>Driver Bata - S&amp;D - 330</v>
          </cell>
        </row>
        <row r="384">
          <cell r="F384">
            <v>9800</v>
          </cell>
        </row>
        <row r="385">
          <cell r="B385" t="str">
            <v>Q1 Food Expenses - Quarry - 276</v>
          </cell>
        </row>
        <row r="385">
          <cell r="F385">
            <v>910</v>
          </cell>
        </row>
        <row r="386">
          <cell r="B386" t="str">
            <v>Q1 Bata - Explosives - 266</v>
          </cell>
        </row>
        <row r="386">
          <cell r="F386">
            <v>100</v>
          </cell>
        </row>
        <row r="387">
          <cell r="B387" t="str">
            <v>Q1 Fuel Cat 6 Quarry-572</v>
          </cell>
        </row>
        <row r="387">
          <cell r="F387">
            <v>18678</v>
          </cell>
        </row>
        <row r="388">
          <cell r="B388" t="str">
            <v>Provisions/ Groceries - Canteen - 079</v>
          </cell>
        </row>
        <row r="388">
          <cell r="F388">
            <v>60039</v>
          </cell>
        </row>
        <row r="389">
          <cell r="B389" t="str">
            <v>Repairs &amp; Maintenance - CWC 1 - 238</v>
          </cell>
        </row>
        <row r="389">
          <cell r="F389">
            <v>3500</v>
          </cell>
        </row>
        <row r="390">
          <cell r="B390" t="str">
            <v>Fuel - CWC 1 - 235</v>
          </cell>
        </row>
        <row r="390">
          <cell r="F390">
            <v>13074.6</v>
          </cell>
        </row>
        <row r="391">
          <cell r="B391" t="str">
            <v>Q3 Fuel CAT 3 Quarry - 470</v>
          </cell>
        </row>
        <row r="391">
          <cell r="F391">
            <v>7799</v>
          </cell>
        </row>
        <row r="392">
          <cell r="B392" t="str">
            <v>Q3 Fuel Cat 4 Quarry - 515</v>
          </cell>
        </row>
        <row r="392">
          <cell r="F392">
            <v>29047.09</v>
          </cell>
        </row>
        <row r="393">
          <cell r="B393" t="str">
            <v>Q3 Fuel Cat 5 Quarry - 475</v>
          </cell>
        </row>
        <row r="393">
          <cell r="F393">
            <v>25358.19</v>
          </cell>
        </row>
        <row r="394">
          <cell r="B394" t="str">
            <v>Q3 Fuel Genset 82.5kva - 547</v>
          </cell>
        </row>
        <row r="394">
          <cell r="F394">
            <v>9339</v>
          </cell>
        </row>
        <row r="395">
          <cell r="B395" t="str">
            <v>Fuel Hyundai Crusher - 039</v>
          </cell>
        </row>
        <row r="395">
          <cell r="F395">
            <v>8179.1</v>
          </cell>
        </row>
        <row r="396">
          <cell r="B396" t="str">
            <v>Fuel Loader 2 Crusher - 451</v>
          </cell>
        </row>
        <row r="396">
          <cell r="F396">
            <v>7657.98</v>
          </cell>
        </row>
        <row r="397">
          <cell r="B397" t="str">
            <v>Fuel Loader Crusher - 368</v>
          </cell>
        </row>
        <row r="397">
          <cell r="F397">
            <v>7844.76</v>
          </cell>
        </row>
        <row r="398">
          <cell r="B398" t="str">
            <v>Vegetables - Canteen - 132</v>
          </cell>
        </row>
        <row r="398">
          <cell r="F398">
            <v>14890</v>
          </cell>
        </row>
        <row r="399">
          <cell r="B399" t="str">
            <v>Travelling &amp; Conveyance - Admin - 226</v>
          </cell>
        </row>
        <row r="399">
          <cell r="F399">
            <v>1150</v>
          </cell>
        </row>
        <row r="400">
          <cell r="B400" t="str">
            <v>Printing &amp; Stationery Expenses-Admin - 213</v>
          </cell>
        </row>
        <row r="400">
          <cell r="F400">
            <v>142</v>
          </cell>
        </row>
        <row r="401">
          <cell r="B401" t="str">
            <v>Chicken - Canteen - 015</v>
          </cell>
        </row>
        <row r="401">
          <cell r="F401">
            <v>4765</v>
          </cell>
        </row>
        <row r="402">
          <cell r="B402" t="str">
            <v>Staff Welfare - Admin - 217</v>
          </cell>
        </row>
        <row r="402">
          <cell r="F402">
            <v>1260</v>
          </cell>
        </row>
        <row r="403">
          <cell r="B403" t="str">
            <v>Milk - Canteen - 063</v>
          </cell>
        </row>
        <row r="403">
          <cell r="F403">
            <v>1625</v>
          </cell>
        </row>
        <row r="404">
          <cell r="B404" t="str">
            <v>Driver Bata - S&amp;D - 330</v>
          </cell>
        </row>
        <row r="404">
          <cell r="F404">
            <v>6150</v>
          </cell>
        </row>
        <row r="405">
          <cell r="B405" t="str">
            <v>Q1 Food Expenses - Quarry - 276</v>
          </cell>
        </row>
        <row r="405">
          <cell r="F405">
            <v>910</v>
          </cell>
        </row>
        <row r="406">
          <cell r="B406" t="str">
            <v>Q1 Bata - Explosives - 266</v>
          </cell>
        </row>
        <row r="406">
          <cell r="F406">
            <v>100</v>
          </cell>
        </row>
        <row r="407">
          <cell r="B407" t="str">
            <v>Q1 Sathish Bike Petrol - Quarry - 301</v>
          </cell>
        </row>
        <row r="407">
          <cell r="F407">
            <v>500</v>
          </cell>
        </row>
        <row r="408">
          <cell r="B408" t="str">
            <v>Q1 Fuel Cat 6 Quarry-572</v>
          </cell>
        </row>
        <row r="408">
          <cell r="F408">
            <v>18678</v>
          </cell>
        </row>
        <row r="409">
          <cell r="B409" t="str">
            <v>Fuel - CWC 2 - 240</v>
          </cell>
        </row>
        <row r="409">
          <cell r="F409">
            <v>14005.69</v>
          </cell>
        </row>
        <row r="410">
          <cell r="B410" t="str">
            <v>Fuel Loader 2 Crusher - 451</v>
          </cell>
        </row>
        <row r="410">
          <cell r="F410">
            <v>5136.45</v>
          </cell>
        </row>
        <row r="411">
          <cell r="B411" t="str">
            <v>Q3 Fuel Genset 82.5kva - 547</v>
          </cell>
        </row>
        <row r="411">
          <cell r="F411">
            <v>3284.52</v>
          </cell>
        </row>
        <row r="412">
          <cell r="B412" t="str">
            <v>Q3 Fuel Cat 5 Quarry - 475</v>
          </cell>
        </row>
        <row r="412">
          <cell r="F412">
            <v>24643.75</v>
          </cell>
        </row>
        <row r="413">
          <cell r="B413" t="str">
            <v>Fuel Hyundai Crusher - 039</v>
          </cell>
        </row>
        <row r="413">
          <cell r="F413">
            <v>11443.07</v>
          </cell>
        </row>
        <row r="414">
          <cell r="B414" t="str">
            <v>Fuel Loader Crusher - 368</v>
          </cell>
        </row>
        <row r="414">
          <cell r="F414">
            <v>10739.85</v>
          </cell>
        </row>
        <row r="415">
          <cell r="B415" t="str">
            <v>Fuel Genset 75kva Crusher - 036</v>
          </cell>
        </row>
        <row r="415">
          <cell r="F415">
            <v>4669.5</v>
          </cell>
        </row>
        <row r="416">
          <cell r="B416" t="str">
            <v>Fuel JCB 170 Crusher - 456</v>
          </cell>
        </row>
        <row r="416">
          <cell r="F416">
            <v>4408.94</v>
          </cell>
        </row>
        <row r="417">
          <cell r="B417" t="str">
            <v>Q3 Fuel Cat 4 Quarry - 515</v>
          </cell>
        </row>
        <row r="417">
          <cell r="F417">
            <v>33781.03</v>
          </cell>
        </row>
        <row r="418">
          <cell r="B418" t="str">
            <v>Fuel JCB Crusher - 040</v>
          </cell>
        </row>
        <row r="418">
          <cell r="F418">
            <v>8872.05</v>
          </cell>
        </row>
        <row r="419">
          <cell r="B419" t="str">
            <v>Driver Bata - S&amp;D - 330</v>
          </cell>
        </row>
        <row r="419">
          <cell r="F419">
            <v>10050</v>
          </cell>
        </row>
        <row r="420">
          <cell r="B420" t="str">
            <v>Q1 Food Expenses - Quarry - 276</v>
          </cell>
        </row>
        <row r="420">
          <cell r="F420">
            <v>660</v>
          </cell>
        </row>
        <row r="421">
          <cell r="B421" t="str">
            <v>Q1 Fuel Genset 62.5kva - 543</v>
          </cell>
        </row>
        <row r="421">
          <cell r="F421">
            <v>13074.6</v>
          </cell>
        </row>
        <row r="422">
          <cell r="B422" t="str">
            <v>Q1 Fuel Cat 6 Quarry-572</v>
          </cell>
        </row>
        <row r="422">
          <cell r="F422">
            <v>18678</v>
          </cell>
        </row>
        <row r="423">
          <cell r="B423" t="str">
            <v>Fuel Bolero New Crusher - 397</v>
          </cell>
        </row>
        <row r="423">
          <cell r="F423">
            <v>3548.82</v>
          </cell>
        </row>
        <row r="424">
          <cell r="B424" t="str">
            <v>Fuel - CWC 2 - 240</v>
          </cell>
        </row>
        <row r="424">
          <cell r="F424">
            <v>7811.13</v>
          </cell>
        </row>
        <row r="425">
          <cell r="B425" t="str">
            <v>Fuel - CWC 1 - 235</v>
          </cell>
        </row>
        <row r="425">
          <cell r="F425">
            <v>14857.41</v>
          </cell>
        </row>
        <row r="426">
          <cell r="B426" t="str">
            <v>Fuel Loader Crusher - 368</v>
          </cell>
        </row>
        <row r="426">
          <cell r="F426">
            <v>9911.48</v>
          </cell>
        </row>
        <row r="427">
          <cell r="B427" t="str">
            <v>Fuel Loader 2 Crusher - 451</v>
          </cell>
        </row>
        <row r="427">
          <cell r="F427">
            <v>7988.58</v>
          </cell>
        </row>
        <row r="428">
          <cell r="B428" t="str">
            <v>Fuel Hyundai Crusher - 039</v>
          </cell>
        </row>
        <row r="428">
          <cell r="F428">
            <v>17095.03</v>
          </cell>
        </row>
        <row r="429">
          <cell r="B429" t="str">
            <v>Q3 Fuel Cat 5 Quarry - 475</v>
          </cell>
        </row>
        <row r="429">
          <cell r="F429">
            <v>25912.92</v>
          </cell>
        </row>
        <row r="430">
          <cell r="B430" t="str">
            <v>Q3 Fuel Cat 4 Quarry - 515</v>
          </cell>
        </row>
        <row r="430">
          <cell r="F430">
            <v>24498.99</v>
          </cell>
        </row>
        <row r="431">
          <cell r="B431" t="str">
            <v>Q3 Fuel CAT 3 Quarry - 470</v>
          </cell>
        </row>
        <row r="431">
          <cell r="F431">
            <v>14900.37</v>
          </cell>
        </row>
        <row r="432">
          <cell r="B432" t="str">
            <v>Q3 Fuel Genset 82.5kva - 547</v>
          </cell>
        </row>
        <row r="432">
          <cell r="F432">
            <v>7004.25</v>
          </cell>
        </row>
        <row r="433">
          <cell r="B433" t="str">
            <v>Courier Expenses - Admin - 199</v>
          </cell>
        </row>
        <row r="433">
          <cell r="F433">
            <v>100</v>
          </cell>
        </row>
        <row r="434">
          <cell r="B434" t="str">
            <v>Staff Welfare - Admin - 217</v>
          </cell>
        </row>
        <row r="434">
          <cell r="F434">
            <v>495</v>
          </cell>
        </row>
        <row r="435">
          <cell r="B435" t="str">
            <v>Driver Bata - S&amp;D - 330</v>
          </cell>
        </row>
        <row r="435">
          <cell r="F435">
            <v>8100</v>
          </cell>
        </row>
        <row r="436">
          <cell r="B436" t="str">
            <v>Q1 Food Expenses - Quarry - 276</v>
          </cell>
        </row>
        <row r="436">
          <cell r="F436">
            <v>910</v>
          </cell>
        </row>
        <row r="437">
          <cell r="B437" t="str">
            <v>Q1 Bata - Explosives - 266</v>
          </cell>
        </row>
        <row r="437">
          <cell r="F437">
            <v>100</v>
          </cell>
        </row>
        <row r="438">
          <cell r="B438" t="str">
            <v>Q1 Fuel Cat 6 Quarry-572</v>
          </cell>
        </row>
        <row r="438">
          <cell r="F438">
            <v>18678</v>
          </cell>
        </row>
        <row r="439">
          <cell r="B439" t="str">
            <v>Q1 Fuel Genset 62.5kva - 543</v>
          </cell>
        </row>
        <row r="439">
          <cell r="F439">
            <v>5603.4</v>
          </cell>
        </row>
        <row r="440">
          <cell r="B440" t="str">
            <v>Repairs &amp; Maintenance - Screen Spares - 095</v>
          </cell>
        </row>
        <row r="440">
          <cell r="F440">
            <v>196000</v>
          </cell>
        </row>
        <row r="441">
          <cell r="B441" t="str">
            <v>Repairs &amp; Maintenance - CAT 4 - 452</v>
          </cell>
        </row>
        <row r="441">
          <cell r="F441">
            <v>14830.54</v>
          </cell>
        </row>
        <row r="442">
          <cell r="B442" t="str">
            <v>Repairs &amp; Maintenance - CAT - 081</v>
          </cell>
        </row>
        <row r="442">
          <cell r="F442">
            <v>1652.54</v>
          </cell>
        </row>
        <row r="443">
          <cell r="B443" t="str">
            <v>Repairs &amp; Maintenance - CAT 4 - 452</v>
          </cell>
        </row>
        <row r="443">
          <cell r="F443">
            <v>381.36</v>
          </cell>
        </row>
        <row r="444">
          <cell r="B444" t="str">
            <v>Repairs &amp; Maintenance - CAT 3 - 083</v>
          </cell>
        </row>
        <row r="444">
          <cell r="F444">
            <v>2711.86</v>
          </cell>
        </row>
        <row r="445">
          <cell r="B445" t="str">
            <v>Telephone/CUG Expenses- Admin - 223</v>
          </cell>
        </row>
        <row r="445">
          <cell r="F445">
            <v>1499</v>
          </cell>
        </row>
        <row r="446">
          <cell r="B446" t="str">
            <v>Repairs &amp; Maintenance - CAT 6-544</v>
          </cell>
        </row>
        <row r="446">
          <cell r="F446">
            <v>210000</v>
          </cell>
        </row>
        <row r="447">
          <cell r="B447" t="str">
            <v>Gas Cylinder - Canteen - 046</v>
          </cell>
        </row>
        <row r="447">
          <cell r="F447">
            <v>10820</v>
          </cell>
        </row>
        <row r="448">
          <cell r="B448" t="str">
            <v>Fuel - SMK Water Tanker - 358</v>
          </cell>
        </row>
        <row r="448">
          <cell r="F448">
            <v>10209.39</v>
          </cell>
        </row>
        <row r="449">
          <cell r="B449" t="str">
            <v>Fuel Bolero TN07CT8761 Crusher - 029</v>
          </cell>
        </row>
        <row r="449">
          <cell r="F449">
            <v>2449.62</v>
          </cell>
        </row>
        <row r="450">
          <cell r="B450" t="str">
            <v>Q3 Fuel Cat 5 Quarry - 475</v>
          </cell>
        </row>
        <row r="450">
          <cell r="F450">
            <v>19678.21</v>
          </cell>
        </row>
        <row r="451">
          <cell r="B451" t="str">
            <v>Q3 Fuel Cat 4 Quarry - 515</v>
          </cell>
        </row>
        <row r="451">
          <cell r="F451">
            <v>24637.22</v>
          </cell>
        </row>
        <row r="452">
          <cell r="B452" t="str">
            <v>Q3 Fuel CAT 3 Quarry - 470</v>
          </cell>
        </row>
        <row r="452">
          <cell r="F452">
            <v>14913.45</v>
          </cell>
        </row>
        <row r="453">
          <cell r="B453" t="str">
            <v>Fuel Loader Crusher - 368</v>
          </cell>
        </row>
        <row r="453">
          <cell r="F453">
            <v>10208.46</v>
          </cell>
        </row>
        <row r="454">
          <cell r="B454" t="str">
            <v>Fuel Loader 2 Crusher - 451</v>
          </cell>
        </row>
        <row r="454">
          <cell r="F454">
            <v>9555.66</v>
          </cell>
        </row>
        <row r="455">
          <cell r="B455" t="str">
            <v>Fuel Hyundai Crusher - 039</v>
          </cell>
        </row>
        <row r="455">
          <cell r="F455">
            <v>6975.3</v>
          </cell>
        </row>
        <row r="456">
          <cell r="B456" t="str">
            <v>Staff Welfare - Admin - 217</v>
          </cell>
        </row>
        <row r="456">
          <cell r="F456">
            <v>91</v>
          </cell>
        </row>
        <row r="457">
          <cell r="B457" t="str">
            <v>Driver Bata - S&amp;D - 330</v>
          </cell>
        </row>
        <row r="457">
          <cell r="F457">
            <v>13400</v>
          </cell>
        </row>
        <row r="458">
          <cell r="B458" t="str">
            <v>EB Charges - Admin - 447</v>
          </cell>
        </row>
        <row r="458">
          <cell r="F458">
            <v>40304.54</v>
          </cell>
        </row>
        <row r="459">
          <cell r="B459" t="str">
            <v>Q1 Food Expenses - Quarry - 276</v>
          </cell>
        </row>
        <row r="459">
          <cell r="F459">
            <v>910</v>
          </cell>
        </row>
        <row r="460">
          <cell r="B460" t="str">
            <v>Q1 Bata - Explosives - 266</v>
          </cell>
        </row>
        <row r="460">
          <cell r="F460">
            <v>100</v>
          </cell>
        </row>
        <row r="461">
          <cell r="B461" t="str">
            <v>Q1 Fuel Cat 6 Quarry-572</v>
          </cell>
        </row>
        <row r="461">
          <cell r="F461">
            <v>18678</v>
          </cell>
        </row>
        <row r="462">
          <cell r="B462" t="str">
            <v>Q1 Fuel Genset 62.5kva - 543</v>
          </cell>
        </row>
        <row r="462">
          <cell r="F462">
            <v>13074.6</v>
          </cell>
        </row>
        <row r="463">
          <cell r="B463" t="str">
            <v>Other Expenses - Admin - 211</v>
          </cell>
        </row>
        <row r="463">
          <cell r="F463">
            <v>1650</v>
          </cell>
        </row>
        <row r="464">
          <cell r="B464" t="str">
            <v>Repairs &amp; Maintenance - Prudential 6 Wheeler - 380</v>
          </cell>
        </row>
        <row r="464">
          <cell r="F464">
            <v>13390</v>
          </cell>
        </row>
        <row r="465">
          <cell r="B465" t="str">
            <v>Maintenance Bolero - Crusher - 060</v>
          </cell>
        </row>
        <row r="465">
          <cell r="F465">
            <v>13390</v>
          </cell>
        </row>
        <row r="466">
          <cell r="B466" t="str">
            <v>Fuel - CWC 1 - 235</v>
          </cell>
        </row>
        <row r="466">
          <cell r="F466">
            <v>12166.85</v>
          </cell>
        </row>
        <row r="467">
          <cell r="B467" t="str">
            <v>Fuel - CWC 2 - 240</v>
          </cell>
        </row>
        <row r="467">
          <cell r="F467">
            <v>12922.37</v>
          </cell>
        </row>
        <row r="468">
          <cell r="B468" t="str">
            <v>Q3 Fuel CAT 3 Quarry - 470</v>
          </cell>
        </row>
        <row r="468">
          <cell r="F468">
            <v>5663.17</v>
          </cell>
        </row>
        <row r="469">
          <cell r="B469" t="str">
            <v>Q3 Fuel Cat 4 Quarry - 515</v>
          </cell>
        </row>
        <row r="469">
          <cell r="F469">
            <v>22472.44</v>
          </cell>
        </row>
        <row r="470">
          <cell r="B470" t="str">
            <v>Q3 Fuel Cat 5 Quarry - 475</v>
          </cell>
        </row>
        <row r="470">
          <cell r="F470">
            <v>20048.97</v>
          </cell>
        </row>
        <row r="471">
          <cell r="B471" t="str">
            <v>Fuel Hyundai Crusher - 039</v>
          </cell>
        </row>
        <row r="471">
          <cell r="F471">
            <v>7091.1</v>
          </cell>
        </row>
        <row r="472">
          <cell r="B472" t="str">
            <v>Q3 Fuel Genset 82.5kva - 547</v>
          </cell>
        </row>
        <row r="472">
          <cell r="F472">
            <v>7938.15</v>
          </cell>
        </row>
        <row r="473">
          <cell r="B473" t="str">
            <v>Fuel Loader Crusher - 368</v>
          </cell>
        </row>
        <row r="473">
          <cell r="F473">
            <v>15002.17</v>
          </cell>
        </row>
        <row r="474">
          <cell r="B474" t="str">
            <v>Fuel Loader 2 Crusher - 451</v>
          </cell>
        </row>
        <row r="474">
          <cell r="F474">
            <v>11935.24</v>
          </cell>
        </row>
        <row r="475">
          <cell r="B475" t="str">
            <v>Hire Charges - (62.5 KVA SP DG Set) - Crusher - 048</v>
          </cell>
        </row>
        <row r="475">
          <cell r="F475">
            <v>20000</v>
          </cell>
        </row>
        <row r="476">
          <cell r="B476" t="str">
            <v>Hire Charges - (62.5 KVA SP DG Set) - Chetpat - 447</v>
          </cell>
        </row>
        <row r="476">
          <cell r="F476">
            <v>20000</v>
          </cell>
        </row>
        <row r="477">
          <cell r="B477" t="str">
            <v>Office Rent - 424</v>
          </cell>
        </row>
        <row r="477">
          <cell r="F477">
            <v>150000</v>
          </cell>
        </row>
        <row r="478">
          <cell r="B478" t="str">
            <v>Professional charges - 445</v>
          </cell>
        </row>
        <row r="478">
          <cell r="F478">
            <v>15000</v>
          </cell>
        </row>
        <row r="479">
          <cell r="B479" t="str">
            <v>Director Remuneration - S.Ramprakash - 201</v>
          </cell>
        </row>
        <row r="479">
          <cell r="F479">
            <v>1000000</v>
          </cell>
        </row>
        <row r="480">
          <cell r="B480" t="str">
            <v>Director Remuneration - Sankar - 202</v>
          </cell>
        </row>
        <row r="480">
          <cell r="F480">
            <v>1000000</v>
          </cell>
        </row>
        <row r="481">
          <cell r="B481" t="str">
            <v>Audit Fees - 426</v>
          </cell>
        </row>
        <row r="481">
          <cell r="F481">
            <v>100000</v>
          </cell>
        </row>
        <row r="482">
          <cell r="B482" t="str">
            <v>Q3-Hire Charges - (62.5 KVA SP DG Set) -538</v>
          </cell>
        </row>
        <row r="482">
          <cell r="F482">
            <v>43625</v>
          </cell>
        </row>
        <row r="483">
          <cell r="B483" t="str">
            <v>Q3-Hire Charges - (62.5 KVA SP DG Set) -538</v>
          </cell>
        </row>
        <row r="483">
          <cell r="F483">
            <v>30000</v>
          </cell>
        </row>
        <row r="484">
          <cell r="B484" t="str">
            <v>Staff Welfare - Admin - 217</v>
          </cell>
        </row>
        <row r="484">
          <cell r="F484">
            <v>389</v>
          </cell>
        </row>
        <row r="485">
          <cell r="B485" t="str">
            <v>Other Expenses - Admin - 211</v>
          </cell>
        </row>
        <row r="485">
          <cell r="F485">
            <v>356</v>
          </cell>
        </row>
        <row r="486">
          <cell r="B486" t="str">
            <v>Driver Bata - S&amp;D - 330</v>
          </cell>
        </row>
        <row r="486">
          <cell r="F486">
            <v>13600</v>
          </cell>
        </row>
        <row r="487">
          <cell r="B487" t="str">
            <v>Q1 Food Expenses - Quarry - 276</v>
          </cell>
        </row>
        <row r="487">
          <cell r="F487">
            <v>910</v>
          </cell>
        </row>
        <row r="488">
          <cell r="B488" t="str">
            <v>Q1 Bata - Explosives - 266</v>
          </cell>
        </row>
        <row r="488">
          <cell r="F488">
            <v>100</v>
          </cell>
        </row>
        <row r="489">
          <cell r="B489" t="str">
            <v>Q1 Repair &amp; Maintenance - Non Operating - Quarry - 180</v>
          </cell>
        </row>
        <row r="489">
          <cell r="F489">
            <v>150</v>
          </cell>
        </row>
        <row r="490">
          <cell r="B490" t="str">
            <v>Q1 Fuel Cat 6 Quarry-572</v>
          </cell>
        </row>
        <row r="490">
          <cell r="F490">
            <v>18678</v>
          </cell>
        </row>
        <row r="491">
          <cell r="B491" t="str">
            <v>Q1 Fuel Genset 62.5kva - 543</v>
          </cell>
        </row>
        <row r="491">
          <cell r="F491">
            <v>5603.4</v>
          </cell>
        </row>
        <row r="492">
          <cell r="B492" t="str">
            <v>Rice - Canteen - 105</v>
          </cell>
        </row>
        <row r="492">
          <cell r="F492">
            <v>37500</v>
          </cell>
        </row>
        <row r="493">
          <cell r="B493" t="str">
            <v>Q3 Fuel Cat 5 Quarry - 475</v>
          </cell>
        </row>
        <row r="493">
          <cell r="F493">
            <v>14308.28</v>
          </cell>
        </row>
        <row r="494">
          <cell r="B494" t="str">
            <v>Q3 Fuel Cat 4 Quarry - 515</v>
          </cell>
        </row>
        <row r="494">
          <cell r="F494">
            <v>21813.1</v>
          </cell>
        </row>
        <row r="495">
          <cell r="B495" t="str">
            <v>Q3 Fuel Genset 82.5kva - 547</v>
          </cell>
        </row>
        <row r="495">
          <cell r="F495">
            <v>7938.15</v>
          </cell>
        </row>
        <row r="496">
          <cell r="B496" t="str">
            <v>Fuel Loader 2 Crusher - 451</v>
          </cell>
        </row>
        <row r="496">
          <cell r="F496">
            <v>9374.49</v>
          </cell>
        </row>
        <row r="497">
          <cell r="B497" t="str">
            <v>Fuel Loader Crusher - 368</v>
          </cell>
        </row>
        <row r="497">
          <cell r="F497">
            <v>15129.18</v>
          </cell>
        </row>
        <row r="498">
          <cell r="B498" t="str">
            <v>Fuel Hyundai Crusher - 039</v>
          </cell>
        </row>
        <row r="498">
          <cell r="F498">
            <v>11101.27</v>
          </cell>
        </row>
        <row r="499">
          <cell r="B499" t="str">
            <v>Q3 Fuel CAT 3 Quarry - 470</v>
          </cell>
        </row>
        <row r="499">
          <cell r="F499">
            <v>13461.23</v>
          </cell>
        </row>
        <row r="500">
          <cell r="B500" t="str">
            <v>Staff Welfare - Admin - 217</v>
          </cell>
        </row>
        <row r="500">
          <cell r="F500">
            <v>547</v>
          </cell>
        </row>
        <row r="501">
          <cell r="B501" t="str">
            <v>Staff Welfare - Admin - 217</v>
          </cell>
        </row>
        <row r="501">
          <cell r="F501">
            <v>210</v>
          </cell>
        </row>
        <row r="502">
          <cell r="B502" t="str">
            <v>Staff Welfare - Admin - 217</v>
          </cell>
        </row>
        <row r="502">
          <cell r="F502">
            <v>450</v>
          </cell>
        </row>
        <row r="503">
          <cell r="B503" t="str">
            <v>Staff Welfare - Admin - 217</v>
          </cell>
        </row>
        <row r="503">
          <cell r="F503">
            <v>750</v>
          </cell>
        </row>
        <row r="504">
          <cell r="B504" t="str">
            <v>Courier Expenses - Admin - 199</v>
          </cell>
        </row>
        <row r="504">
          <cell r="F504">
            <v>85</v>
          </cell>
        </row>
        <row r="505">
          <cell r="B505" t="str">
            <v>Printing &amp; Stationery Expenses-Admin - 213</v>
          </cell>
        </row>
        <row r="505">
          <cell r="F505">
            <v>25</v>
          </cell>
        </row>
        <row r="506">
          <cell r="B506" t="str">
            <v>Driver Bata - S&amp;D - 330</v>
          </cell>
        </row>
        <row r="506">
          <cell r="F506">
            <v>14550</v>
          </cell>
        </row>
        <row r="507">
          <cell r="B507" t="str">
            <v>Q1 Food Expenses - Quarry - 276</v>
          </cell>
        </row>
        <row r="507">
          <cell r="F507">
            <v>910</v>
          </cell>
        </row>
        <row r="508">
          <cell r="B508" t="str">
            <v>Q1 Bata - Explosives - 266</v>
          </cell>
        </row>
        <row r="508">
          <cell r="F508">
            <v>100</v>
          </cell>
        </row>
        <row r="509">
          <cell r="B509" t="str">
            <v>Q1 Fuel Cat 6 Quarry-572</v>
          </cell>
        </row>
        <row r="509">
          <cell r="F509">
            <v>18678</v>
          </cell>
        </row>
        <row r="510">
          <cell r="B510" t="str">
            <v>Q1 Fuel Genset 62.5kva - 543</v>
          </cell>
        </row>
        <row r="510">
          <cell r="F510">
            <v>13074.6</v>
          </cell>
        </row>
        <row r="511">
          <cell r="B511" t="str">
            <v>Printing &amp; Stationery - Crusher - 077</v>
          </cell>
        </row>
        <row r="511">
          <cell r="F511">
            <v>2203.4</v>
          </cell>
        </row>
        <row r="512">
          <cell r="B512" t="str">
            <v>Repairs &amp; Maintenance - JCB - 092</v>
          </cell>
        </row>
        <row r="512">
          <cell r="F512">
            <v>3763.8</v>
          </cell>
        </row>
        <row r="513">
          <cell r="B513" t="str">
            <v>Repairs &amp; Maintenance - JCB - 092</v>
          </cell>
        </row>
        <row r="513">
          <cell r="F513">
            <v>123.4</v>
          </cell>
        </row>
        <row r="514">
          <cell r="B514" t="str">
            <v>Repairs &amp; Maintenance - CAT 3 - 083</v>
          </cell>
        </row>
        <row r="514">
          <cell r="F514">
            <v>29527.6</v>
          </cell>
        </row>
        <row r="515">
          <cell r="B515" t="str">
            <v>Repairs &amp; Maintenance - CAT 4 - 452</v>
          </cell>
        </row>
        <row r="515">
          <cell r="F515">
            <v>26645.81</v>
          </cell>
        </row>
        <row r="516">
          <cell r="B516" t="str">
            <v>Repairs &amp; Maintenance - SEM Loader - 096</v>
          </cell>
        </row>
        <row r="516">
          <cell r="F516">
            <v>18000</v>
          </cell>
        </row>
        <row r="517">
          <cell r="B517" t="str">
            <v>Repairs &amp; Maintenance - SEM Loader 2 - 454</v>
          </cell>
        </row>
        <row r="517">
          <cell r="F517">
            <v>18000</v>
          </cell>
        </row>
        <row r="518">
          <cell r="B518" t="str">
            <v>Repairs &amp; Maintenance - CAT 3 - 083</v>
          </cell>
        </row>
        <row r="518">
          <cell r="F518">
            <v>33100</v>
          </cell>
        </row>
        <row r="519">
          <cell r="B519" t="str">
            <v>Repairs &amp; Maintenance - CAT 3 - 083</v>
          </cell>
        </row>
        <row r="519">
          <cell r="F519">
            <v>35350</v>
          </cell>
        </row>
        <row r="520">
          <cell r="B520" t="str">
            <v>Repairs &amp; Maintenance - CAT 4 - 452</v>
          </cell>
        </row>
        <row r="520">
          <cell r="F520">
            <v>4000</v>
          </cell>
        </row>
        <row r="521">
          <cell r="B521" t="str">
            <v>Repairs &amp; Maintenance - CAT 5 - 460</v>
          </cell>
        </row>
        <row r="521">
          <cell r="F521">
            <v>8200</v>
          </cell>
        </row>
        <row r="522">
          <cell r="B522" t="str">
            <v>Fuel - CWC 1 - 235</v>
          </cell>
        </row>
        <row r="522">
          <cell r="F522">
            <v>8685.27</v>
          </cell>
        </row>
        <row r="523">
          <cell r="B523" t="str">
            <v>Fuel - CWC 2 - 240</v>
          </cell>
        </row>
        <row r="523">
          <cell r="F523">
            <v>9245.61</v>
          </cell>
        </row>
        <row r="524">
          <cell r="B524" t="str">
            <v>Fuel Hyundai Crusher - 039</v>
          </cell>
        </row>
        <row r="524">
          <cell r="F524">
            <v>10674.48</v>
          </cell>
        </row>
        <row r="525">
          <cell r="B525" t="str">
            <v>Q3 Fuel Cat 4 Quarry - 515</v>
          </cell>
        </row>
        <row r="525">
          <cell r="F525">
            <v>23909.71</v>
          </cell>
        </row>
        <row r="526">
          <cell r="B526" t="str">
            <v>Q3 Fuel Cat 5 Quarry - 475</v>
          </cell>
        </row>
        <row r="526">
          <cell r="F526">
            <v>24801.58</v>
          </cell>
        </row>
        <row r="527">
          <cell r="B527" t="str">
            <v>Q3 Fuel CAT 3 Quarry - 470</v>
          </cell>
        </row>
        <row r="527">
          <cell r="F527">
            <v>9070.97</v>
          </cell>
        </row>
        <row r="528">
          <cell r="B528" t="str">
            <v>Fuel Loader 2 Crusher - 451</v>
          </cell>
        </row>
        <row r="528">
          <cell r="F528">
            <v>12002.48</v>
          </cell>
        </row>
        <row r="529">
          <cell r="B529" t="str">
            <v>Fuel Loader Crusher - 368</v>
          </cell>
        </row>
        <row r="529">
          <cell r="F529">
            <v>13634.94</v>
          </cell>
        </row>
        <row r="530">
          <cell r="B530" t="str">
            <v>Q3 Fuel Genset 82.5kva - 547</v>
          </cell>
        </row>
        <row r="530">
          <cell r="F530">
            <v>4762.89</v>
          </cell>
        </row>
        <row r="531">
          <cell r="B531" t="str">
            <v>Fuel Bolero TN07CT8761 Crusher - 029</v>
          </cell>
        </row>
        <row r="531">
          <cell r="F531">
            <v>2587.84</v>
          </cell>
        </row>
        <row r="532">
          <cell r="B532" t="str">
            <v>Gross Salary - 398</v>
          </cell>
        </row>
        <row r="532">
          <cell r="F532">
            <v>628597</v>
          </cell>
        </row>
        <row r="533">
          <cell r="B533" t="str">
            <v>PF employer - 400</v>
          </cell>
        </row>
        <row r="533">
          <cell r="F533">
            <v>23890</v>
          </cell>
        </row>
        <row r="534">
          <cell r="B534" t="str">
            <v>PF employer - 400</v>
          </cell>
        </row>
        <row r="534">
          <cell r="F534">
            <v>6864</v>
          </cell>
        </row>
        <row r="535">
          <cell r="B535" t="str">
            <v>Travelling &amp; Conveyance - Admin - 226</v>
          </cell>
        </row>
        <row r="535">
          <cell r="F535">
            <v>900</v>
          </cell>
        </row>
        <row r="536">
          <cell r="B536" t="str">
            <v>Pooja Expenses - Admin - 212</v>
          </cell>
        </row>
        <row r="536">
          <cell r="F536">
            <v>900</v>
          </cell>
        </row>
        <row r="537">
          <cell r="B537" t="str">
            <v>Staff Welfare - Admin - 217</v>
          </cell>
        </row>
        <row r="537">
          <cell r="F537">
            <v>245</v>
          </cell>
        </row>
        <row r="538">
          <cell r="B538" t="str">
            <v>Driver Bata - S&amp;D - 330</v>
          </cell>
        </row>
        <row r="538">
          <cell r="F538">
            <v>18600</v>
          </cell>
        </row>
        <row r="539">
          <cell r="B539" t="str">
            <v>Q1 Food Expenses - Quarry - 276</v>
          </cell>
        </row>
        <row r="539">
          <cell r="F539">
            <v>1230</v>
          </cell>
        </row>
        <row r="540">
          <cell r="B540" t="str">
            <v>Q1 Bata - Explosives - 266</v>
          </cell>
        </row>
        <row r="540">
          <cell r="F540">
            <v>100</v>
          </cell>
        </row>
        <row r="541">
          <cell r="B541" t="str">
            <v>Q1 Fuel Cat 6 Quarry-572</v>
          </cell>
        </row>
        <row r="541">
          <cell r="F541">
            <v>18678</v>
          </cell>
        </row>
        <row r="542">
          <cell r="B542" t="str">
            <v>Q1 Fuel Genset 62.5kva - 543</v>
          </cell>
        </row>
        <row r="542">
          <cell r="F542">
            <v>5603.4</v>
          </cell>
        </row>
        <row r="543">
          <cell r="B543" t="str">
            <v>Q1 Compressor Rent - Quarry - 270</v>
          </cell>
        </row>
        <row r="543">
          <cell r="F543">
            <v>442880</v>
          </cell>
        </row>
        <row r="544">
          <cell r="B544" t="str">
            <v>Q1 Compressor Rent - Quarry - 270</v>
          </cell>
        </row>
        <row r="544">
          <cell r="F544">
            <v>4473.54</v>
          </cell>
        </row>
        <row r="545">
          <cell r="B545" t="str">
            <v>Q3 Compressor Rent - Quarry - 479</v>
          </cell>
        </row>
        <row r="545">
          <cell r="F545">
            <v>629488</v>
          </cell>
        </row>
        <row r="546">
          <cell r="B546" t="str">
            <v>Compressor Rent -Black Quarry Development - 483</v>
          </cell>
        </row>
        <row r="546">
          <cell r="F546">
            <v>273175</v>
          </cell>
        </row>
        <row r="547">
          <cell r="B547" t="str">
            <v>Q3 Compressor Rent - Quarry - 479</v>
          </cell>
        </row>
        <row r="547">
          <cell r="F547">
            <v>6358.46</v>
          </cell>
        </row>
        <row r="548">
          <cell r="B548" t="str">
            <v>Compressor Rent -Black Quarry Development - 483</v>
          </cell>
        </row>
        <row r="548">
          <cell r="F548">
            <v>2759.34</v>
          </cell>
        </row>
        <row r="549">
          <cell r="B549" t="str">
            <v>Repairs &amp; Maintenance - SEM Loader 2 - 454</v>
          </cell>
        </row>
        <row r="549">
          <cell r="F549">
            <v>32415.3</v>
          </cell>
        </row>
        <row r="550">
          <cell r="B550" t="str">
            <v>Repairs &amp; Maintenance - CAT 4 - 452</v>
          </cell>
        </row>
        <row r="550">
          <cell r="F550">
            <v>7005.9</v>
          </cell>
        </row>
        <row r="551">
          <cell r="B551" t="str">
            <v>Bike Service - Crusher - 007</v>
          </cell>
        </row>
        <row r="551">
          <cell r="F551">
            <v>1250</v>
          </cell>
        </row>
        <row r="552">
          <cell r="B552" t="str">
            <v>Bike Service - Crusher - 007</v>
          </cell>
        </row>
        <row r="552">
          <cell r="F552">
            <v>1367.18</v>
          </cell>
        </row>
        <row r="553">
          <cell r="B553" t="str">
            <v>Repairs &amp; Maintenance - Crusher - 086</v>
          </cell>
        </row>
        <row r="553">
          <cell r="F553">
            <v>20897.97</v>
          </cell>
        </row>
        <row r="554">
          <cell r="B554" t="str">
            <v>Q3 Fuel CAT 3 Quarry - 470</v>
          </cell>
        </row>
        <row r="554">
          <cell r="F554">
            <v>20498.17</v>
          </cell>
        </row>
        <row r="555">
          <cell r="B555" t="str">
            <v>Q3 Fuel Cat 4 Quarry - 515</v>
          </cell>
        </row>
        <row r="555">
          <cell r="F555">
            <v>30286.38</v>
          </cell>
        </row>
        <row r="556">
          <cell r="B556" t="str">
            <v>Q3 Fuel Cat 5 Quarry - 475</v>
          </cell>
        </row>
        <row r="556">
          <cell r="F556">
            <v>14009.43</v>
          </cell>
        </row>
        <row r="557">
          <cell r="B557" t="str">
            <v>Fuel Hyundai Crusher - 039</v>
          </cell>
        </row>
        <row r="557">
          <cell r="F557">
            <v>17899.13</v>
          </cell>
        </row>
        <row r="558">
          <cell r="B558" t="str">
            <v>Fuel Loader Crusher - 368</v>
          </cell>
        </row>
        <row r="558">
          <cell r="F558">
            <v>16118.18</v>
          </cell>
        </row>
        <row r="559">
          <cell r="B559" t="str">
            <v>Fuel Loader 2 Crusher - 451</v>
          </cell>
        </row>
        <row r="559">
          <cell r="F559">
            <v>13821.72</v>
          </cell>
        </row>
        <row r="560">
          <cell r="B560" t="str">
            <v>Printing &amp; Stationery - Crusher - 077</v>
          </cell>
        </row>
        <row r="560">
          <cell r="F560">
            <v>1200</v>
          </cell>
        </row>
        <row r="561">
          <cell r="B561" t="str">
            <v>Printing &amp; Stationery - Crusher - 077</v>
          </cell>
        </row>
        <row r="561">
          <cell r="F561">
            <v>8500</v>
          </cell>
        </row>
        <row r="562">
          <cell r="B562" t="str">
            <v>Gas Cylinder - Canteen - 046</v>
          </cell>
        </row>
        <row r="562">
          <cell r="F562">
            <v>19960</v>
          </cell>
        </row>
        <row r="563">
          <cell r="B563" t="str">
            <v>Repairs &amp; Maintenance - Tanker (SMK) - 098</v>
          </cell>
        </row>
        <row r="563">
          <cell r="F563">
            <v>5900</v>
          </cell>
        </row>
        <row r="564">
          <cell r="B564" t="str">
            <v>Repairs &amp; Maintenance - CWC 1 - 238</v>
          </cell>
        </row>
        <row r="564">
          <cell r="F564">
            <v>2040</v>
          </cell>
        </row>
        <row r="565">
          <cell r="B565" t="str">
            <v>Repairs &amp; Maintenance - CWC 2 - 243</v>
          </cell>
        </row>
        <row r="565">
          <cell r="F565">
            <v>1690</v>
          </cell>
        </row>
        <row r="566">
          <cell r="B566" t="str">
            <v>Fuel Discount - 034</v>
          </cell>
        </row>
        <row r="566">
          <cell r="F566">
            <v>-29084.92</v>
          </cell>
        </row>
        <row r="567">
          <cell r="B567" t="str">
            <v>Electricity Charges HT - Crusher - 027</v>
          </cell>
        </row>
        <row r="567">
          <cell r="F567">
            <v>3797544</v>
          </cell>
        </row>
        <row r="568">
          <cell r="B568" t="str">
            <v>Q1 Royalty Fee - 299</v>
          </cell>
        </row>
        <row r="568">
          <cell r="F568">
            <v>32196.25</v>
          </cell>
        </row>
        <row r="569">
          <cell r="B569" t="str">
            <v>Q1 Royalty Fee - 299</v>
          </cell>
        </row>
        <row r="569">
          <cell r="F569">
            <v>32196.25</v>
          </cell>
        </row>
        <row r="570">
          <cell r="B570" t="str">
            <v>Q1 Transport Charges Inward - 326</v>
          </cell>
        </row>
        <row r="570">
          <cell r="F570">
            <v>212495.25</v>
          </cell>
        </row>
        <row r="571">
          <cell r="B571" t="str">
            <v>Q3 Transport Charges Inward - 542</v>
          </cell>
        </row>
        <row r="571">
          <cell r="F571">
            <v>56665</v>
          </cell>
        </row>
        <row r="572">
          <cell r="B572" t="str">
            <v>Q3 Transport Intercart Charges-491</v>
          </cell>
        </row>
        <row r="572">
          <cell r="F572">
            <v>24500</v>
          </cell>
        </row>
        <row r="573">
          <cell r="B573" t="str">
            <v>Transport Charges - Crusher - 122</v>
          </cell>
        </row>
        <row r="573">
          <cell r="F573">
            <v>840</v>
          </cell>
        </row>
        <row r="574">
          <cell r="B574" t="str">
            <v>Repairs &amp; Maintenance - Non Operating Crusher - 184</v>
          </cell>
        </row>
        <row r="574">
          <cell r="F574">
            <v>1130</v>
          </cell>
        </row>
        <row r="575">
          <cell r="B575" t="str">
            <v>Repairs &amp; Maintenance - CAT 4 - 452</v>
          </cell>
        </row>
        <row r="575">
          <cell r="F575">
            <v>900</v>
          </cell>
        </row>
        <row r="576">
          <cell r="B576" t="str">
            <v>Q1 Food Expenses - Quarry - 276</v>
          </cell>
        </row>
        <row r="576">
          <cell r="F576">
            <v>1610</v>
          </cell>
        </row>
        <row r="577">
          <cell r="B577" t="str">
            <v>Q1 Repair &amp; Maintenance - Quarry - 294</v>
          </cell>
        </row>
        <row r="577">
          <cell r="F577">
            <v>14000</v>
          </cell>
        </row>
        <row r="578">
          <cell r="B578" t="str">
            <v>Repairs &amp; Maintenance - CAT 5 - 460</v>
          </cell>
        </row>
        <row r="578">
          <cell r="F578">
            <v>2500</v>
          </cell>
        </row>
        <row r="579">
          <cell r="B579" t="str">
            <v>Q1 Royalty Fee - 299</v>
          </cell>
        </row>
        <row r="579">
          <cell r="F579">
            <v>33133.5</v>
          </cell>
        </row>
        <row r="580">
          <cell r="B580" t="str">
            <v>Q1 Royalty Fee - 299</v>
          </cell>
        </row>
        <row r="580">
          <cell r="F580">
            <v>33133.5</v>
          </cell>
        </row>
        <row r="581">
          <cell r="B581" t="str">
            <v>Q1 Transport Charges Inward - 326</v>
          </cell>
        </row>
        <row r="581">
          <cell r="F581">
            <v>218681.1</v>
          </cell>
        </row>
        <row r="582">
          <cell r="B582" t="str">
            <v>Q1 Explosives - Quarry - 275</v>
          </cell>
        </row>
        <row r="582">
          <cell r="F582">
            <v>24530</v>
          </cell>
        </row>
        <row r="583">
          <cell r="B583" t="str">
            <v>Q1 Compressor Rent - Quarry - 270</v>
          </cell>
        </row>
        <row r="583">
          <cell r="F583">
            <v>30720</v>
          </cell>
        </row>
        <row r="584">
          <cell r="B584" t="str">
            <v>Q1 Labour - Explosives - 287</v>
          </cell>
        </row>
        <row r="584">
          <cell r="F584">
            <v>1550</v>
          </cell>
        </row>
        <row r="585">
          <cell r="B585" t="str">
            <v>Q3 Explosives - Quarry - 480</v>
          </cell>
        </row>
        <row r="585">
          <cell r="F585">
            <v>30710</v>
          </cell>
        </row>
        <row r="586">
          <cell r="B586" t="str">
            <v>Q3 Compressor Rent - Quarry - 479</v>
          </cell>
        </row>
        <row r="586">
          <cell r="F586">
            <v>38400</v>
          </cell>
        </row>
        <row r="587">
          <cell r="B587" t="str">
            <v>Q3 Labour - Explosives - 481</v>
          </cell>
        </row>
        <row r="587">
          <cell r="F587">
            <v>2100</v>
          </cell>
        </row>
        <row r="588">
          <cell r="B588" t="str">
            <v>Transport Charges - Intercart - 425</v>
          </cell>
        </row>
        <row r="588">
          <cell r="F588">
            <v>28000</v>
          </cell>
        </row>
        <row r="589">
          <cell r="B589" t="str">
            <v>Q3 Transport Intercart Charges-491</v>
          </cell>
        </row>
        <row r="589">
          <cell r="F589">
            <v>24500</v>
          </cell>
        </row>
        <row r="590">
          <cell r="B590" t="str">
            <v>Fuel Company Bike - Crusher - 032</v>
          </cell>
        </row>
        <row r="590">
          <cell r="F590">
            <v>1000</v>
          </cell>
        </row>
        <row r="591">
          <cell r="B591" t="str">
            <v>EB AE (Reading) - 024</v>
          </cell>
        </row>
        <row r="591">
          <cell r="F591">
            <v>1000</v>
          </cell>
        </row>
        <row r="592">
          <cell r="B592" t="str">
            <v>Q1 Transit Pass Expenses - Quarry - 303</v>
          </cell>
        </row>
        <row r="592">
          <cell r="F592">
            <v>2000</v>
          </cell>
        </row>
        <row r="593">
          <cell r="B593" t="str">
            <v>Q1 Chakkai Pass - 269</v>
          </cell>
        </row>
        <row r="593">
          <cell r="F593">
            <v>2000</v>
          </cell>
        </row>
        <row r="594">
          <cell r="B594" t="str">
            <v>Travelling &amp; Conveyance - Crusher - 130</v>
          </cell>
        </row>
        <row r="594">
          <cell r="F594">
            <v>250</v>
          </cell>
        </row>
        <row r="595">
          <cell r="B595" t="str">
            <v>Q3 Repair &amp; Maintenance - 505</v>
          </cell>
        </row>
        <row r="595">
          <cell r="F595">
            <v>1500</v>
          </cell>
        </row>
        <row r="596">
          <cell r="B596" t="str">
            <v>Q3 Bata - Explosives - 511</v>
          </cell>
        </row>
        <row r="596">
          <cell r="F596">
            <v>400</v>
          </cell>
        </row>
        <row r="597">
          <cell r="B597" t="str">
            <v>Q1 Royalty Fee - 299</v>
          </cell>
        </row>
        <row r="597">
          <cell r="F597">
            <v>42441</v>
          </cell>
        </row>
        <row r="598">
          <cell r="B598" t="str">
            <v>Q1 Royalty Fee - 299</v>
          </cell>
        </row>
        <row r="598">
          <cell r="F598">
            <v>42441</v>
          </cell>
        </row>
        <row r="599">
          <cell r="B599" t="str">
            <v>Q1 Transport Charges Inward - 326</v>
          </cell>
        </row>
        <row r="599">
          <cell r="F599">
            <v>280110.6</v>
          </cell>
        </row>
        <row r="600">
          <cell r="B600" t="str">
            <v>Q1 Explosives - Quarry - 275</v>
          </cell>
        </row>
        <row r="600">
          <cell r="F600">
            <v>24530</v>
          </cell>
        </row>
        <row r="601">
          <cell r="B601" t="str">
            <v>Q1 Compressor Rent - Quarry - 270</v>
          </cell>
        </row>
        <row r="601">
          <cell r="F601">
            <v>30720</v>
          </cell>
        </row>
        <row r="602">
          <cell r="B602" t="str">
            <v>Q1 Labour - Explosives - 287</v>
          </cell>
        </row>
        <row r="602">
          <cell r="F602">
            <v>1550</v>
          </cell>
        </row>
        <row r="603">
          <cell r="B603" t="str">
            <v>Q3 Explosives - Quarry - 480</v>
          </cell>
        </row>
        <row r="603">
          <cell r="F603">
            <v>32660</v>
          </cell>
        </row>
        <row r="604">
          <cell r="B604" t="str">
            <v>Q3 Compressor Rent - Quarry - 479</v>
          </cell>
        </row>
        <row r="604">
          <cell r="F604">
            <v>38400</v>
          </cell>
        </row>
        <row r="605">
          <cell r="B605" t="str">
            <v>Q3 Labour - Explosives - 481</v>
          </cell>
        </row>
        <row r="605">
          <cell r="F605">
            <v>2100</v>
          </cell>
        </row>
        <row r="606">
          <cell r="B606" t="str">
            <v>Business Promotion - Admin - 196</v>
          </cell>
        </row>
        <row r="606">
          <cell r="F606">
            <v>29300</v>
          </cell>
        </row>
        <row r="607">
          <cell r="B607" t="str">
            <v>Business Promotion - Admin - 196</v>
          </cell>
        </row>
        <row r="607">
          <cell r="F607">
            <v>120240</v>
          </cell>
        </row>
        <row r="608">
          <cell r="B608" t="str">
            <v>Business Promotion - Admin - 196</v>
          </cell>
        </row>
        <row r="608">
          <cell r="F608">
            <v>30000</v>
          </cell>
        </row>
        <row r="609">
          <cell r="B609" t="str">
            <v>Business Promotion - Admin - 196</v>
          </cell>
        </row>
        <row r="609">
          <cell r="F609">
            <v>27190</v>
          </cell>
        </row>
        <row r="610">
          <cell r="B610" t="str">
            <v>Q3 Bata - Explosives - 511</v>
          </cell>
        </row>
        <row r="610">
          <cell r="F610">
            <v>200</v>
          </cell>
        </row>
        <row r="611">
          <cell r="B611" t="str">
            <v>Q1 Royalty Fee - 299</v>
          </cell>
        </row>
        <row r="611">
          <cell r="F611">
            <v>36802</v>
          </cell>
        </row>
        <row r="612">
          <cell r="B612" t="str">
            <v>Q1 Royalty Fee - 299</v>
          </cell>
        </row>
        <row r="612">
          <cell r="F612">
            <v>36802</v>
          </cell>
        </row>
        <row r="613">
          <cell r="B613" t="str">
            <v>Q1 Transport Charges Inward - 326</v>
          </cell>
        </row>
        <row r="613">
          <cell r="F613">
            <v>242893.2</v>
          </cell>
        </row>
        <row r="614">
          <cell r="B614" t="str">
            <v>Q3 Explosives - Black Quarry Development - 482</v>
          </cell>
        </row>
        <row r="614">
          <cell r="F614">
            <v>25566.25</v>
          </cell>
        </row>
        <row r="615">
          <cell r="B615" t="str">
            <v>Q3 Compressor Rent - Quarry - 479</v>
          </cell>
        </row>
        <row r="615">
          <cell r="F615">
            <v>6400</v>
          </cell>
        </row>
        <row r="616">
          <cell r="B616" t="str">
            <v>Compressor Rent -Black Quarry Development - 483</v>
          </cell>
        </row>
        <row r="616">
          <cell r="F616">
            <v>26000</v>
          </cell>
        </row>
        <row r="617">
          <cell r="B617" t="str">
            <v>Q3 Labour Explosives - Quarry Development - 484</v>
          </cell>
        </row>
        <row r="617">
          <cell r="F617">
            <v>1750</v>
          </cell>
        </row>
        <row r="618">
          <cell r="B618" t="str">
            <v>Transport Charges - Intercart - 425</v>
          </cell>
        </row>
        <row r="618">
          <cell r="F618">
            <v>7000</v>
          </cell>
        </row>
        <row r="619">
          <cell r="B619" t="str">
            <v>Q3 Transport Intercart Charges-491</v>
          </cell>
        </row>
        <row r="619">
          <cell r="F619">
            <v>14000</v>
          </cell>
        </row>
        <row r="620">
          <cell r="B620" t="str">
            <v>Q3 Labour - Explosives - 481</v>
          </cell>
        </row>
        <row r="620">
          <cell r="F620">
            <v>350</v>
          </cell>
        </row>
        <row r="621">
          <cell r="B621" t="str">
            <v>Q3 Explosives - Quarry - 480</v>
          </cell>
        </row>
        <row r="621">
          <cell r="F621">
            <v>5143.75</v>
          </cell>
        </row>
        <row r="622">
          <cell r="B622" t="str">
            <v>Q1 Royalty Fee - 299</v>
          </cell>
        </row>
        <row r="622">
          <cell r="F622">
            <v>41212</v>
          </cell>
        </row>
        <row r="623">
          <cell r="B623" t="str">
            <v>Q1 Royalty Fee - 299</v>
          </cell>
        </row>
        <row r="623">
          <cell r="F623">
            <v>41212</v>
          </cell>
        </row>
        <row r="624">
          <cell r="B624" t="str">
            <v>Q1 Transport Charges Inward - 326</v>
          </cell>
        </row>
        <row r="624">
          <cell r="F624">
            <v>271999.2</v>
          </cell>
        </row>
        <row r="625">
          <cell r="B625" t="str">
            <v>Q3 Transport Intercart Charges-491</v>
          </cell>
        </row>
        <row r="625">
          <cell r="F625">
            <v>10500</v>
          </cell>
        </row>
        <row r="626">
          <cell r="B626" t="str">
            <v>Business Promotion - Admin - 196</v>
          </cell>
        </row>
        <row r="626">
          <cell r="F626">
            <v>148190</v>
          </cell>
        </row>
        <row r="627">
          <cell r="B627" t="str">
            <v>AD Mines - 265</v>
          </cell>
        </row>
        <row r="627">
          <cell r="F627">
            <v>300000</v>
          </cell>
        </row>
        <row r="628">
          <cell r="B628" t="str">
            <v>Police - Chetpet - 117</v>
          </cell>
        </row>
        <row r="628">
          <cell r="F628">
            <v>15000</v>
          </cell>
        </row>
        <row r="629">
          <cell r="B629" t="str">
            <v>Police - Vandavasi town - 104</v>
          </cell>
        </row>
        <row r="629">
          <cell r="F629">
            <v>5000</v>
          </cell>
        </row>
        <row r="630">
          <cell r="B630" t="str">
            <v>Police - Vandavasi South - 383</v>
          </cell>
        </row>
        <row r="630">
          <cell r="F630">
            <v>5000</v>
          </cell>
        </row>
        <row r="631">
          <cell r="B631" t="str">
            <v>Police - Vandavasi SI - 405</v>
          </cell>
        </row>
        <row r="631">
          <cell r="F631">
            <v>2000</v>
          </cell>
        </row>
        <row r="632">
          <cell r="B632" t="str">
            <v>Police - Vandavasi Inspector - 406</v>
          </cell>
        </row>
        <row r="632">
          <cell r="F632">
            <v>5000</v>
          </cell>
        </row>
        <row r="633">
          <cell r="B633" t="str">
            <v>Police - Ponnur - 384</v>
          </cell>
        </row>
        <row r="633">
          <cell r="F633">
            <v>5000</v>
          </cell>
        </row>
        <row r="634">
          <cell r="B634" t="str">
            <v>Police - Vadavanakampadi - 385</v>
          </cell>
        </row>
        <row r="634">
          <cell r="F634">
            <v>5000</v>
          </cell>
        </row>
        <row r="635">
          <cell r="B635" t="str">
            <v>Police - Perunagar - 386</v>
          </cell>
        </row>
        <row r="635">
          <cell r="F635">
            <v>5000</v>
          </cell>
        </row>
        <row r="636">
          <cell r="B636" t="str">
            <v>Police - Perunagar- SI - 387</v>
          </cell>
        </row>
        <row r="636">
          <cell r="F636">
            <v>5000</v>
          </cell>
        </row>
        <row r="637">
          <cell r="B637" t="str">
            <v>Police - Thesur - 388</v>
          </cell>
        </row>
        <row r="637">
          <cell r="F637">
            <v>5000</v>
          </cell>
        </row>
        <row r="638">
          <cell r="B638" t="str">
            <v>Police - Highway patrol - 389</v>
          </cell>
        </row>
        <row r="638">
          <cell r="F638">
            <v>5000</v>
          </cell>
        </row>
        <row r="639">
          <cell r="B639" t="str">
            <v>Police - Uthiramerur - 404</v>
          </cell>
        </row>
        <row r="639">
          <cell r="F639">
            <v>5000</v>
          </cell>
        </row>
        <row r="640">
          <cell r="B640" t="str">
            <v>EB AE (Reading) - 024</v>
          </cell>
        </row>
        <row r="640">
          <cell r="F640">
            <v>7000</v>
          </cell>
        </row>
        <row r="641">
          <cell r="B641" t="str">
            <v>RI / VAO - Veerambakkam - 317</v>
          </cell>
        </row>
        <row r="641">
          <cell r="F641">
            <v>8000</v>
          </cell>
        </row>
        <row r="642">
          <cell r="B642" t="str">
            <v>Thasildhar - Chetpet - 390</v>
          </cell>
        </row>
        <row r="642">
          <cell r="F642">
            <v>10000</v>
          </cell>
        </row>
        <row r="643">
          <cell r="B643" t="str">
            <v>Dy. Thasildhar - Chetpet - 391</v>
          </cell>
        </row>
        <row r="643">
          <cell r="F643">
            <v>3000</v>
          </cell>
        </row>
        <row r="644">
          <cell r="B644" t="str">
            <v>Thasildhar Driver - Chetpet - 392</v>
          </cell>
        </row>
        <row r="644">
          <cell r="F644">
            <v>500</v>
          </cell>
        </row>
        <row r="645">
          <cell r="B645" t="str">
            <v>Thasildhar OA - Chetpet - 393</v>
          </cell>
        </row>
        <row r="645">
          <cell r="F645">
            <v>500</v>
          </cell>
        </row>
        <row r="646">
          <cell r="B646" t="str">
            <v>RI - Devikapuram - 394</v>
          </cell>
        </row>
        <row r="646">
          <cell r="F646">
            <v>2000</v>
          </cell>
        </row>
        <row r="647">
          <cell r="B647" t="str">
            <v>VAO - Muruganandhal - 395</v>
          </cell>
        </row>
        <row r="647">
          <cell r="F647">
            <v>2000</v>
          </cell>
        </row>
        <row r="648">
          <cell r="B648" t="str">
            <v>RI - Cheyyar -</v>
          </cell>
        </row>
        <row r="648">
          <cell r="F648">
            <v>3000</v>
          </cell>
        </row>
        <row r="649">
          <cell r="B649" t="str">
            <v>Cheyyar Thasildhar -</v>
          </cell>
        </row>
        <row r="649">
          <cell r="F649">
            <v>10000</v>
          </cell>
        </row>
        <row r="650">
          <cell r="B650" t="str">
            <v>VAO Soundaryapuram - 509</v>
          </cell>
        </row>
        <row r="650">
          <cell r="F650">
            <v>3000</v>
          </cell>
        </row>
        <row r="651">
          <cell r="B651" t="str">
            <v>Special RI Villupuram JD Mines - 510</v>
          </cell>
        </row>
        <row r="651">
          <cell r="F651">
            <v>5000</v>
          </cell>
        </row>
        <row r="652">
          <cell r="B652" t="str">
            <v>Police - Chetpet - 117</v>
          </cell>
        </row>
        <row r="652">
          <cell r="F652">
            <v>5000</v>
          </cell>
        </row>
        <row r="653">
          <cell r="B653" t="str">
            <v>Repairs &amp; Maintenance - Canteen - 080</v>
          </cell>
        </row>
        <row r="653">
          <cell r="F653">
            <v>35</v>
          </cell>
        </row>
        <row r="654">
          <cell r="B654" t="str">
            <v>Q1 Royalty Fee - 299</v>
          </cell>
        </row>
        <row r="654">
          <cell r="F654">
            <v>37016.5</v>
          </cell>
        </row>
        <row r="655">
          <cell r="B655" t="str">
            <v>Q1 Royalty Fee - 299</v>
          </cell>
        </row>
        <row r="655">
          <cell r="F655">
            <v>37016.5</v>
          </cell>
        </row>
        <row r="656">
          <cell r="B656" t="str">
            <v>Q1 Transport Charges Inward - 326</v>
          </cell>
        </row>
        <row r="656">
          <cell r="F656">
            <v>244308.9</v>
          </cell>
        </row>
        <row r="657">
          <cell r="B657" t="str">
            <v>Q3 Transport Charges Inward - 542</v>
          </cell>
        </row>
        <row r="657">
          <cell r="F657">
            <v>89427.45</v>
          </cell>
        </row>
        <row r="658">
          <cell r="B658" t="str">
            <v>Q1 Explosives - Quarry - 275</v>
          </cell>
        </row>
        <row r="658">
          <cell r="F658">
            <v>24530</v>
          </cell>
        </row>
        <row r="659">
          <cell r="B659" t="str">
            <v>Q1 Compressor Rent - Quarry - 270</v>
          </cell>
        </row>
        <row r="659">
          <cell r="F659">
            <v>30720</v>
          </cell>
        </row>
        <row r="660">
          <cell r="B660" t="str">
            <v>Q1 Labour - Explosives - 287</v>
          </cell>
        </row>
        <row r="660">
          <cell r="F660">
            <v>1550</v>
          </cell>
        </row>
        <row r="661">
          <cell r="B661" t="str">
            <v>Q3 Explosives - Black Quarry Development - 482</v>
          </cell>
        </row>
        <row r="661">
          <cell r="F661">
            <v>40160</v>
          </cell>
        </row>
        <row r="662">
          <cell r="B662" t="str">
            <v>Compressor Rent -Black Quarry Development - 483</v>
          </cell>
        </row>
        <row r="662">
          <cell r="F662">
            <v>38311</v>
          </cell>
        </row>
        <row r="663">
          <cell r="B663" t="str">
            <v>Q3 Labour Explosives - Quarry Development - 484</v>
          </cell>
        </row>
        <row r="663">
          <cell r="F663">
            <v>2100</v>
          </cell>
        </row>
        <row r="664">
          <cell r="B664" t="str">
            <v>Q1 Site Development - Chetpet Non Operating - 396</v>
          </cell>
        </row>
        <row r="664">
          <cell r="F664">
            <v>80430</v>
          </cell>
        </row>
        <row r="665">
          <cell r="B665" t="str">
            <v>Fuel Company Bike - Crusher - 032</v>
          </cell>
        </row>
        <row r="665">
          <cell r="F665">
            <v>500</v>
          </cell>
        </row>
        <row r="666">
          <cell r="B666" t="str">
            <v>Courier Expenses - Admin - 199</v>
          </cell>
        </row>
        <row r="666">
          <cell r="F666">
            <v>110</v>
          </cell>
        </row>
        <row r="667">
          <cell r="B667" t="str">
            <v>Q3 Bata - Explosives - 511</v>
          </cell>
        </row>
        <row r="667">
          <cell r="F667">
            <v>400</v>
          </cell>
        </row>
        <row r="668">
          <cell r="B668" t="str">
            <v>Q1 Royalty Fee - 299</v>
          </cell>
        </row>
        <row r="668">
          <cell r="F668">
            <v>42860</v>
          </cell>
        </row>
        <row r="669">
          <cell r="B669" t="str">
            <v>Q1 Royalty Fee - 299</v>
          </cell>
        </row>
        <row r="669">
          <cell r="F669">
            <v>42860</v>
          </cell>
        </row>
        <row r="670">
          <cell r="B670" t="str">
            <v>Q1 Transport Charges Inward - 326</v>
          </cell>
        </row>
        <row r="670">
          <cell r="F670">
            <v>282876</v>
          </cell>
        </row>
        <row r="671">
          <cell r="B671" t="str">
            <v>Q3 Transport Charges Inward - 542</v>
          </cell>
        </row>
        <row r="671">
          <cell r="F671">
            <v>37548.35</v>
          </cell>
        </row>
        <row r="672">
          <cell r="B672" t="str">
            <v>Q1 Explosives - Quarry - 275</v>
          </cell>
        </row>
        <row r="672">
          <cell r="F672">
            <v>15670</v>
          </cell>
        </row>
        <row r="673">
          <cell r="B673" t="str">
            <v>Q1 Compressor Rent - Quarry - 270</v>
          </cell>
        </row>
        <row r="673">
          <cell r="F673">
            <v>20480</v>
          </cell>
        </row>
        <row r="674">
          <cell r="B674" t="str">
            <v>Q1 Labour - Explosives - 287</v>
          </cell>
        </row>
        <row r="674">
          <cell r="F674">
            <v>1200</v>
          </cell>
        </row>
        <row r="675">
          <cell r="B675" t="str">
            <v>Q3 Explosives - Quarry - 480</v>
          </cell>
        </row>
        <row r="675">
          <cell r="F675">
            <v>24365</v>
          </cell>
        </row>
        <row r="676">
          <cell r="B676" t="str">
            <v>Q3 Compressor Rent - Quarry - 479</v>
          </cell>
        </row>
        <row r="676">
          <cell r="F676">
            <v>30720</v>
          </cell>
        </row>
        <row r="677">
          <cell r="B677" t="str">
            <v>Q3 Labour - Explosives - 481</v>
          </cell>
        </row>
        <row r="677">
          <cell r="F677">
            <v>2100</v>
          </cell>
        </row>
        <row r="678">
          <cell r="B678" t="str">
            <v>Q3 Transport Intercart Charges-491</v>
          </cell>
        </row>
        <row r="678">
          <cell r="F678">
            <v>14000</v>
          </cell>
        </row>
        <row r="679">
          <cell r="B679" t="str">
            <v>Travelling &amp; Conveyance - Crusher - 130</v>
          </cell>
        </row>
        <row r="679">
          <cell r="F679">
            <v>5000</v>
          </cell>
        </row>
        <row r="680">
          <cell r="B680" t="str">
            <v>Q3 Bata - Explosives - 511</v>
          </cell>
        </row>
        <row r="680">
          <cell r="F680">
            <v>200</v>
          </cell>
        </row>
        <row r="681">
          <cell r="B681" t="str">
            <v>Q1 Royalty Fee - 299</v>
          </cell>
        </row>
        <row r="681">
          <cell r="F681">
            <v>7199.5</v>
          </cell>
        </row>
        <row r="682">
          <cell r="B682" t="str">
            <v>Q1 Royalty Fee - 299</v>
          </cell>
        </row>
        <row r="682">
          <cell r="F682">
            <v>7199.5</v>
          </cell>
        </row>
        <row r="683">
          <cell r="B683" t="str">
            <v>Q1 Transport Charges Inward - 326</v>
          </cell>
        </row>
        <row r="683">
          <cell r="F683">
            <v>47516.7</v>
          </cell>
        </row>
        <row r="684">
          <cell r="B684" t="str">
            <v>Q3 Transport Charges Inward - 542</v>
          </cell>
        </row>
        <row r="684">
          <cell r="F684">
            <v>119648.9</v>
          </cell>
        </row>
        <row r="685">
          <cell r="B685" t="str">
            <v>Q1 Explosives - Quarry - 275</v>
          </cell>
        </row>
        <row r="685">
          <cell r="F685">
            <v>24530</v>
          </cell>
        </row>
        <row r="686">
          <cell r="B686" t="str">
            <v>Q1 Compressor Rent - Quarry - 270</v>
          </cell>
        </row>
        <row r="686">
          <cell r="F686">
            <v>30720</v>
          </cell>
        </row>
        <row r="687">
          <cell r="B687" t="str">
            <v>Q1 Labour - Explosives - 287</v>
          </cell>
        </row>
        <row r="687">
          <cell r="F687">
            <v>1550</v>
          </cell>
        </row>
        <row r="688">
          <cell r="B688" t="str">
            <v>Q3 Explosives - Quarry - 480</v>
          </cell>
        </row>
        <row r="688">
          <cell r="F688">
            <v>30710</v>
          </cell>
        </row>
        <row r="689">
          <cell r="B689" t="str">
            <v>Q3 Compressor Rent - Quarry - 479</v>
          </cell>
        </row>
        <row r="689">
          <cell r="F689">
            <v>38400</v>
          </cell>
        </row>
        <row r="690">
          <cell r="B690" t="str">
            <v>Q3 Labour - Explosives - 481</v>
          </cell>
        </row>
        <row r="690">
          <cell r="F690">
            <v>2100</v>
          </cell>
        </row>
        <row r="691">
          <cell r="B691" t="str">
            <v>Transport Charges - Intercart - 425</v>
          </cell>
        </row>
        <row r="691">
          <cell r="F691">
            <v>21000</v>
          </cell>
        </row>
        <row r="692">
          <cell r="B692" t="str">
            <v>Q3 Transport Intercart Charges-491</v>
          </cell>
        </row>
        <row r="692">
          <cell r="F692">
            <v>31500</v>
          </cell>
        </row>
        <row r="693">
          <cell r="B693" t="str">
            <v>Business Promotion - Admin - 196</v>
          </cell>
        </row>
        <row r="693">
          <cell r="F693">
            <v>37700</v>
          </cell>
        </row>
        <row r="694">
          <cell r="B694" t="str">
            <v>Q1 Transit Pass Expenses - Quarry - 303</v>
          </cell>
        </row>
        <row r="694">
          <cell r="F694">
            <v>50000</v>
          </cell>
        </row>
        <row r="695">
          <cell r="B695" t="str">
            <v>Donation - Admin - 203</v>
          </cell>
        </row>
        <row r="695">
          <cell r="F695">
            <v>500</v>
          </cell>
        </row>
        <row r="696">
          <cell r="B696" t="str">
            <v>Gross Salary - 398</v>
          </cell>
        </row>
        <row r="696">
          <cell r="F696">
            <v>5000</v>
          </cell>
        </row>
        <row r="697">
          <cell r="B697" t="str">
            <v>Q1 Explosives - Quarry - 275</v>
          </cell>
        </row>
        <row r="697">
          <cell r="F697">
            <v>24530</v>
          </cell>
        </row>
        <row r="698">
          <cell r="B698" t="str">
            <v>Q1 Royalty Fee - 299</v>
          </cell>
        </row>
        <row r="698">
          <cell r="F698">
            <v>22156.75</v>
          </cell>
        </row>
        <row r="699">
          <cell r="B699" t="str">
            <v>Q1 Royalty Fee - 299</v>
          </cell>
        </row>
        <row r="699">
          <cell r="F699">
            <v>22156.75</v>
          </cell>
        </row>
        <row r="700">
          <cell r="B700" t="str">
            <v>Q1 Transport Charges Inward - 326</v>
          </cell>
        </row>
        <row r="700">
          <cell r="F700">
            <v>146234.55</v>
          </cell>
        </row>
        <row r="701">
          <cell r="B701" t="str">
            <v>Q3 Transport Charges Inward - 542</v>
          </cell>
        </row>
        <row r="701">
          <cell r="F701">
            <v>89232.85</v>
          </cell>
        </row>
        <row r="702">
          <cell r="B702" t="str">
            <v>Q1 Compressor Rent - Quarry - 270</v>
          </cell>
        </row>
        <row r="702">
          <cell r="F702">
            <v>30720</v>
          </cell>
        </row>
        <row r="703">
          <cell r="B703" t="str">
            <v>Q1 Labour - Explosives - 287</v>
          </cell>
        </row>
        <row r="703">
          <cell r="F703">
            <v>1550</v>
          </cell>
        </row>
        <row r="704">
          <cell r="B704" t="str">
            <v>Transport Charges - Intercart - 425</v>
          </cell>
        </row>
        <row r="704">
          <cell r="F704">
            <v>7000</v>
          </cell>
        </row>
        <row r="705">
          <cell r="B705" t="str">
            <v>Q3 Transport Intercart Charges-491</v>
          </cell>
        </row>
        <row r="705">
          <cell r="F705">
            <v>7000</v>
          </cell>
        </row>
        <row r="706">
          <cell r="B706" t="str">
            <v>Q3 Bata - Explosives - 511</v>
          </cell>
        </row>
        <row r="706">
          <cell r="F706">
            <v>200</v>
          </cell>
        </row>
        <row r="707">
          <cell r="B707" t="str">
            <v>Q1 Royalty Fee - 299</v>
          </cell>
        </row>
        <row r="707">
          <cell r="F707">
            <v>23077.25</v>
          </cell>
        </row>
        <row r="708">
          <cell r="B708" t="str">
            <v>Q1 Royalty Fee - 299</v>
          </cell>
        </row>
        <row r="708">
          <cell r="F708">
            <v>23077.25</v>
          </cell>
        </row>
        <row r="709">
          <cell r="B709" t="str">
            <v>Q1 Transport Charges Inward - 326</v>
          </cell>
        </row>
        <row r="709">
          <cell r="F709">
            <v>152309.85</v>
          </cell>
        </row>
        <row r="710">
          <cell r="B710" t="str">
            <v>Q3 Transport Charges Inward - 542</v>
          </cell>
        </row>
        <row r="710">
          <cell r="F710">
            <v>87764.6</v>
          </cell>
        </row>
        <row r="711">
          <cell r="B711" t="str">
            <v>Q1 Explosives - Quarry - 275</v>
          </cell>
        </row>
        <row r="711">
          <cell r="F711">
            <v>18410</v>
          </cell>
        </row>
        <row r="712">
          <cell r="B712" t="str">
            <v>Q1 Compressor Rent - Quarry - 270</v>
          </cell>
        </row>
        <row r="712">
          <cell r="F712">
            <v>23040</v>
          </cell>
        </row>
        <row r="713">
          <cell r="B713" t="str">
            <v>Q1 Labour - Explosives - 287</v>
          </cell>
        </row>
        <row r="713">
          <cell r="F713">
            <v>1550</v>
          </cell>
        </row>
        <row r="714">
          <cell r="B714" t="str">
            <v>Q3 Explosives - Quarry - 480</v>
          </cell>
        </row>
        <row r="714">
          <cell r="F714">
            <v>36410</v>
          </cell>
        </row>
        <row r="715">
          <cell r="B715" t="str">
            <v>Q3 Compressor Rent - Quarry - 479</v>
          </cell>
        </row>
        <row r="715">
          <cell r="F715">
            <v>44800</v>
          </cell>
        </row>
        <row r="716">
          <cell r="B716" t="str">
            <v>Q3 Labour - Explosives - 481</v>
          </cell>
        </row>
        <row r="716">
          <cell r="F716">
            <v>2100</v>
          </cell>
        </row>
        <row r="717">
          <cell r="B717" t="str">
            <v>Q3 Transport Intercart Charges-491</v>
          </cell>
        </row>
        <row r="717">
          <cell r="F717">
            <v>17500</v>
          </cell>
        </row>
        <row r="718">
          <cell r="B718" t="str">
            <v>Bonus - Crusher - 009</v>
          </cell>
        </row>
        <row r="718">
          <cell r="F718">
            <v>91670</v>
          </cell>
        </row>
        <row r="719">
          <cell r="B719" t="str">
            <v>Plant Maintenance - Crusher - 379</v>
          </cell>
        </row>
        <row r="719">
          <cell r="F719">
            <v>750</v>
          </cell>
        </row>
        <row r="720">
          <cell r="B720" t="str">
            <v>Repairs &amp; Maintenance - Hyundai/CAT - Crusher - 091</v>
          </cell>
        </row>
        <row r="720">
          <cell r="F720">
            <v>2500</v>
          </cell>
        </row>
        <row r="721">
          <cell r="B721" t="str">
            <v>Donation - Admin - 203</v>
          </cell>
        </row>
        <row r="721">
          <cell r="F721">
            <v>10860</v>
          </cell>
        </row>
        <row r="722">
          <cell r="B722" t="str">
            <v>Food Expenses - Crusher - 028</v>
          </cell>
        </row>
        <row r="722">
          <cell r="F722">
            <v>1500</v>
          </cell>
        </row>
        <row r="723">
          <cell r="B723" t="str">
            <v>Gift - Admin - 208</v>
          </cell>
        </row>
        <row r="723">
          <cell r="F723">
            <v>6274</v>
          </cell>
        </row>
        <row r="724">
          <cell r="B724" t="str">
            <v>Black Quarry - Non Operating Expenses -489</v>
          </cell>
        </row>
        <row r="724">
          <cell r="F724">
            <v>4660</v>
          </cell>
        </row>
        <row r="725">
          <cell r="B725" t="str">
            <v>Gift - Admin - 208</v>
          </cell>
        </row>
        <row r="725">
          <cell r="F725">
            <v>12000</v>
          </cell>
        </row>
        <row r="726">
          <cell r="B726" t="str">
            <v>Black Quarry - Non Operating Expenses -489</v>
          </cell>
        </row>
        <row r="726">
          <cell r="F726">
            <v>10000</v>
          </cell>
        </row>
        <row r="727">
          <cell r="B727" t="str">
            <v>Company Bike Petrol - Crusher - 016</v>
          </cell>
        </row>
        <row r="727">
          <cell r="F727">
            <v>500</v>
          </cell>
        </row>
        <row r="728">
          <cell r="B728" t="str">
            <v>Vegetables - Canteen - 132</v>
          </cell>
        </row>
        <row r="728">
          <cell r="F728">
            <v>450</v>
          </cell>
        </row>
        <row r="729">
          <cell r="B729" t="str">
            <v>Q3 Bata - Explosives - 511</v>
          </cell>
        </row>
        <row r="729">
          <cell r="F729">
            <v>200</v>
          </cell>
        </row>
        <row r="730">
          <cell r="B730" t="str">
            <v>Courier Expenses - Admin - 199</v>
          </cell>
        </row>
        <row r="730">
          <cell r="F730">
            <v>50</v>
          </cell>
        </row>
        <row r="731">
          <cell r="B731" t="str">
            <v>Q3 Explosives - Black Quarry Development - 482</v>
          </cell>
        </row>
        <row r="731">
          <cell r="F731">
            <v>37760</v>
          </cell>
        </row>
        <row r="732">
          <cell r="B732" t="str">
            <v>Compressor Rent -Black Quarry Development - 483</v>
          </cell>
        </row>
        <row r="732">
          <cell r="F732">
            <v>36400</v>
          </cell>
        </row>
        <row r="733">
          <cell r="B733" t="str">
            <v>Q3 Labour Explosives - Quarry Development - 484</v>
          </cell>
        </row>
        <row r="733">
          <cell r="F733">
            <v>2100</v>
          </cell>
        </row>
        <row r="734">
          <cell r="B734" t="str">
            <v>Q1 Transport Charges Inward - 326</v>
          </cell>
        </row>
        <row r="734">
          <cell r="F734">
            <v>211421.1</v>
          </cell>
        </row>
        <row r="735">
          <cell r="B735" t="str">
            <v>Q1 Royalty Fee - 299</v>
          </cell>
        </row>
        <row r="735">
          <cell r="F735">
            <v>32033.5</v>
          </cell>
        </row>
        <row r="736">
          <cell r="B736" t="str">
            <v>Q1 Royalty Fee - 299</v>
          </cell>
        </row>
        <row r="736">
          <cell r="F736">
            <v>32033.5</v>
          </cell>
        </row>
        <row r="737">
          <cell r="B737" t="str">
            <v>Bonus - Crusher - 009</v>
          </cell>
        </row>
        <row r="737">
          <cell r="F737">
            <v>359260</v>
          </cell>
        </row>
        <row r="738">
          <cell r="B738" t="str">
            <v>Electrical Materials/Work - Others Crusher - 026</v>
          </cell>
        </row>
        <row r="738">
          <cell r="F738">
            <v>300000</v>
          </cell>
        </row>
        <row r="739">
          <cell r="B739" t="str">
            <v>Transport Charges - Intercart - 425</v>
          </cell>
        </row>
        <row r="739">
          <cell r="F739">
            <v>21000</v>
          </cell>
        </row>
        <row r="740">
          <cell r="B740" t="str">
            <v>Q3 Chakkai Pass - 539</v>
          </cell>
        </row>
        <row r="740">
          <cell r="F740">
            <v>2500</v>
          </cell>
        </row>
        <row r="741">
          <cell r="B741" t="str">
            <v>Q1 Transit Pass Expenses - Quarry - 303</v>
          </cell>
        </row>
        <row r="741">
          <cell r="F741">
            <v>2500</v>
          </cell>
        </row>
        <row r="742">
          <cell r="B742" t="str">
            <v>Conveyance - Crusher - 018</v>
          </cell>
        </row>
        <row r="742">
          <cell r="F742">
            <v>250</v>
          </cell>
        </row>
        <row r="743">
          <cell r="B743" t="str">
            <v>Q1 Chakkai Pass - 269</v>
          </cell>
        </row>
        <row r="743">
          <cell r="F743">
            <v>2500</v>
          </cell>
        </row>
        <row r="744">
          <cell r="B744" t="str">
            <v>Q1 Transit Pass Expenses - Quarry - 303</v>
          </cell>
        </row>
        <row r="744">
          <cell r="F744">
            <v>2500</v>
          </cell>
        </row>
        <row r="745">
          <cell r="B745" t="str">
            <v>Conveyance - Crusher - 018</v>
          </cell>
        </row>
        <row r="745">
          <cell r="F745">
            <v>250</v>
          </cell>
        </row>
        <row r="746">
          <cell r="B746" t="str">
            <v>Travelling &amp; Conveyance - Crusher - 130</v>
          </cell>
        </row>
        <row r="746">
          <cell r="F746">
            <v>400</v>
          </cell>
        </row>
        <row r="747">
          <cell r="B747" t="str">
            <v>Transport Charges - Crusher - 122</v>
          </cell>
        </row>
        <row r="747">
          <cell r="F747">
            <v>10000</v>
          </cell>
        </row>
        <row r="748">
          <cell r="B748" t="str">
            <v>Repairs &amp; Maintenance - Hyundai - 090</v>
          </cell>
        </row>
        <row r="748">
          <cell r="F748">
            <v>7500</v>
          </cell>
        </row>
        <row r="749">
          <cell r="B749" t="str">
            <v>Bonus - Crusher - 009</v>
          </cell>
        </row>
        <row r="749">
          <cell r="F749">
            <v>500</v>
          </cell>
        </row>
        <row r="750">
          <cell r="B750" t="str">
            <v>Packing Materials - Canteen - 071</v>
          </cell>
        </row>
        <row r="750">
          <cell r="F750">
            <v>5450</v>
          </cell>
        </row>
        <row r="751">
          <cell r="B751" t="str">
            <v>Q1 Chakkai Pass - 269</v>
          </cell>
        </row>
        <row r="751">
          <cell r="F751">
            <v>259200</v>
          </cell>
        </row>
        <row r="752">
          <cell r="B752" t="str">
            <v>Q1 Chakkai Pass - 269</v>
          </cell>
        </row>
        <row r="752">
          <cell r="F752">
            <v>129600</v>
          </cell>
        </row>
        <row r="753">
          <cell r="B753" t="str">
            <v>Transport Charges - Intercart - 425</v>
          </cell>
        </row>
        <row r="753">
          <cell r="F753">
            <v>3500</v>
          </cell>
        </row>
        <row r="754">
          <cell r="B754" t="str">
            <v>Transport Charges - Intercart - 425</v>
          </cell>
        </row>
        <row r="754">
          <cell r="F754">
            <v>14000</v>
          </cell>
        </row>
        <row r="755">
          <cell r="B755" t="str">
            <v>Oxygen Cylinder - Crusher - 070</v>
          </cell>
        </row>
        <row r="755">
          <cell r="F755">
            <v>3000</v>
          </cell>
        </row>
        <row r="756">
          <cell r="B756" t="str">
            <v>Food Expenses - Crusher - 028</v>
          </cell>
        </row>
        <row r="756">
          <cell r="F756">
            <v>357</v>
          </cell>
        </row>
        <row r="757">
          <cell r="B757" t="str">
            <v>Business Promotion - Admin - 196</v>
          </cell>
        </row>
        <row r="757">
          <cell r="F757">
            <v>500000</v>
          </cell>
        </row>
        <row r="758">
          <cell r="B758" t="str">
            <v>Pooja Expenses - Crusher - 075</v>
          </cell>
        </row>
        <row r="758">
          <cell r="F758">
            <v>2268</v>
          </cell>
        </row>
        <row r="759">
          <cell r="B759" t="str">
            <v>Donation - Admin - 203</v>
          </cell>
        </row>
        <row r="759">
          <cell r="F759">
            <v>500</v>
          </cell>
        </row>
        <row r="760">
          <cell r="B760" t="str">
            <v>Q3 Bata - Explosives - 511</v>
          </cell>
        </row>
        <row r="760">
          <cell r="F760">
            <v>200</v>
          </cell>
        </row>
        <row r="761">
          <cell r="B761" t="str">
            <v>Q1 Transit Pass Expenses - Quarry - 303</v>
          </cell>
        </row>
        <row r="761">
          <cell r="F761">
            <v>2000</v>
          </cell>
        </row>
        <row r="762">
          <cell r="B762" t="str">
            <v>Q1 Chakkai Pass - 269</v>
          </cell>
        </row>
        <row r="762">
          <cell r="F762">
            <v>2500</v>
          </cell>
        </row>
        <row r="763">
          <cell r="B763" t="str">
            <v>Q3 Chakkai Pass - 539</v>
          </cell>
        </row>
        <row r="763">
          <cell r="F763">
            <v>2500</v>
          </cell>
        </row>
        <row r="764">
          <cell r="B764" t="str">
            <v>Conveyance - Crusher - 018</v>
          </cell>
        </row>
        <row r="764">
          <cell r="F764">
            <v>250</v>
          </cell>
        </row>
        <row r="765">
          <cell r="B765" t="str">
            <v>Q1 Royalty Fee - 299</v>
          </cell>
        </row>
        <row r="765">
          <cell r="F765">
            <v>13340.25</v>
          </cell>
        </row>
        <row r="766">
          <cell r="B766" t="str">
            <v>Q1 Royalty Fee - 299</v>
          </cell>
        </row>
        <row r="766">
          <cell r="F766">
            <v>13340.25</v>
          </cell>
        </row>
        <row r="767">
          <cell r="B767" t="str">
            <v>Q1 Transport Charges Inward - 326</v>
          </cell>
        </row>
        <row r="767">
          <cell r="F767">
            <v>88045.65</v>
          </cell>
        </row>
        <row r="768">
          <cell r="B768" t="str">
            <v>Q3 Transport Charges Inward - 542</v>
          </cell>
        </row>
        <row r="768">
          <cell r="F768">
            <v>78745.8</v>
          </cell>
        </row>
        <row r="769">
          <cell r="B769" t="str">
            <v>Q3 Explosives - Black Quarry Development - 482</v>
          </cell>
        </row>
        <row r="769">
          <cell r="F769">
            <v>36770</v>
          </cell>
        </row>
        <row r="770">
          <cell r="B770" t="str">
            <v>Compressor Rent -Black Quarry Development - 483</v>
          </cell>
        </row>
        <row r="770">
          <cell r="F770">
            <v>43568</v>
          </cell>
        </row>
        <row r="771">
          <cell r="B771" t="str">
            <v>Q3 Labour Explosives - Quarry Development - 484</v>
          </cell>
        </row>
        <row r="771">
          <cell r="F771">
            <v>2100</v>
          </cell>
        </row>
        <row r="772">
          <cell r="B772" t="str">
            <v>Transport Charges - Intercart - 425</v>
          </cell>
        </row>
        <row r="772">
          <cell r="F772">
            <v>7000</v>
          </cell>
        </row>
        <row r="773">
          <cell r="B773" t="str">
            <v>Q3 Bata - Explosives - 511</v>
          </cell>
        </row>
        <row r="773">
          <cell r="F773">
            <v>200</v>
          </cell>
        </row>
        <row r="774">
          <cell r="B774" t="str">
            <v>Q1 Royalty Fee - 299</v>
          </cell>
        </row>
        <row r="774">
          <cell r="F774">
            <v>50273</v>
          </cell>
        </row>
        <row r="775">
          <cell r="B775" t="str">
            <v>Q1 Royalty Fee - 299</v>
          </cell>
        </row>
        <row r="775">
          <cell r="F775">
            <v>50273</v>
          </cell>
        </row>
        <row r="776">
          <cell r="B776" t="str">
            <v>Q1 Transport Charges Inward - 326</v>
          </cell>
        </row>
        <row r="776">
          <cell r="F776">
            <v>331801.8</v>
          </cell>
        </row>
        <row r="777">
          <cell r="B777" t="str">
            <v>Q3 Transport Charges Inward - 542</v>
          </cell>
        </row>
        <row r="777">
          <cell r="F777">
            <v>59183.25</v>
          </cell>
        </row>
        <row r="778">
          <cell r="B778" t="str">
            <v>Q3 Explosives - Quarry - 480</v>
          </cell>
        </row>
        <row r="778">
          <cell r="F778">
            <v>36820</v>
          </cell>
        </row>
        <row r="779">
          <cell r="B779" t="str">
            <v>Q3 Labour - Explosives - 481</v>
          </cell>
        </row>
        <row r="779">
          <cell r="F779">
            <v>2100</v>
          </cell>
        </row>
        <row r="780">
          <cell r="B780" t="str">
            <v>Q3 Compressor Rent - Quarry - 479</v>
          </cell>
        </row>
        <row r="780">
          <cell r="F780">
            <v>44560</v>
          </cell>
        </row>
        <row r="781">
          <cell r="B781" t="str">
            <v>Q3 Transport Intercart Charges-491</v>
          </cell>
        </row>
        <row r="781">
          <cell r="F781">
            <v>7000</v>
          </cell>
        </row>
        <row r="782">
          <cell r="B782" t="str">
            <v>Q3 Bata - Explosives - 511</v>
          </cell>
        </row>
        <row r="782">
          <cell r="F782">
            <v>200</v>
          </cell>
        </row>
        <row r="783">
          <cell r="B783" t="str">
            <v>Repairs &amp; Maintenance - Non Operating Crusher - 184</v>
          </cell>
        </row>
        <row r="783">
          <cell r="F783">
            <v>400</v>
          </cell>
        </row>
        <row r="784">
          <cell r="B784" t="str">
            <v>Q1 Royalty Fee - 299</v>
          </cell>
        </row>
        <row r="784">
          <cell r="F784">
            <v>28636</v>
          </cell>
        </row>
        <row r="785">
          <cell r="B785" t="str">
            <v>Q1 Royalty Fee - 299</v>
          </cell>
        </row>
        <row r="785">
          <cell r="F785">
            <v>28636</v>
          </cell>
        </row>
        <row r="786">
          <cell r="B786" t="str">
            <v>Q1 Transport Charges Inward - 326</v>
          </cell>
        </row>
        <row r="786">
          <cell r="F786">
            <v>188997.6</v>
          </cell>
        </row>
        <row r="787">
          <cell r="B787" t="str">
            <v>Q3 Transport Charges Inward - 542</v>
          </cell>
        </row>
        <row r="787">
          <cell r="F787">
            <v>57367.45</v>
          </cell>
        </row>
        <row r="788">
          <cell r="B788" t="str">
            <v>Q3 Explosives - Quarry - 480</v>
          </cell>
        </row>
        <row r="788">
          <cell r="F788">
            <v>39080</v>
          </cell>
        </row>
        <row r="789">
          <cell r="B789" t="str">
            <v>Q3 Labour - Explosives - 481</v>
          </cell>
        </row>
        <row r="789">
          <cell r="F789">
            <v>2100</v>
          </cell>
        </row>
        <row r="790">
          <cell r="B790" t="str">
            <v>Q3 Compressor Rent - Quarry - 479</v>
          </cell>
        </row>
        <row r="790">
          <cell r="F790">
            <v>45408</v>
          </cell>
        </row>
        <row r="791">
          <cell r="B791" t="str">
            <v>Mutton - Canteen - 064</v>
          </cell>
        </row>
        <row r="791">
          <cell r="F791">
            <v>800</v>
          </cell>
        </row>
        <row r="792">
          <cell r="B792" t="str">
            <v>Chicken - Canteen - 015</v>
          </cell>
        </row>
        <row r="792">
          <cell r="F792">
            <v>400</v>
          </cell>
        </row>
        <row r="793">
          <cell r="B793" t="str">
            <v>Kadai - Canteen - 055</v>
          </cell>
        </row>
        <row r="793">
          <cell r="F793">
            <v>360</v>
          </cell>
        </row>
        <row r="794">
          <cell r="B794" t="str">
            <v>Provisions/ Groceries - Canteen - 079</v>
          </cell>
        </row>
        <row r="794">
          <cell r="F794">
            <v>376</v>
          </cell>
        </row>
        <row r="795">
          <cell r="B795" t="str">
            <v>Courier Expenses - Admin - 199</v>
          </cell>
        </row>
        <row r="795">
          <cell r="F795">
            <v>230</v>
          </cell>
        </row>
        <row r="796">
          <cell r="B796" t="str">
            <v>Pooja Expenses - Crusher - 075</v>
          </cell>
        </row>
        <row r="796">
          <cell r="F796">
            <v>180</v>
          </cell>
        </row>
        <row r="797">
          <cell r="B797" t="str">
            <v>Q1 Compressor Rent - Quarry - 270</v>
          </cell>
        </row>
        <row r="797">
          <cell r="F797">
            <v>30720</v>
          </cell>
        </row>
        <row r="798">
          <cell r="B798" t="str">
            <v>Q1 Explosives - Quarry - 275</v>
          </cell>
        </row>
        <row r="798">
          <cell r="F798">
            <v>24530</v>
          </cell>
        </row>
        <row r="799">
          <cell r="B799" t="str">
            <v>Q1 Labour - Explosives - 287</v>
          </cell>
        </row>
        <row r="799">
          <cell r="F799">
            <v>1550</v>
          </cell>
        </row>
        <row r="800">
          <cell r="B800" t="str">
            <v>Q3 Compressor Rent - Quarry - 479</v>
          </cell>
        </row>
        <row r="800">
          <cell r="F800">
            <v>46080</v>
          </cell>
        </row>
        <row r="801">
          <cell r="B801" t="str">
            <v>Q3 Explosives - Quarry - 480</v>
          </cell>
        </row>
        <row r="801">
          <cell r="F801">
            <v>39130</v>
          </cell>
        </row>
        <row r="802">
          <cell r="B802" t="str">
            <v>Q3 Labour - Explosives - 481</v>
          </cell>
        </row>
        <row r="802">
          <cell r="F802">
            <v>2100</v>
          </cell>
        </row>
        <row r="803">
          <cell r="B803" t="str">
            <v>Q1 Royalty Fee - 299</v>
          </cell>
        </row>
        <row r="803">
          <cell r="F803">
            <v>43578</v>
          </cell>
        </row>
        <row r="804">
          <cell r="B804" t="str">
            <v>Q1 Royalty Fee - 299</v>
          </cell>
        </row>
        <row r="804">
          <cell r="F804">
            <v>43578</v>
          </cell>
        </row>
        <row r="805">
          <cell r="B805" t="str">
            <v>Q1 Transport Charges Inward - 326</v>
          </cell>
        </row>
        <row r="805">
          <cell r="F805">
            <v>287614.8</v>
          </cell>
        </row>
        <row r="806">
          <cell r="B806" t="str">
            <v>Q3 Transport Charges Inward - 542</v>
          </cell>
        </row>
        <row r="806">
          <cell r="F806">
            <v>59949.05</v>
          </cell>
        </row>
        <row r="807">
          <cell r="B807" t="str">
            <v>Q3 Transport Intercart Charges-491</v>
          </cell>
        </row>
        <row r="807">
          <cell r="F807">
            <v>7000</v>
          </cell>
        </row>
        <row r="808">
          <cell r="B808" t="str">
            <v>Business Promotion - Admin - 196</v>
          </cell>
        </row>
        <row r="808">
          <cell r="F808">
            <v>225000</v>
          </cell>
        </row>
        <row r="809">
          <cell r="B809" t="str">
            <v>Travelling &amp; Conveyance - Crusher - 130</v>
          </cell>
        </row>
        <row r="809">
          <cell r="F809">
            <v>5200</v>
          </cell>
        </row>
        <row r="810">
          <cell r="B810" t="str">
            <v>Q1 Royalty Fee - 299</v>
          </cell>
        </row>
        <row r="810">
          <cell r="F810">
            <v>45648.5</v>
          </cell>
        </row>
        <row r="811">
          <cell r="B811" t="str">
            <v>Q1 Royalty Fee - 299</v>
          </cell>
        </row>
        <row r="811">
          <cell r="F811">
            <v>45648.5</v>
          </cell>
        </row>
        <row r="812">
          <cell r="B812" t="str">
            <v>Q1 Transport Charges Inward - 326</v>
          </cell>
        </row>
        <row r="812">
          <cell r="F812">
            <v>301280.1</v>
          </cell>
        </row>
        <row r="813">
          <cell r="B813" t="str">
            <v>Q3 Transport Charges Inward - 542</v>
          </cell>
        </row>
        <row r="813">
          <cell r="F813">
            <v>59882.2</v>
          </cell>
        </row>
        <row r="814">
          <cell r="B814" t="str">
            <v>Q1 Explosives - Quarry - 275</v>
          </cell>
        </row>
        <row r="814">
          <cell r="F814">
            <v>24555</v>
          </cell>
        </row>
        <row r="815">
          <cell r="B815" t="str">
            <v>Q1 Compressor Rent - Quarry - 270</v>
          </cell>
        </row>
        <row r="815">
          <cell r="F815">
            <v>30720</v>
          </cell>
        </row>
        <row r="816">
          <cell r="B816" t="str">
            <v>Q1 Labour - Explosives - 287</v>
          </cell>
        </row>
        <row r="816">
          <cell r="F816">
            <v>1550</v>
          </cell>
        </row>
        <row r="817">
          <cell r="B817" t="str">
            <v>Q3 Explosives - Quarry - 480</v>
          </cell>
        </row>
        <row r="817">
          <cell r="F817">
            <v>39875</v>
          </cell>
        </row>
        <row r="818">
          <cell r="B818" t="str">
            <v>Q3 Compressor Rent - Quarry - 479</v>
          </cell>
        </row>
        <row r="818">
          <cell r="F818">
            <v>47616</v>
          </cell>
        </row>
        <row r="819">
          <cell r="B819" t="str">
            <v>Q3 Labour - Explosives - 481</v>
          </cell>
        </row>
        <row r="819">
          <cell r="F819">
            <v>2100</v>
          </cell>
        </row>
        <row r="820">
          <cell r="B820" t="str">
            <v>Travelling &amp; Conveyance - Crusher - 130</v>
          </cell>
        </row>
        <row r="820">
          <cell r="F820">
            <v>500</v>
          </cell>
        </row>
        <row r="821">
          <cell r="B821" t="str">
            <v>Repairs &amp; Maintenance - CAT 6-544</v>
          </cell>
        </row>
        <row r="821">
          <cell r="F821">
            <v>360</v>
          </cell>
        </row>
        <row r="822">
          <cell r="B822" t="str">
            <v>Q3 Bata - Explosives - 511</v>
          </cell>
        </row>
        <row r="822">
          <cell r="F822">
            <v>600</v>
          </cell>
        </row>
        <row r="823">
          <cell r="B823" t="str">
            <v>Q1 Royalty Fee - 299</v>
          </cell>
        </row>
        <row r="823">
          <cell r="F823">
            <v>38853</v>
          </cell>
        </row>
        <row r="824">
          <cell r="B824" t="str">
            <v>Q1 Royalty Fee - 299</v>
          </cell>
        </row>
        <row r="824">
          <cell r="F824">
            <v>38853</v>
          </cell>
        </row>
        <row r="825">
          <cell r="B825" t="str">
            <v>Q1 Transport Charges Inward - 326</v>
          </cell>
        </row>
        <row r="825">
          <cell r="F825">
            <v>256429.8</v>
          </cell>
        </row>
        <row r="826">
          <cell r="B826" t="str">
            <v>Q3 Transport Charges Inward - 542</v>
          </cell>
        </row>
        <row r="826">
          <cell r="F826">
            <v>47927.95</v>
          </cell>
        </row>
        <row r="827">
          <cell r="B827" t="str">
            <v>Q3 Explosives - Quarry - 480</v>
          </cell>
        </row>
        <row r="827">
          <cell r="F827">
            <v>38720</v>
          </cell>
        </row>
        <row r="828">
          <cell r="B828" t="str">
            <v>Q3 Compressor Rent - Quarry - 479</v>
          </cell>
        </row>
        <row r="828">
          <cell r="F828">
            <v>46976</v>
          </cell>
        </row>
        <row r="829">
          <cell r="B829" t="str">
            <v>Q3 Labour - Explosives - 481</v>
          </cell>
        </row>
        <row r="829">
          <cell r="F829">
            <v>2100</v>
          </cell>
        </row>
        <row r="830">
          <cell r="B830" t="str">
            <v>Q1 Explosives - Quarry - 275</v>
          </cell>
        </row>
        <row r="830">
          <cell r="F830">
            <v>24530</v>
          </cell>
        </row>
        <row r="831">
          <cell r="B831" t="str">
            <v>Q1 Compressor Rent - Quarry - 270</v>
          </cell>
        </row>
        <row r="831">
          <cell r="F831">
            <v>30720</v>
          </cell>
        </row>
        <row r="832">
          <cell r="B832" t="str">
            <v>Q1 Labour - Explosives - 287</v>
          </cell>
        </row>
        <row r="832">
          <cell r="F832">
            <v>1550</v>
          </cell>
        </row>
        <row r="833">
          <cell r="B833" t="str">
            <v>Q3 Transport Intercart Charges-491</v>
          </cell>
        </row>
        <row r="833">
          <cell r="F833">
            <v>7000</v>
          </cell>
        </row>
        <row r="834">
          <cell r="B834" t="str">
            <v>Q1 Royalty Fee - 299</v>
          </cell>
        </row>
        <row r="834">
          <cell r="F834">
            <v>40286.25</v>
          </cell>
        </row>
        <row r="835">
          <cell r="B835" t="str">
            <v>Q1 Royalty Fee - 299</v>
          </cell>
        </row>
        <row r="835">
          <cell r="F835">
            <v>40286.25</v>
          </cell>
        </row>
        <row r="836">
          <cell r="B836" t="str">
            <v>Q1 Transport Charges Inward - 326</v>
          </cell>
        </row>
        <row r="836">
          <cell r="F836">
            <v>265889.25</v>
          </cell>
        </row>
        <row r="837">
          <cell r="B837" t="str">
            <v>Q3 Transport Charges Inward - 542</v>
          </cell>
        </row>
        <row r="837">
          <cell r="F837">
            <v>13451.9</v>
          </cell>
        </row>
        <row r="838">
          <cell r="B838" t="str">
            <v>Q3 Transport Intercart Charges-491</v>
          </cell>
        </row>
        <row r="838">
          <cell r="F838">
            <v>7000</v>
          </cell>
        </row>
        <row r="839">
          <cell r="B839" t="str">
            <v>Transport Charges - Intercart - 425</v>
          </cell>
        </row>
        <row r="839">
          <cell r="F839">
            <v>31500</v>
          </cell>
        </row>
        <row r="840">
          <cell r="B840" t="str">
            <v>Q3 Bata - Explosives - 511</v>
          </cell>
        </row>
        <row r="840">
          <cell r="F840">
            <v>200</v>
          </cell>
        </row>
        <row r="841">
          <cell r="B841" t="str">
            <v>Q1 Transit Pass Expenses - Quarry - 303</v>
          </cell>
        </row>
        <row r="841">
          <cell r="F841">
            <v>2000</v>
          </cell>
        </row>
        <row r="842">
          <cell r="B842" t="str">
            <v>Q1 Chakkai Pass - 269</v>
          </cell>
        </row>
        <row r="842">
          <cell r="F842">
            <v>2000</v>
          </cell>
        </row>
        <row r="843">
          <cell r="B843" t="str">
            <v>Q3 Chakkai Pass - 539</v>
          </cell>
        </row>
        <row r="843">
          <cell r="F843">
            <v>2000</v>
          </cell>
        </row>
        <row r="844">
          <cell r="B844" t="str">
            <v>Travelling &amp; Conveyance - Crusher - 130</v>
          </cell>
        </row>
        <row r="844">
          <cell r="F844">
            <v>250</v>
          </cell>
        </row>
        <row r="845">
          <cell r="B845" t="str">
            <v>Q1 Repair &amp; Maintenance - Quarry - 294</v>
          </cell>
        </row>
        <row r="845">
          <cell r="F845">
            <v>3000</v>
          </cell>
        </row>
        <row r="846">
          <cell r="B846" t="str">
            <v>Q1 Royalty Fee - 299</v>
          </cell>
        </row>
        <row r="846">
          <cell r="F846">
            <v>38580</v>
          </cell>
        </row>
        <row r="847">
          <cell r="B847" t="str">
            <v>Q1 Royalty Fee - 299</v>
          </cell>
        </row>
        <row r="847">
          <cell r="F847">
            <v>38580</v>
          </cell>
        </row>
        <row r="848">
          <cell r="B848" t="str">
            <v>Q1 Explosives - Quarry - 275</v>
          </cell>
        </row>
        <row r="848">
          <cell r="F848">
            <v>24530</v>
          </cell>
        </row>
        <row r="849">
          <cell r="B849" t="str">
            <v>Q1 Compressor Rent - Quarry - 270</v>
          </cell>
        </row>
        <row r="849">
          <cell r="F849">
            <v>30720</v>
          </cell>
        </row>
        <row r="850">
          <cell r="B850" t="str">
            <v>Q1 Labour - Explosives - 287</v>
          </cell>
        </row>
        <row r="850">
          <cell r="F850">
            <v>1550</v>
          </cell>
        </row>
        <row r="851">
          <cell r="B851" t="str">
            <v>Q3 Explosives - Black Quarry Development - 482</v>
          </cell>
        </row>
        <row r="851">
          <cell r="F851">
            <v>58294.65</v>
          </cell>
        </row>
        <row r="852">
          <cell r="B852" t="str">
            <v>Compressor Rent -Black Quarry Development - 483</v>
          </cell>
        </row>
        <row r="852">
          <cell r="F852">
            <v>66304</v>
          </cell>
        </row>
        <row r="853">
          <cell r="B853" t="str">
            <v>Q3 Labour Explosives - Quarry Development - 484</v>
          </cell>
        </row>
        <row r="853">
          <cell r="F853">
            <v>2751.6</v>
          </cell>
        </row>
        <row r="854">
          <cell r="B854" t="str">
            <v>Q3 Transport Intercart Charges-491</v>
          </cell>
        </row>
        <row r="854">
          <cell r="F854">
            <v>7000</v>
          </cell>
        </row>
        <row r="855">
          <cell r="B855" t="str">
            <v>Q1 Transport Charges Inward - 326</v>
          </cell>
        </row>
        <row r="855">
          <cell r="F855">
            <v>254628</v>
          </cell>
        </row>
        <row r="856">
          <cell r="B856" t="str">
            <v>Q3 Compressor Rent - Quarry - 479</v>
          </cell>
        </row>
        <row r="856">
          <cell r="F856">
            <v>9600</v>
          </cell>
        </row>
        <row r="857">
          <cell r="B857" t="str">
            <v>Q3 Labour - Explosives - 481</v>
          </cell>
        </row>
        <row r="857">
          <cell r="F857">
            <v>398.4</v>
          </cell>
        </row>
        <row r="858">
          <cell r="B858" t="str">
            <v>Q3 Explosives - Quarry - 480</v>
          </cell>
        </row>
        <row r="858">
          <cell r="F858">
            <v>8440.35</v>
          </cell>
        </row>
        <row r="859">
          <cell r="B859" t="str">
            <v>Q3 Bata - Explosives - 511</v>
          </cell>
        </row>
        <row r="859">
          <cell r="F859">
            <v>200</v>
          </cell>
        </row>
        <row r="860">
          <cell r="B860" t="str">
            <v>Q1 Chakkai Pass - 269</v>
          </cell>
        </row>
        <row r="860">
          <cell r="F860">
            <v>2500</v>
          </cell>
        </row>
        <row r="861">
          <cell r="B861" t="str">
            <v>Q1 Transit Pass Expenses - Quarry - 303</v>
          </cell>
        </row>
        <row r="861">
          <cell r="F861">
            <v>2500</v>
          </cell>
        </row>
        <row r="862">
          <cell r="B862" t="str">
            <v>Travelling &amp; Conveyance - Crusher - 130</v>
          </cell>
        </row>
        <row r="862">
          <cell r="F862">
            <v>250</v>
          </cell>
        </row>
        <row r="863">
          <cell r="B863" t="str">
            <v>Q1 Royalty Fee - 299</v>
          </cell>
        </row>
        <row r="863">
          <cell r="F863">
            <v>46533.25</v>
          </cell>
        </row>
        <row r="864">
          <cell r="B864" t="str">
            <v>Q1 Royalty Fee - 299</v>
          </cell>
        </row>
        <row r="864">
          <cell r="F864">
            <v>46533.25</v>
          </cell>
        </row>
        <row r="865">
          <cell r="B865" t="str">
            <v>Q1 Transport Charges Inward - 326</v>
          </cell>
        </row>
        <row r="865">
          <cell r="F865">
            <v>307119.45</v>
          </cell>
        </row>
        <row r="866">
          <cell r="B866" t="str">
            <v>Q1 Explosives - Quarry - 275</v>
          </cell>
        </row>
        <row r="866">
          <cell r="F866">
            <v>24530</v>
          </cell>
        </row>
        <row r="867">
          <cell r="B867" t="str">
            <v>Q1 Compressor Rent - Quarry - 270</v>
          </cell>
        </row>
        <row r="867">
          <cell r="F867">
            <v>30720</v>
          </cell>
        </row>
        <row r="868">
          <cell r="B868" t="str">
            <v>Q1 Labour - Explosives - 287</v>
          </cell>
        </row>
        <row r="868">
          <cell r="F868">
            <v>1550</v>
          </cell>
        </row>
        <row r="869">
          <cell r="B869" t="str">
            <v>Q3 Explosives - Quarry - 480</v>
          </cell>
        </row>
        <row r="869">
          <cell r="F869">
            <v>57620</v>
          </cell>
        </row>
        <row r="870">
          <cell r="B870" t="str">
            <v>Q3 Compressor Rent - Quarry - 479</v>
          </cell>
        </row>
        <row r="870">
          <cell r="F870">
            <v>68064</v>
          </cell>
        </row>
        <row r="871">
          <cell r="B871" t="str">
            <v>Q3 Labour - Explosives - 481</v>
          </cell>
        </row>
        <row r="871">
          <cell r="F871">
            <v>2800</v>
          </cell>
        </row>
        <row r="872">
          <cell r="B872" t="str">
            <v>Transport Charges - Intercart - 425</v>
          </cell>
        </row>
        <row r="872">
          <cell r="F872">
            <v>10500</v>
          </cell>
        </row>
        <row r="873">
          <cell r="B873" t="str">
            <v>Q3 Transport Intercart Charges-491</v>
          </cell>
        </row>
        <row r="873">
          <cell r="F873">
            <v>14000</v>
          </cell>
        </row>
        <row r="874">
          <cell r="B874" t="str">
            <v>Transport Charges - Intercart - 425</v>
          </cell>
        </row>
        <row r="874">
          <cell r="F874">
            <v>7000</v>
          </cell>
        </row>
        <row r="875">
          <cell r="B875" t="str">
            <v>Pet Expenses - 175</v>
          </cell>
        </row>
        <row r="875">
          <cell r="F875">
            <v>90</v>
          </cell>
        </row>
        <row r="876">
          <cell r="B876" t="str">
            <v>Pooja Expenses - Crusher - 075</v>
          </cell>
        </row>
        <row r="876">
          <cell r="F876">
            <v>125</v>
          </cell>
        </row>
        <row r="877">
          <cell r="B877" t="str">
            <v>Q3 Bata - Explosives - 511</v>
          </cell>
        </row>
        <row r="877">
          <cell r="F877">
            <v>200</v>
          </cell>
        </row>
        <row r="878">
          <cell r="B878" t="str">
            <v>Bike Service - Non Operating - 164</v>
          </cell>
        </row>
        <row r="878">
          <cell r="F878">
            <v>6729</v>
          </cell>
        </row>
        <row r="879">
          <cell r="B879" t="str">
            <v>Q1 Royalty Fee - 299</v>
          </cell>
        </row>
        <row r="879">
          <cell r="F879">
            <v>48495.75</v>
          </cell>
        </row>
        <row r="880">
          <cell r="B880" t="str">
            <v>Q1 Royalty Fee - 299</v>
          </cell>
        </row>
        <row r="880">
          <cell r="F880">
            <v>48495.75</v>
          </cell>
        </row>
        <row r="881">
          <cell r="B881" t="str">
            <v>Q1 Transport Charges Inward - 326</v>
          </cell>
        </row>
        <row r="881">
          <cell r="F881">
            <v>320071.95</v>
          </cell>
        </row>
        <row r="882">
          <cell r="B882" t="str">
            <v>Q1 Explosives - Quarry - 275</v>
          </cell>
        </row>
        <row r="882">
          <cell r="F882">
            <v>24530</v>
          </cell>
        </row>
        <row r="883">
          <cell r="B883" t="str">
            <v>Q1 Compressor Rent - Quarry - 270</v>
          </cell>
        </row>
        <row r="883">
          <cell r="F883">
            <v>30720</v>
          </cell>
        </row>
        <row r="884">
          <cell r="B884" t="str">
            <v>Q1 Labour - Explosives - 287</v>
          </cell>
        </row>
        <row r="884">
          <cell r="F884">
            <v>1550</v>
          </cell>
        </row>
        <row r="885">
          <cell r="B885" t="str">
            <v>Q3 Explosives - Quarry - 480</v>
          </cell>
        </row>
        <row r="885">
          <cell r="F885">
            <v>59570</v>
          </cell>
        </row>
        <row r="886">
          <cell r="B886" t="str">
            <v>Q3 Compressor Rent - Quarry - 479</v>
          </cell>
        </row>
        <row r="886">
          <cell r="F886">
            <v>71680</v>
          </cell>
        </row>
        <row r="887">
          <cell r="B887" t="str">
            <v>Q3 Labour - Explosives - 481</v>
          </cell>
        </row>
        <row r="887">
          <cell r="F887">
            <v>2800</v>
          </cell>
        </row>
        <row r="888">
          <cell r="B888" t="str">
            <v>Q3 Transport Intercart Charges-491</v>
          </cell>
        </row>
        <row r="888">
          <cell r="F888">
            <v>17500</v>
          </cell>
        </row>
        <row r="889">
          <cell r="B889" t="str">
            <v>Pooja Expenses - Crusher - 075</v>
          </cell>
        </row>
        <row r="889">
          <cell r="F889">
            <v>3265</v>
          </cell>
        </row>
        <row r="890">
          <cell r="B890" t="str">
            <v>Q3 Bata - Explosives - 511</v>
          </cell>
        </row>
        <row r="890">
          <cell r="F890">
            <v>200</v>
          </cell>
        </row>
        <row r="891">
          <cell r="B891" t="str">
            <v>Q1 Royalty Fee - 299</v>
          </cell>
        </row>
        <row r="891">
          <cell r="F891">
            <v>23570</v>
          </cell>
        </row>
        <row r="892">
          <cell r="B892" t="str">
            <v>Q1 Royalty Fee - 299</v>
          </cell>
        </row>
        <row r="892">
          <cell r="F892">
            <v>23570</v>
          </cell>
        </row>
        <row r="893">
          <cell r="B893" t="str">
            <v>Q1 Transport Charges Inward - 326</v>
          </cell>
        </row>
        <row r="893">
          <cell r="F893">
            <v>155562</v>
          </cell>
        </row>
        <row r="894">
          <cell r="B894" t="str">
            <v>Q1 Explosives - Quarry - 275</v>
          </cell>
        </row>
        <row r="894">
          <cell r="F894">
            <v>24530</v>
          </cell>
        </row>
        <row r="895">
          <cell r="B895" t="str">
            <v>Q1 Compressor Rent - Quarry - 270</v>
          </cell>
        </row>
        <row r="895">
          <cell r="F895">
            <v>30720</v>
          </cell>
        </row>
        <row r="896">
          <cell r="B896" t="str">
            <v>Q1 Labour - Explosives - 287</v>
          </cell>
        </row>
        <row r="896">
          <cell r="F896">
            <v>1550</v>
          </cell>
        </row>
        <row r="897">
          <cell r="B897" t="str">
            <v>Q3 Transport Intercart Charges-491</v>
          </cell>
        </row>
        <row r="897">
          <cell r="F897">
            <v>35000</v>
          </cell>
        </row>
        <row r="898">
          <cell r="B898" t="str">
            <v>Q3 Explosives - Quarry - 480</v>
          </cell>
        </row>
        <row r="898">
          <cell r="F898">
            <v>38083.76</v>
          </cell>
        </row>
        <row r="899">
          <cell r="B899" t="str">
            <v>Q3 Explosives - Black Quarry Development - 482</v>
          </cell>
        </row>
        <row r="899">
          <cell r="F899">
            <v>6876.24</v>
          </cell>
        </row>
        <row r="900">
          <cell r="B900" t="str">
            <v>Compressor Rent -Black Quarry Development - 483</v>
          </cell>
        </row>
        <row r="900">
          <cell r="F900">
            <v>7840</v>
          </cell>
        </row>
        <row r="901">
          <cell r="B901" t="str">
            <v>Q3 Compressor Rent - Quarry - 479</v>
          </cell>
        </row>
        <row r="901">
          <cell r="F901">
            <v>46080</v>
          </cell>
        </row>
        <row r="902">
          <cell r="B902" t="str">
            <v>Q3 Labour Explosives - Quarry Development - 484</v>
          </cell>
        </row>
        <row r="902">
          <cell r="F902">
            <v>374.71</v>
          </cell>
        </row>
        <row r="903">
          <cell r="B903" t="str">
            <v>Q3 Labour - Explosives - 481</v>
          </cell>
        </row>
        <row r="903">
          <cell r="F903">
            <v>2075.29</v>
          </cell>
        </row>
        <row r="904">
          <cell r="B904" t="str">
            <v>Fuel - Ramprakash - 361</v>
          </cell>
        </row>
        <row r="904">
          <cell r="F904">
            <v>19431</v>
          </cell>
        </row>
        <row r="905">
          <cell r="B905" t="str">
            <v>Caterers - 011</v>
          </cell>
        </row>
        <row r="905">
          <cell r="F905">
            <v>150000</v>
          </cell>
        </row>
        <row r="906">
          <cell r="B906" t="str">
            <v>Interest - Ramprakash - 151</v>
          </cell>
        </row>
        <row r="906">
          <cell r="F906">
            <v>74352</v>
          </cell>
        </row>
        <row r="907">
          <cell r="B907" t="str">
            <v>Interest - Kishore - 148</v>
          </cell>
        </row>
        <row r="907">
          <cell r="F907">
            <v>278500</v>
          </cell>
        </row>
        <row r="908">
          <cell r="B908" t="str">
            <v>Interest - Krishnan - 149</v>
          </cell>
        </row>
        <row r="908">
          <cell r="F908">
            <v>75000</v>
          </cell>
        </row>
        <row r="909">
          <cell r="B909" t="str">
            <v>Gross Salary - 398</v>
          </cell>
        </row>
        <row r="909">
          <cell r="F909">
            <v>1136677</v>
          </cell>
        </row>
        <row r="910">
          <cell r="B910" t="str">
            <v>Gross Salary - 398</v>
          </cell>
        </row>
        <row r="910">
          <cell r="F910">
            <v>142258</v>
          </cell>
        </row>
        <row r="911">
          <cell r="B911" t="str">
            <v>Courier Expenses - Admin - 199</v>
          </cell>
        </row>
        <row r="911">
          <cell r="F911">
            <v>140</v>
          </cell>
        </row>
        <row r="912">
          <cell r="B912" t="str">
            <v>Printing &amp; Stationery - Crusher - 077</v>
          </cell>
        </row>
        <row r="912">
          <cell r="F912">
            <v>207</v>
          </cell>
        </row>
        <row r="913">
          <cell r="B913" t="str">
            <v>Q3 Bata - Explosives - 511</v>
          </cell>
        </row>
        <row r="913">
          <cell r="F913">
            <v>200</v>
          </cell>
        </row>
        <row r="914">
          <cell r="B914" t="str">
            <v>Black Quarry - Non Operating Expenses -489</v>
          </cell>
        </row>
        <row r="914">
          <cell r="F914">
            <v>3450</v>
          </cell>
        </row>
        <row r="915">
          <cell r="B915" t="str">
            <v>Repairs &amp; Maintenance - Non Operating Crusher - 184</v>
          </cell>
        </row>
        <row r="915">
          <cell r="F915">
            <v>355</v>
          </cell>
        </row>
        <row r="916">
          <cell r="B916" t="str">
            <v>Q1 Transit Pass Expenses - Quarry - 303</v>
          </cell>
        </row>
        <row r="916">
          <cell r="F916">
            <v>2000</v>
          </cell>
        </row>
        <row r="917">
          <cell r="B917" t="str">
            <v>Q3 Gravel Pass - 538</v>
          </cell>
        </row>
        <row r="917">
          <cell r="F917">
            <v>2000</v>
          </cell>
        </row>
        <row r="918">
          <cell r="B918" t="str">
            <v>Travelling &amp; Conveyance - Crusher - 130</v>
          </cell>
        </row>
        <row r="918">
          <cell r="F918">
            <v>450</v>
          </cell>
        </row>
        <row r="919">
          <cell r="B919" t="str">
            <v>Rounded Off - 214</v>
          </cell>
        </row>
        <row r="919">
          <cell r="F919">
            <v>-262.75</v>
          </cell>
        </row>
        <row r="920">
          <cell r="B920" t="str">
            <v>Q1 Explosives - Quarry - 275</v>
          </cell>
        </row>
        <row r="920">
          <cell r="F920">
            <v>-100000</v>
          </cell>
        </row>
        <row r="921">
          <cell r="B921" t="str">
            <v>Q1 Explosives - Quarry - 275</v>
          </cell>
        </row>
        <row r="921">
          <cell r="F921">
            <v>-42575</v>
          </cell>
        </row>
        <row r="922">
          <cell r="B922" t="str">
            <v>Gift - Admin - 208</v>
          </cell>
        </row>
        <row r="922">
          <cell r="F922">
            <v>20897.97</v>
          </cell>
        </row>
        <row r="923">
          <cell r="B923" t="str">
            <v>Repairs &amp; Maintenance - Crusher - 086</v>
          </cell>
        </row>
        <row r="923">
          <cell r="F923">
            <v>-20897.97</v>
          </cell>
        </row>
        <row r="924">
          <cell r="B924" t="str">
            <v>Q1 Royalty Fee - 299</v>
          </cell>
        </row>
        <row r="924">
          <cell r="F924">
            <v>14169.75</v>
          </cell>
        </row>
        <row r="925">
          <cell r="B925" t="str">
            <v>Q1 Royalty Fee - 299</v>
          </cell>
        </row>
        <row r="925">
          <cell r="F925">
            <v>14169.75</v>
          </cell>
        </row>
        <row r="926">
          <cell r="B926" t="str">
            <v>Q1 Transport Charges Inward - 326</v>
          </cell>
        </row>
        <row r="926">
          <cell r="F926">
            <v>93520.35</v>
          </cell>
        </row>
        <row r="927">
          <cell r="B927" t="str">
            <v>Q1 Explosives - Quarry - 275</v>
          </cell>
        </row>
        <row r="927">
          <cell r="F927">
            <v>24530</v>
          </cell>
        </row>
        <row r="928">
          <cell r="B928" t="str">
            <v>Q1 Compressor Rent - Quarry - 270</v>
          </cell>
        </row>
        <row r="928">
          <cell r="F928">
            <v>30720</v>
          </cell>
        </row>
        <row r="929">
          <cell r="B929" t="str">
            <v>Q1 Labour - Explosives - 287</v>
          </cell>
        </row>
        <row r="929">
          <cell r="F929">
            <v>1550</v>
          </cell>
        </row>
        <row r="930">
          <cell r="B930" t="str">
            <v>Q3 Chakkai Pass - 539</v>
          </cell>
        </row>
        <row r="930">
          <cell r="F930">
            <v>259200</v>
          </cell>
        </row>
        <row r="931">
          <cell r="B931" t="str">
            <v>Q1 Chakkai Pass - 269</v>
          </cell>
        </row>
        <row r="931">
          <cell r="F931">
            <v>388800</v>
          </cell>
        </row>
        <row r="932">
          <cell r="B932" t="str">
            <v>Q1 Chakkai Pass - 269</v>
          </cell>
        </row>
        <row r="932">
          <cell r="F932">
            <v>129600</v>
          </cell>
        </row>
        <row r="933">
          <cell r="B933" t="str">
            <v>Q3 Gravel Pass - 538</v>
          </cell>
        </row>
        <row r="933">
          <cell r="F933">
            <v>40320</v>
          </cell>
        </row>
        <row r="934">
          <cell r="B934" t="str">
            <v>Q3 Explosives - Black Quarry Development - 482</v>
          </cell>
        </row>
        <row r="934">
          <cell r="F934">
            <v>45544.17</v>
          </cell>
        </row>
        <row r="935">
          <cell r="B935" t="str">
            <v>Q3 Explosives - Quarry - 480</v>
          </cell>
        </row>
        <row r="935">
          <cell r="F935">
            <v>5295.83</v>
          </cell>
        </row>
        <row r="936">
          <cell r="B936" t="str">
            <v>Compressor Rent -Black Quarry Development - 483</v>
          </cell>
        </row>
        <row r="936">
          <cell r="F936">
            <v>54752</v>
          </cell>
        </row>
        <row r="937">
          <cell r="B937" t="str">
            <v>Q3 Compressor Rent - Quarry - 479</v>
          </cell>
        </row>
        <row r="937">
          <cell r="F937">
            <v>6304</v>
          </cell>
        </row>
        <row r="938">
          <cell r="B938" t="str">
            <v>Q3 Labour Explosives - Quarry Development - 484</v>
          </cell>
        </row>
        <row r="938">
          <cell r="F938">
            <v>2508.33</v>
          </cell>
        </row>
        <row r="939">
          <cell r="B939" t="str">
            <v>Q3 Labour - Explosives - 481</v>
          </cell>
        </row>
        <row r="939">
          <cell r="F939">
            <v>291.67</v>
          </cell>
        </row>
        <row r="940">
          <cell r="B940" t="str">
            <v>Q3 Transport Intercart Charges-491</v>
          </cell>
        </row>
        <row r="940">
          <cell r="F940">
            <v>21000</v>
          </cell>
        </row>
        <row r="941">
          <cell r="B941" t="str">
            <v>Fuel -Development Black Quarry-502</v>
          </cell>
        </row>
        <row r="941">
          <cell r="F941">
            <v>297155</v>
          </cell>
        </row>
        <row r="942">
          <cell r="B942" t="str">
            <v>Fuel CAT3 Crusher - 031</v>
          </cell>
        </row>
        <row r="942">
          <cell r="F942">
            <v>53328</v>
          </cell>
        </row>
        <row r="943">
          <cell r="B943" t="str">
            <v>Fuel Excavator - S&amp;D - 331</v>
          </cell>
        </row>
        <row r="943">
          <cell r="F943">
            <v>275</v>
          </cell>
        </row>
        <row r="944">
          <cell r="B944" t="str">
            <v>Q3 Fuel CAT 3 Quarry - 470</v>
          </cell>
        </row>
        <row r="944">
          <cell r="F944">
            <v>-350758</v>
          </cell>
        </row>
        <row r="945">
          <cell r="B945" t="str">
            <v>Fuel -Development Black Quarry-502</v>
          </cell>
        </row>
        <row r="945">
          <cell r="F945">
            <v>78774</v>
          </cell>
        </row>
        <row r="946">
          <cell r="B946" t="str">
            <v>Fuel CAT 4 Crusher - 461</v>
          </cell>
        </row>
        <row r="946">
          <cell r="F946">
            <v>168892</v>
          </cell>
        </row>
        <row r="947">
          <cell r="B947" t="str">
            <v>Q3 Fuel Cat 4 Quarry - 515</v>
          </cell>
        </row>
        <row r="947">
          <cell r="F947">
            <v>162212</v>
          </cell>
        </row>
        <row r="948">
          <cell r="B948" t="str">
            <v>Q3 Fuel Cat 4 Quarry - 515</v>
          </cell>
        </row>
        <row r="948">
          <cell r="F948">
            <v>-409878</v>
          </cell>
        </row>
        <row r="949">
          <cell r="B949" t="str">
            <v>Fuel -Development Black Quarry-502</v>
          </cell>
        </row>
        <row r="949">
          <cell r="F949">
            <v>293749</v>
          </cell>
        </row>
        <row r="950">
          <cell r="B950" t="str">
            <v>Fuel CAT 5 Crusher - 457</v>
          </cell>
        </row>
        <row r="950">
          <cell r="F950">
            <v>61865</v>
          </cell>
        </row>
        <row r="951">
          <cell r="B951" t="str">
            <v>Fuel Excavator - S&amp;D - 331</v>
          </cell>
        </row>
        <row r="951">
          <cell r="F951">
            <v>4577</v>
          </cell>
        </row>
        <row r="952">
          <cell r="B952" t="str">
            <v>Q3 Fuel Cat 5 Quarry - 475</v>
          </cell>
        </row>
        <row r="952">
          <cell r="F952">
            <v>-360191</v>
          </cell>
        </row>
        <row r="953">
          <cell r="B953" t="str">
            <v>Fuel -Development Black Quarry-502</v>
          </cell>
        </row>
        <row r="953">
          <cell r="F953">
            <v>5587</v>
          </cell>
        </row>
        <row r="954">
          <cell r="B954" t="str">
            <v>Q1 Fuel Cat 6 Quarry-572</v>
          </cell>
        </row>
        <row r="954">
          <cell r="F954">
            <v>-5587</v>
          </cell>
        </row>
        <row r="955">
          <cell r="B955" t="str">
            <v>Fuel Excavator - S&amp;D - 331</v>
          </cell>
        </row>
        <row r="955">
          <cell r="F955">
            <v>292269</v>
          </cell>
        </row>
        <row r="956">
          <cell r="B956" t="str">
            <v>Fuel Loader Crusher - 368</v>
          </cell>
        </row>
        <row r="956">
          <cell r="F956">
            <v>-292269</v>
          </cell>
        </row>
        <row r="957">
          <cell r="B957" t="str">
            <v>Fuel Excavator - S&amp;D - 331</v>
          </cell>
        </row>
        <row r="957">
          <cell r="F957">
            <v>263466</v>
          </cell>
        </row>
        <row r="958">
          <cell r="B958" t="str">
            <v>Fuel Loader 2 Crusher - 451</v>
          </cell>
        </row>
        <row r="958">
          <cell r="F958">
            <v>-263466</v>
          </cell>
        </row>
        <row r="959">
          <cell r="B959" t="str">
            <v>Fuel Excavator - S&amp;D - 331</v>
          </cell>
        </row>
        <row r="959">
          <cell r="F959">
            <v>2445</v>
          </cell>
        </row>
        <row r="960">
          <cell r="B960" t="str">
            <v>Fuel Excavator - Slurry Maintenance - 035</v>
          </cell>
        </row>
        <row r="960">
          <cell r="F960">
            <v>972</v>
          </cell>
        </row>
        <row r="961">
          <cell r="B961" t="str">
            <v>Fuel -Development Black Quarry-502</v>
          </cell>
        </row>
        <row r="961">
          <cell r="F961">
            <v>3166</v>
          </cell>
        </row>
        <row r="962">
          <cell r="B962" t="str">
            <v>Fuel JCB Crusher - 040</v>
          </cell>
        </row>
        <row r="962">
          <cell r="F962">
            <v>-6583</v>
          </cell>
        </row>
        <row r="963">
          <cell r="B963" t="str">
            <v>Fuel Excavator - Slurry Maintenance - 035</v>
          </cell>
        </row>
        <row r="963">
          <cell r="F963">
            <v>111947</v>
          </cell>
        </row>
        <row r="964">
          <cell r="B964" t="str">
            <v>Fuel Hyundai Crusher - 039</v>
          </cell>
        </row>
        <row r="964">
          <cell r="F964">
            <v>-115169</v>
          </cell>
        </row>
        <row r="965">
          <cell r="B965" t="str">
            <v>Fuel -Development Black Quarry-502</v>
          </cell>
        </row>
        <row r="965">
          <cell r="F965">
            <v>416</v>
          </cell>
        </row>
        <row r="966">
          <cell r="B966" t="str">
            <v>Fuel Excavator - S&amp;D - 331</v>
          </cell>
        </row>
        <row r="966">
          <cell r="F966">
            <v>2806</v>
          </cell>
        </row>
        <row r="967">
          <cell r="B967" t="str">
            <v>Q1 Compressor Rent - Quarry - 270</v>
          </cell>
        </row>
        <row r="967">
          <cell r="F967">
            <v>-442880</v>
          </cell>
        </row>
        <row r="968">
          <cell r="B968" t="str">
            <v>Q3 Compressor Rent - Quarry - 479</v>
          </cell>
        </row>
        <row r="968">
          <cell r="F968">
            <v>-629488</v>
          </cell>
        </row>
        <row r="969">
          <cell r="B969" t="str">
            <v>Compressor Rent -Black Quarry Development - 483</v>
          </cell>
        </row>
        <row r="969">
          <cell r="F969">
            <v>-273175</v>
          </cell>
        </row>
        <row r="970">
          <cell r="B970" t="str">
            <v>Q3-Repairs &amp; Maintenance - CAT 3-523</v>
          </cell>
        </row>
        <row r="970">
          <cell r="F970">
            <v>33583</v>
          </cell>
        </row>
        <row r="971">
          <cell r="B971" t="str">
            <v>Q3 Repair &amp; Maintenance - Quarry Development-534</v>
          </cell>
        </row>
        <row r="971">
          <cell r="F971">
            <v>101832</v>
          </cell>
        </row>
        <row r="972">
          <cell r="B972" t="str">
            <v>Repair &amp; Maintenance - S&amp;D-535</v>
          </cell>
        </row>
        <row r="972">
          <cell r="F972">
            <v>94</v>
          </cell>
        </row>
        <row r="973">
          <cell r="B973" t="str">
            <v>Repairs &amp; Maintenance - CAT 3 - 083</v>
          </cell>
        </row>
        <row r="973">
          <cell r="F973">
            <v>-106042</v>
          </cell>
        </row>
        <row r="974">
          <cell r="B974" t="str">
            <v>Repairs &amp; Maintenance - CAT - 081</v>
          </cell>
        </row>
        <row r="974">
          <cell r="F974">
            <v>-26967</v>
          </cell>
        </row>
        <row r="975">
          <cell r="B975" t="str">
            <v>Repairs &amp; Maintenance - Hyundai/CAT - Crusher - 091</v>
          </cell>
        </row>
        <row r="975">
          <cell r="F975">
            <v>-2500</v>
          </cell>
        </row>
        <row r="976">
          <cell r="B976" t="str">
            <v>Q3-Repairs &amp; Maintenance - CAT 4 - 520</v>
          </cell>
        </row>
        <row r="976">
          <cell r="F976">
            <v>162212</v>
          </cell>
        </row>
        <row r="977">
          <cell r="B977" t="str">
            <v>Q3 Repair &amp; Maintenance - Quarry Development-534</v>
          </cell>
        </row>
        <row r="977">
          <cell r="F977">
            <v>78774</v>
          </cell>
        </row>
        <row r="978">
          <cell r="B978" t="str">
            <v>Repairs &amp; Maintenance - CAT 4 - 452</v>
          </cell>
        </row>
        <row r="978">
          <cell r="F978">
            <v>-211637</v>
          </cell>
        </row>
        <row r="979">
          <cell r="B979" t="str">
            <v>Repairs &amp; Maintenance - CAT - 081</v>
          </cell>
        </row>
        <row r="979">
          <cell r="F979">
            <v>-29349</v>
          </cell>
        </row>
        <row r="980">
          <cell r="B980" t="str">
            <v>Repair &amp; Maintenance - S&amp;D-535</v>
          </cell>
        </row>
        <row r="980">
          <cell r="F980">
            <v>382</v>
          </cell>
        </row>
        <row r="981">
          <cell r="B981" t="str">
            <v>Q3-Repairs &amp; Maintenance - CAT 5-526</v>
          </cell>
        </row>
        <row r="981">
          <cell r="F981">
            <v>18459</v>
          </cell>
        </row>
        <row r="982">
          <cell r="B982" t="str">
            <v>Q3 Repair &amp; Maintenance - Quarry Development-534</v>
          </cell>
        </row>
        <row r="982">
          <cell r="F982">
            <v>24519</v>
          </cell>
        </row>
        <row r="983">
          <cell r="B983" t="str">
            <v>Repairs &amp; Maintenance - CAT 5 - 460</v>
          </cell>
        </row>
        <row r="983">
          <cell r="F983">
            <v>-5536</v>
          </cell>
        </row>
        <row r="984">
          <cell r="B984" t="str">
            <v>Repairs &amp; Maintenance - CAT - 081</v>
          </cell>
        </row>
        <row r="984">
          <cell r="F984">
            <v>-37824</v>
          </cell>
        </row>
        <row r="985">
          <cell r="B985" t="str">
            <v>Q3 Repair &amp; Maintenance - Quarry Development-534</v>
          </cell>
        </row>
        <row r="985">
          <cell r="F985">
            <v>3573</v>
          </cell>
        </row>
        <row r="986">
          <cell r="B986" t="str">
            <v>Q1-Repairs &amp; Maintenance - CAT 6-571</v>
          </cell>
        </row>
        <row r="986">
          <cell r="F986">
            <v>247242</v>
          </cell>
        </row>
        <row r="987">
          <cell r="B987" t="str">
            <v>Repairs &amp; Maintenance - CAT 6-544</v>
          </cell>
        </row>
        <row r="987">
          <cell r="F987">
            <v>-226104</v>
          </cell>
        </row>
        <row r="988">
          <cell r="B988" t="str">
            <v>Repairs &amp; Maintenance - CAT - 081</v>
          </cell>
        </row>
        <row r="988">
          <cell r="F988">
            <v>-24711</v>
          </cell>
        </row>
        <row r="989">
          <cell r="B989" t="str">
            <v>Q3 Repair &amp; Maintenance - Quarry Development-534</v>
          </cell>
        </row>
        <row r="989">
          <cell r="F989">
            <v>51</v>
          </cell>
        </row>
        <row r="990">
          <cell r="B990" t="str">
            <v>Repairs &amp; Maintenance - Slurry - 097</v>
          </cell>
        </row>
        <row r="990">
          <cell r="F990">
            <v>13826</v>
          </cell>
        </row>
        <row r="991">
          <cell r="B991" t="str">
            <v>Repair &amp; Maintenance - S&amp;D-535</v>
          </cell>
        </row>
        <row r="991">
          <cell r="F991">
            <v>347</v>
          </cell>
        </row>
        <row r="992">
          <cell r="B992" t="str">
            <v>Repairs &amp; Maintenance - Hyundai - 090</v>
          </cell>
        </row>
        <row r="992">
          <cell r="F992">
            <v>11560</v>
          </cell>
        </row>
        <row r="993">
          <cell r="B993" t="str">
            <v>Repairs &amp; Maintenance - CAT - 081</v>
          </cell>
        </row>
        <row r="993">
          <cell r="F993">
            <v>-25784</v>
          </cell>
        </row>
        <row r="994">
          <cell r="B994" t="str">
            <v>Repair &amp; Maintenance - S&amp;D-535</v>
          </cell>
        </row>
        <row r="994">
          <cell r="F994">
            <v>1042</v>
          </cell>
        </row>
        <row r="995">
          <cell r="B995" t="str">
            <v>Repairs &amp; Maintenance - Slurry - 097</v>
          </cell>
        </row>
        <row r="995">
          <cell r="F995">
            <v>414</v>
          </cell>
        </row>
        <row r="996">
          <cell r="B996" t="str">
            <v>Q3 Repair &amp; Maintenance - Quarry Development-534</v>
          </cell>
        </row>
        <row r="996">
          <cell r="F996">
            <v>1349</v>
          </cell>
        </row>
        <row r="997">
          <cell r="B997" t="str">
            <v>Repairs &amp; Maintenance - JCB - 092</v>
          </cell>
        </row>
        <row r="997">
          <cell r="F997">
            <v>6878.3</v>
          </cell>
        </row>
        <row r="998">
          <cell r="B998" t="str">
            <v>Repairs &amp; Maintenance - CAT - 081</v>
          </cell>
        </row>
        <row r="998">
          <cell r="F998">
            <v>-9683.3</v>
          </cell>
        </row>
        <row r="999">
          <cell r="B999" t="str">
            <v>Repair &amp; Maintenance - S&amp;D-535</v>
          </cell>
        </row>
        <row r="999">
          <cell r="F999">
            <v>47362</v>
          </cell>
        </row>
        <row r="1000">
          <cell r="B1000" t="str">
            <v>Repairs &amp; Maintenance - SEM Loader - 096</v>
          </cell>
        </row>
        <row r="1000">
          <cell r="F1000">
            <v>-24763</v>
          </cell>
        </row>
        <row r="1001">
          <cell r="B1001" t="str">
            <v>Repairs &amp; Maintenance - CAT - 081</v>
          </cell>
        </row>
        <row r="1001">
          <cell r="F1001">
            <v>-22599</v>
          </cell>
        </row>
        <row r="1002">
          <cell r="B1002" t="str">
            <v>Repair &amp; Maintenance - S&amp;D-535</v>
          </cell>
        </row>
        <row r="1002">
          <cell r="F1002">
            <v>67644</v>
          </cell>
        </row>
        <row r="1003">
          <cell r="B1003" t="str">
            <v>Repairs &amp; Maintenance - SEM Loader 2 - 454</v>
          </cell>
        </row>
        <row r="1003">
          <cell r="F1003">
            <v>-50415</v>
          </cell>
        </row>
        <row r="1004">
          <cell r="B1004" t="str">
            <v>Repairs &amp; Maintenance - CAT - 081</v>
          </cell>
        </row>
        <row r="1004">
          <cell r="F1004">
            <v>-17229</v>
          </cell>
        </row>
        <row r="1005">
          <cell r="B1005" t="str">
            <v>Salary - Sales - 332</v>
          </cell>
        </row>
        <row r="1005">
          <cell r="F1005">
            <v>161097</v>
          </cell>
        </row>
        <row r="1006">
          <cell r="B1006" t="str">
            <v>Salary O&amp;M - Crusher - 108</v>
          </cell>
        </row>
        <row r="1006">
          <cell r="F1006">
            <v>341548</v>
          </cell>
        </row>
        <row r="1007">
          <cell r="B1007" t="str">
            <v>Salary - Crusher - 107</v>
          </cell>
        </row>
        <row r="1007">
          <cell r="F1007">
            <v>70500</v>
          </cell>
        </row>
        <row r="1008">
          <cell r="B1008" t="str">
            <v>Q1 Salary - Quarry - 300</v>
          </cell>
        </row>
        <row r="1008">
          <cell r="F1008">
            <v>124823</v>
          </cell>
        </row>
        <row r="1009">
          <cell r="B1009" t="str">
            <v>Q3 Salary - Quarry - 513</v>
          </cell>
        </row>
        <row r="1009">
          <cell r="F1009">
            <v>96210</v>
          </cell>
        </row>
        <row r="1010">
          <cell r="B1010" t="str">
            <v>Salary - Admin - 215</v>
          </cell>
        </row>
        <row r="1010">
          <cell r="F1010">
            <v>486613</v>
          </cell>
        </row>
        <row r="1011">
          <cell r="B1011" t="str">
            <v>Q2 Salary - Quarry - 322</v>
          </cell>
        </row>
        <row r="1011">
          <cell r="F1011">
            <v>57500</v>
          </cell>
        </row>
        <row r="1012">
          <cell r="B1012" t="str">
            <v>Salary Marketing- 514</v>
          </cell>
        </row>
        <row r="1012">
          <cell r="F1012">
            <v>14516</v>
          </cell>
        </row>
        <row r="1013">
          <cell r="B1013" t="str">
            <v>Gross Salary - 398</v>
          </cell>
        </row>
        <row r="1013">
          <cell r="F1013">
            <v>-1352807</v>
          </cell>
        </row>
        <row r="1014">
          <cell r="B1014" t="str">
            <v>Salary - Sales - 332</v>
          </cell>
        </row>
        <row r="1014">
          <cell r="F1014">
            <v>4259</v>
          </cell>
        </row>
        <row r="1015">
          <cell r="B1015" t="str">
            <v>Q3-Salary-Quarry Development-536</v>
          </cell>
        </row>
        <row r="1015">
          <cell r="F1015">
            <v>69055</v>
          </cell>
        </row>
        <row r="1016">
          <cell r="B1016" t="str">
            <v>Salary - Crusher - 107</v>
          </cell>
        </row>
        <row r="1016">
          <cell r="F1016">
            <v>96516</v>
          </cell>
        </row>
        <row r="1017">
          <cell r="B1017" t="str">
            <v>Q1 Salary - Quarry - 300</v>
          </cell>
        </row>
        <row r="1017">
          <cell r="F1017">
            <v>46325</v>
          </cell>
        </row>
        <row r="1018">
          <cell r="B1018" t="str">
            <v>Q3 Salary - Quarry - 513</v>
          </cell>
        </row>
        <row r="1018">
          <cell r="F1018">
            <v>46738</v>
          </cell>
        </row>
        <row r="1019">
          <cell r="B1019" t="str">
            <v>Salary Slurry-537</v>
          </cell>
        </row>
        <row r="1019">
          <cell r="F1019">
            <v>19073</v>
          </cell>
        </row>
        <row r="1020">
          <cell r="B1020" t="str">
            <v>Gross Salary - 398</v>
          </cell>
        </row>
        <row r="1020">
          <cell r="F1020">
            <v>-281966</v>
          </cell>
        </row>
        <row r="1021">
          <cell r="B1021" t="str">
            <v>Fuel Charges- Crusher (Rmk Lorry )-547</v>
          </cell>
        </row>
        <row r="1021">
          <cell r="F1021">
            <v>64764.34</v>
          </cell>
        </row>
        <row r="1022">
          <cell r="B1022" t="str">
            <v>Q3 Fuel Charges (Rmk Lorry)-501</v>
          </cell>
        </row>
        <row r="1022">
          <cell r="F1022">
            <v>31103.93</v>
          </cell>
        </row>
        <row r="1023">
          <cell r="B1023" t="str">
            <v>Q3 Fuel Intercart -Development-496</v>
          </cell>
        </row>
        <row r="1023">
          <cell r="F1023">
            <v>55816.63</v>
          </cell>
        </row>
        <row r="1024">
          <cell r="B1024" t="str">
            <v>Fuel Charges- Slurry (Rmk Lorry )-548</v>
          </cell>
        </row>
        <row r="1024">
          <cell r="F1024">
            <v>106.52</v>
          </cell>
        </row>
        <row r="1025">
          <cell r="B1025" t="str">
            <v>Fuel - CWC 1 - 235</v>
          </cell>
        </row>
        <row r="1025">
          <cell r="F1025">
            <v>-151791.42</v>
          </cell>
        </row>
        <row r="1026">
          <cell r="B1026" t="str">
            <v>Fuel Charges- Crusher (Rmk Lorry )-547</v>
          </cell>
        </row>
        <row r="1026">
          <cell r="F1026">
            <v>71501.07</v>
          </cell>
        </row>
        <row r="1027">
          <cell r="B1027" t="str">
            <v>Q3 Fuel Charges (Rmk Lorry)-501</v>
          </cell>
        </row>
        <row r="1027">
          <cell r="F1027">
            <v>34768.7</v>
          </cell>
        </row>
        <row r="1028">
          <cell r="B1028" t="str">
            <v>Q3 Fuel Intercart -Development-496</v>
          </cell>
        </row>
        <row r="1028">
          <cell r="F1028">
            <v>57639.8</v>
          </cell>
        </row>
        <row r="1029">
          <cell r="B1029" t="str">
            <v>Fuel Charges- Slurry (Rmk Lorry )-548</v>
          </cell>
        </row>
        <row r="1029">
          <cell r="F1029">
            <v>693.06</v>
          </cell>
        </row>
        <row r="1030">
          <cell r="B1030" t="str">
            <v>Fuel - CWC 2 - 240</v>
          </cell>
        </row>
        <row r="1030">
          <cell r="F1030">
            <v>-164602.63</v>
          </cell>
        </row>
        <row r="1031">
          <cell r="B1031" t="str">
            <v>Fuel Charges- Sales (Rmk Lorry )-549</v>
          </cell>
        </row>
        <row r="1031">
          <cell r="F1031">
            <v>6315.61</v>
          </cell>
        </row>
        <row r="1032">
          <cell r="B1032" t="str">
            <v>Fuel Charges- Crusher (Rmk Lorry )-547</v>
          </cell>
        </row>
        <row r="1032">
          <cell r="F1032">
            <v>1219.39</v>
          </cell>
        </row>
        <row r="1033">
          <cell r="B1033" t="str">
            <v>Fuel - Prudential 6 Wheeler - 250</v>
          </cell>
        </row>
        <row r="1033">
          <cell r="F1033">
            <v>-7535</v>
          </cell>
        </row>
        <row r="1034">
          <cell r="B1034" t="str">
            <v>R&amp;M- Crusher  (Rmk Lorry )-559</v>
          </cell>
        </row>
        <row r="1034">
          <cell r="F1034">
            <v>2167</v>
          </cell>
        </row>
        <row r="1035">
          <cell r="B1035" t="str">
            <v>R&amp;M- Sales (Rmk Lorry )-561</v>
          </cell>
        </row>
        <row r="1035">
          <cell r="F1035">
            <v>11223</v>
          </cell>
        </row>
        <row r="1036">
          <cell r="B1036" t="str">
            <v>Repairs &amp; Maintenance - Prudential 6 Wheeler - 380</v>
          </cell>
        </row>
        <row r="1036">
          <cell r="F1036">
            <v>-13390</v>
          </cell>
        </row>
        <row r="1037">
          <cell r="B1037" t="str">
            <v>R&amp;M- Crusher  (Rmk Lorry )-559</v>
          </cell>
        </row>
        <row r="1037">
          <cell r="F1037">
            <v>2364</v>
          </cell>
        </row>
        <row r="1038">
          <cell r="B1038" t="str">
            <v>Q3 R&amp;M  (Rmk Lorry )-558</v>
          </cell>
        </row>
        <row r="1038">
          <cell r="F1038">
            <v>1135</v>
          </cell>
        </row>
        <row r="1039">
          <cell r="B1039" t="str">
            <v>Q3 Repair &amp; Maintenance - Quarry Development-534</v>
          </cell>
        </row>
        <row r="1039">
          <cell r="F1039">
            <v>2037</v>
          </cell>
        </row>
        <row r="1040">
          <cell r="B1040" t="str">
            <v>R&amp;M- Slurry (Rmk Lorry )-560</v>
          </cell>
        </row>
        <row r="1040">
          <cell r="F1040">
            <v>4</v>
          </cell>
        </row>
        <row r="1041">
          <cell r="B1041" t="str">
            <v>Repairs &amp; Maintenance - CWC 1 - 238</v>
          </cell>
        </row>
        <row r="1041">
          <cell r="F1041">
            <v>-5540</v>
          </cell>
        </row>
        <row r="1042">
          <cell r="B1042" t="str">
            <v>R&amp;M- Crusher  (Rmk Lorry )-559</v>
          </cell>
        </row>
        <row r="1042">
          <cell r="F1042">
            <v>734</v>
          </cell>
        </row>
        <row r="1043">
          <cell r="B1043" t="str">
            <v>Q3 R&amp;M  (Rmk Lorry )-558</v>
          </cell>
        </row>
        <row r="1043">
          <cell r="F1043">
            <v>357</v>
          </cell>
        </row>
        <row r="1044">
          <cell r="B1044" t="str">
            <v>Q3 Repair &amp; Maintenance - Quarry Development-534</v>
          </cell>
        </row>
        <row r="1044">
          <cell r="F1044">
            <v>592</v>
          </cell>
        </row>
        <row r="1045">
          <cell r="B1045" t="str">
            <v>R&amp;M- Slurry (Rmk Lorry )-560</v>
          </cell>
        </row>
        <row r="1045">
          <cell r="F1045">
            <v>7</v>
          </cell>
        </row>
        <row r="1046">
          <cell r="B1046" t="str">
            <v>Repairs &amp; Maintenance - CWC 2 - 243</v>
          </cell>
        </row>
        <row r="1046">
          <cell r="F1046">
            <v>-1690</v>
          </cell>
        </row>
        <row r="1047">
          <cell r="B1047" t="str">
            <v>Salary - Slurry (Rmk Lorry )-554</v>
          </cell>
        </row>
        <row r="1047">
          <cell r="F1047">
            <v>214</v>
          </cell>
        </row>
        <row r="1048">
          <cell r="B1048" t="str">
            <v>Salary - Sales (Rmk Lorry )-555</v>
          </cell>
        </row>
        <row r="1048">
          <cell r="F1048">
            <v>36460</v>
          </cell>
        </row>
        <row r="1049">
          <cell r="B1049" t="str">
            <v>Salary -Crusher  (Rmk Lorry )-553</v>
          </cell>
        </row>
        <row r="1049">
          <cell r="F1049">
            <v>44496</v>
          </cell>
        </row>
        <row r="1050">
          <cell r="B1050" t="str">
            <v>Q3 Salary-  (Rmk Lorry )-552</v>
          </cell>
        </row>
        <row r="1050">
          <cell r="F1050">
            <v>18102</v>
          </cell>
        </row>
        <row r="1051">
          <cell r="B1051" t="str">
            <v>Q3-Salary-Quarry Development-536</v>
          </cell>
        </row>
        <row r="1051">
          <cell r="F1051">
            <v>31228</v>
          </cell>
        </row>
        <row r="1052">
          <cell r="B1052" t="str">
            <v>Gross Salary - 398</v>
          </cell>
        </row>
        <row r="1052">
          <cell r="F1052">
            <v>-130500</v>
          </cell>
        </row>
        <row r="1053">
          <cell r="B1053" t="str">
            <v>Q3 Chakkai Pass - 539</v>
          </cell>
        </row>
        <row r="1053">
          <cell r="F1053">
            <v>532367.15</v>
          </cell>
        </row>
        <row r="1055">
          <cell r="F1055">
            <v>31398414.63</v>
          </cell>
        </row>
        <row r="1057">
          <cell r="F1057">
            <v>32807317.55</v>
          </cell>
        </row>
        <row r="1058">
          <cell r="F1058">
            <v>1408902.91999999</v>
          </cell>
        </row>
        <row r="1059">
          <cell r="F1059">
            <v>1408903</v>
          </cell>
        </row>
        <row r="1060">
          <cell r="F1060">
            <v>-0.0800000056624413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DC151"/>
  <sheetViews>
    <sheetView showGridLines="0" tabSelected="1" zoomScale="94" zoomScaleNormal="94" topLeftCell="C1" workbookViewId="0">
      <selection activeCell="G84" sqref="G84"/>
    </sheetView>
  </sheetViews>
  <sheetFormatPr defaultColWidth="9.45454545454546" defaultRowHeight="14"/>
  <cols>
    <col min="1" max="1" width="9.45454545454546" style="152"/>
    <col min="2" max="2" width="11.3636363636364" style="152" customWidth="1"/>
    <col min="3" max="3" width="13.4545454545455" style="152" customWidth="1"/>
    <col min="4" max="4" width="2.81818181818182" style="152" customWidth="1"/>
    <col min="5" max="5" width="40" style="152" customWidth="1"/>
    <col min="6" max="10" width="15.5454545454545" style="152" customWidth="1"/>
    <col min="11" max="14" width="14.3636363636364" style="152" customWidth="1"/>
    <col min="15" max="15" width="12.4545454545455" style="152" customWidth="1"/>
    <col min="16" max="16" width="13.0909090909091" style="152" customWidth="1"/>
    <col min="17" max="21" width="12.4545454545455" style="152" customWidth="1"/>
    <col min="22" max="22" width="10.8181818181818" style="152" customWidth="1"/>
    <col min="23" max="31" width="15.5454545454545" style="152" customWidth="1"/>
    <col min="32" max="32" width="2.81818181818182" style="152" customWidth="1"/>
    <col min="33" max="33" width="12.5454545454545" style="152" customWidth="1"/>
    <col min="34" max="34" width="12.1818181818182" style="152" customWidth="1"/>
    <col min="35" max="35" width="13.1818181818182" style="152" customWidth="1"/>
    <col min="36" max="36" width="12.1818181818182" style="152" customWidth="1"/>
    <col min="37" max="37" width="2.81818181818182" style="152" customWidth="1"/>
    <col min="38" max="38" width="12.5454545454545" style="152" customWidth="1"/>
    <col min="39" max="39" width="2.81818181818182" style="152" customWidth="1"/>
    <col min="40" max="41" width="12.1818181818182" style="152" customWidth="1"/>
    <col min="42" max="16384" width="9.45454545454546" style="152"/>
  </cols>
  <sheetData>
    <row r="1" spans="11:28">
      <c r="K1" s="228">
        <f>SUBTOTAL(9,K7:K40)</f>
        <v>24350381.58</v>
      </c>
      <c r="L1" s="176">
        <f>'[1]Clos Stock op cf val -Sep24'!K64</f>
        <v>16048635.374607</v>
      </c>
      <c r="M1" s="228">
        <f>K1-L1</f>
        <v>8301746.20539297</v>
      </c>
      <c r="AA1" s="154"/>
      <c r="AB1" s="165"/>
    </row>
    <row r="2" spans="11:30">
      <c r="K2" s="228">
        <f ca="1">SUBTOTAL(9,L7:L40)</f>
        <v>13951311.8944136</v>
      </c>
      <c r="L2" s="228" t="e">
        <f>'Input Sheet'!#REF!</f>
        <v>#REF!</v>
      </c>
      <c r="M2" s="228" t="e">
        <f ca="1">K2-L2</f>
        <v>#REF!</v>
      </c>
      <c r="N2" s="165"/>
      <c r="AA2" s="154"/>
      <c r="AB2" s="165"/>
      <c r="AC2" s="165"/>
      <c r="AD2" s="165"/>
    </row>
    <row r="3" spans="5:30">
      <c r="E3" s="470" t="s">
        <v>0</v>
      </c>
      <c r="F3" s="470"/>
      <c r="G3" s="470"/>
      <c r="H3" s="470"/>
      <c r="I3" s="470"/>
      <c r="J3" s="470"/>
      <c r="N3" s="152" t="s">
        <v>1</v>
      </c>
      <c r="O3" s="208">
        <f>SUMIF($C$7:$C$19,N3,$K$7:$K$19)</f>
        <v>440968.294472125</v>
      </c>
      <c r="P3" s="208">
        <f>SUM('[1]Product &amp; stock detail - Jul-24'!O30:R30)+'[1]Product &amp; stock detail - Jul-24'!Z30</f>
        <v>1871925.1638799</v>
      </c>
      <c r="Q3" s="208">
        <f>O3-P3</f>
        <v>-1430956.86940777</v>
      </c>
      <c r="R3" s="227">
        <f>'[1]Clos Stock op cf val -Aug24 '!I3+'[1]Clos Stock op cf val -Aug24 '!I4+'[1]Clos Stock op cf val -Aug24 '!I5+'[1]Clos Stock op cf val -Aug24 '!I6+'[1]Clos Stock op cf val -Aug24 '!I14</f>
        <v>1420787.96112628</v>
      </c>
      <c r="S3" s="154">
        <f>Q3+R3</f>
        <v>-10168.9082814876</v>
      </c>
      <c r="U3" s="154"/>
      <c r="AC3" s="165"/>
      <c r="AD3" s="165"/>
    </row>
    <row r="4" spans="5:30">
      <c r="E4" s="157" t="s">
        <v>2</v>
      </c>
      <c r="F4" s="157"/>
      <c r="G4" s="157"/>
      <c r="H4" s="157"/>
      <c r="I4" s="157"/>
      <c r="J4" s="157"/>
      <c r="L4" s="176">
        <f ca="1">-'Product &amp; stock detail -Jan-25'!Q23</f>
        <v>-138.428668670081</v>
      </c>
      <c r="N4" s="152" t="s">
        <v>3</v>
      </c>
      <c r="O4" s="208">
        <f>SUMIF($C$7:$C$19,N4,$K$7:$K$19)</f>
        <v>2157954.60566342</v>
      </c>
      <c r="P4" s="208">
        <f>SUM('[1]Product &amp; stock detail - Jul-24'!S30:T30)+SUM('[1]Product &amp; stock detail - Jul-24'!W30:Y30)</f>
        <v>2538872.81987414</v>
      </c>
      <c r="Q4" s="208">
        <f t="shared" ref="Q4:Q5" si="0">O4-P4</f>
        <v>-380918.214210717</v>
      </c>
      <c r="AA4" s="154"/>
      <c r="AB4" s="165"/>
      <c r="AC4" s="154"/>
      <c r="AD4" s="154"/>
    </row>
    <row r="5" s="469" customFormat="1" ht="15" customHeight="1" spans="5:39">
      <c r="E5" s="723" t="s">
        <v>4</v>
      </c>
      <c r="F5" s="724" t="s">
        <v>5</v>
      </c>
      <c r="G5" s="724" t="s">
        <v>6</v>
      </c>
      <c r="H5" s="724" t="s">
        <v>7</v>
      </c>
      <c r="I5" s="724" t="s">
        <v>8</v>
      </c>
      <c r="J5" s="724" t="s">
        <v>9</v>
      </c>
      <c r="K5" s="740"/>
      <c r="L5" s="740"/>
      <c r="M5" s="740"/>
      <c r="N5" s="152" t="s">
        <v>10</v>
      </c>
      <c r="O5" s="208">
        <f>SUMIF($C$7:$C$19,N5,$K$7:$K$19)</f>
        <v>3140308.87489822</v>
      </c>
      <c r="P5" s="726">
        <f>SUM('[1]Product &amp; stock detail - Jul-24'!U30:V30)</f>
        <v>2116782.27387753</v>
      </c>
      <c r="Q5" s="208">
        <f t="shared" si="0"/>
        <v>1023526.60102069</v>
      </c>
      <c r="U5" s="740"/>
      <c r="AM5" s="152"/>
    </row>
    <row r="6" s="469" customFormat="1" spans="5:39">
      <c r="E6" s="723"/>
      <c r="F6" s="724"/>
      <c r="G6" s="724"/>
      <c r="H6" s="724"/>
      <c r="I6" s="724"/>
      <c r="J6" s="724"/>
      <c r="K6" s="724" t="s">
        <v>11</v>
      </c>
      <c r="M6" s="740"/>
      <c r="N6" s="762"/>
      <c r="O6" s="726"/>
      <c r="P6" s="740"/>
      <c r="W6" s="778"/>
      <c r="X6" s="778"/>
      <c r="Y6" s="778"/>
      <c r="AM6" s="152"/>
    </row>
    <row r="7" s="469" customFormat="1" spans="1:39">
      <c r="A7" s="725"/>
      <c r="C7" s="726" t="s">
        <v>1</v>
      </c>
      <c r="D7" s="469" t="s">
        <v>12</v>
      </c>
      <c r="E7" s="480" t="s">
        <v>13</v>
      </c>
      <c r="F7" s="727"/>
      <c r="G7" s="728"/>
      <c r="H7" s="162">
        <v>0</v>
      </c>
      <c r="I7" s="763">
        <f>G7-H7</f>
        <v>0</v>
      </c>
      <c r="J7" s="163">
        <f>+F7*I7</f>
        <v>0</v>
      </c>
      <c r="K7" s="764">
        <f>F7*H7</f>
        <v>0</v>
      </c>
      <c r="L7" s="764">
        <f>F7*G7</f>
        <v>0</v>
      </c>
      <c r="M7" s="726"/>
      <c r="N7" s="726"/>
      <c r="O7" s="726"/>
      <c r="P7" s="740">
        <f>M7-N7</f>
        <v>0</v>
      </c>
      <c r="Q7" s="726"/>
      <c r="R7" s="726"/>
      <c r="S7" s="726"/>
      <c r="T7" s="726"/>
      <c r="U7" s="726"/>
      <c r="W7" s="778"/>
      <c r="X7" s="778"/>
      <c r="Y7" s="778"/>
      <c r="AM7" s="152"/>
    </row>
    <row r="8" s="469" customFormat="1" spans="1:39">
      <c r="A8" s="725"/>
      <c r="C8" s="726" t="s">
        <v>1</v>
      </c>
      <c r="D8" s="469" t="s">
        <v>12</v>
      </c>
      <c r="E8" s="480" t="s">
        <v>14</v>
      </c>
      <c r="F8" s="729">
        <f>'Monthly Average price-Jan-25'!$J$8</f>
        <v>8.01</v>
      </c>
      <c r="G8" s="728">
        <f>'Monthly Average price-Jan-25'!$F$8</f>
        <v>450</v>
      </c>
      <c r="H8" s="162">
        <f ca="1">VLOOKUP(C8,'Clos Stock op cf val -Jan 25'!$C$20:$E$22,2,0)</f>
        <v>187.827230217302</v>
      </c>
      <c r="I8" s="763">
        <f ca="1">G8-H8</f>
        <v>262.172769782698</v>
      </c>
      <c r="J8" s="163">
        <f ca="1">+F8*I8</f>
        <v>2100.00388595941</v>
      </c>
      <c r="K8" s="765">
        <f>F8*G8</f>
        <v>3604.5</v>
      </c>
      <c r="L8" s="764">
        <f ca="1">F8*H8</f>
        <v>1504.49611404059</v>
      </c>
      <c r="M8" s="726" t="e">
        <f>'Input Sheet'!#REF!</f>
        <v>#REF!</v>
      </c>
      <c r="N8" s="726"/>
      <c r="O8" s="726"/>
      <c r="Q8" s="726"/>
      <c r="R8" s="726"/>
      <c r="S8" s="726"/>
      <c r="T8" s="726"/>
      <c r="U8" s="726"/>
      <c r="W8" s="778"/>
      <c r="X8" s="778"/>
      <c r="Y8" s="778"/>
      <c r="AM8" s="152"/>
    </row>
    <row r="9" s="469" customFormat="1" spans="1:39">
      <c r="A9" s="725"/>
      <c r="C9" s="726" t="s">
        <v>1</v>
      </c>
      <c r="D9" s="469" t="s">
        <v>12</v>
      </c>
      <c r="E9" s="480" t="s">
        <v>15</v>
      </c>
      <c r="F9" s="727">
        <f>'Monthly Average price-Jan-25'!$J$12</f>
        <v>558.16</v>
      </c>
      <c r="G9" s="728">
        <f>'Monthly Average price-Jan-25'!$F$12</f>
        <v>554.1242654436</v>
      </c>
      <c r="H9" s="162">
        <f ca="1">VLOOKUP(C9,'Clos Stock op cf val -Jan 25'!$C$20:$E$22,2,0)</f>
        <v>187.827230217302</v>
      </c>
      <c r="I9" s="763">
        <f ca="1" t="shared" ref="I8:I32" si="1">G9-H9</f>
        <v>366.297035226298</v>
      </c>
      <c r="J9" s="163">
        <f ca="1" t="shared" ref="J9:J32" si="2">+F9*I9</f>
        <v>204452.353181911</v>
      </c>
      <c r="K9" s="765">
        <f t="shared" ref="K9:K40" si="3">F9*G9</f>
        <v>309290</v>
      </c>
      <c r="L9" s="764">
        <f ca="1" t="shared" ref="L9:L40" si="4">F9*H9</f>
        <v>104837.646818089</v>
      </c>
      <c r="M9" s="726" t="e">
        <f>'Input Sheet'!#REF!</f>
        <v>#REF!</v>
      </c>
      <c r="N9" s="726"/>
      <c r="O9" s="726"/>
      <c r="Q9" s="726"/>
      <c r="R9" s="726"/>
      <c r="S9" s="726"/>
      <c r="T9" s="726"/>
      <c r="U9" s="726"/>
      <c r="W9" s="778"/>
      <c r="X9" s="778"/>
      <c r="Y9" s="778"/>
      <c r="AM9" s="152"/>
    </row>
    <row r="10" s="469" customFormat="1" spans="1:39">
      <c r="A10" s="725"/>
      <c r="B10" s="726"/>
      <c r="C10" s="469" t="s">
        <v>3</v>
      </c>
      <c r="E10" s="480" t="s">
        <v>16</v>
      </c>
      <c r="F10" s="730">
        <f>'Monthly Average price-Jan-25'!$J$14</f>
        <v>1165</v>
      </c>
      <c r="G10" s="731">
        <f>'Monthly Average price-Jan-25'!$F$14</f>
        <v>672.010023276677</v>
      </c>
      <c r="H10" s="162">
        <f ca="1">VLOOKUP(C10,'Clos Stock op cf val -Jan 25'!$C$20:$E$22,2,0)</f>
        <v>210.605146825184</v>
      </c>
      <c r="I10" s="763">
        <f ca="1" t="shared" si="1"/>
        <v>461.404876451493</v>
      </c>
      <c r="J10" s="163">
        <f ca="1" t="shared" si="2"/>
        <v>537536.681065989</v>
      </c>
      <c r="K10" s="765">
        <f t="shared" si="3"/>
        <v>782891.677117329</v>
      </c>
      <c r="L10" s="764">
        <f ca="1" t="shared" si="4"/>
        <v>245354.99605134</v>
      </c>
      <c r="M10" s="726"/>
      <c r="N10" s="726"/>
      <c r="O10" s="726"/>
      <c r="Q10" s="726"/>
      <c r="R10" s="726"/>
      <c r="S10" s="726"/>
      <c r="T10" s="726"/>
      <c r="U10" s="726"/>
      <c r="W10" s="778"/>
      <c r="X10" s="778"/>
      <c r="Y10" s="778"/>
      <c r="AM10" s="152"/>
    </row>
    <row r="11" s="469" customFormat="1" spans="1:39">
      <c r="A11" s="725"/>
      <c r="B11" s="726"/>
      <c r="C11" s="469" t="s">
        <v>3</v>
      </c>
      <c r="E11" s="480" t="s">
        <v>17</v>
      </c>
      <c r="F11" s="727">
        <f>'Monthly Average price-Jan-25'!$J$15</f>
        <v>70</v>
      </c>
      <c r="G11" s="728">
        <f>'Monthly Average price-Jan-25'!$F$15</f>
        <v>777.450072648403</v>
      </c>
      <c r="H11" s="162">
        <f ca="1">VLOOKUP(C11,'Clos Stock op cf val -Jan 25'!$C$20:$E$22,2,0)</f>
        <v>210.605146825184</v>
      </c>
      <c r="I11" s="763">
        <f ca="1" t="shared" si="1"/>
        <v>566.844925823219</v>
      </c>
      <c r="J11" s="163">
        <f ca="1" t="shared" si="2"/>
        <v>39679.1448076253</v>
      </c>
      <c r="K11" s="765">
        <f t="shared" si="3"/>
        <v>54421.5050853882</v>
      </c>
      <c r="L11" s="764">
        <f ca="1" t="shared" si="4"/>
        <v>14742.3602777629</v>
      </c>
      <c r="M11" s="726"/>
      <c r="N11" s="726"/>
      <c r="O11" s="726"/>
      <c r="Q11" s="726"/>
      <c r="R11" s="726"/>
      <c r="S11" s="726"/>
      <c r="T11" s="726"/>
      <c r="U11" s="726"/>
      <c r="W11" s="778"/>
      <c r="X11" s="778"/>
      <c r="Y11" s="778"/>
      <c r="AM11" s="152"/>
    </row>
    <row r="12" s="469" customFormat="1" spans="1:39">
      <c r="A12" s="725"/>
      <c r="B12" s="726"/>
      <c r="C12" s="469" t="s">
        <v>3</v>
      </c>
      <c r="E12" s="480" t="s">
        <v>18</v>
      </c>
      <c r="F12" s="727">
        <f>'Monthly Average price-Jan-25'!$J$9</f>
        <v>70</v>
      </c>
      <c r="G12" s="728">
        <f>'Monthly Average price-Jan-25'!$F$9</f>
        <v>532.890813594052</v>
      </c>
      <c r="H12" s="162">
        <f ca="1">VLOOKUP(C12,'Clos Stock op cf val -Jan 25'!$C$20:$E$22,2,0)</f>
        <v>210.605146825184</v>
      </c>
      <c r="I12" s="763">
        <f ca="1" t="shared" si="1"/>
        <v>322.285666768867</v>
      </c>
      <c r="J12" s="163">
        <f ca="1" t="shared" si="2"/>
        <v>22559.9966738207</v>
      </c>
      <c r="K12" s="765">
        <f t="shared" si="3"/>
        <v>37302.3569515836</v>
      </c>
      <c r="L12" s="764">
        <f ca="1" t="shared" si="4"/>
        <v>14742.3602777629</v>
      </c>
      <c r="M12" s="726"/>
      <c r="N12" s="726"/>
      <c r="O12" s="726"/>
      <c r="Q12" s="726"/>
      <c r="R12" s="726"/>
      <c r="S12" s="726"/>
      <c r="T12" s="726"/>
      <c r="U12" s="726"/>
      <c r="W12" s="778"/>
      <c r="X12" s="778"/>
      <c r="Y12" s="778"/>
      <c r="AM12" s="152"/>
    </row>
    <row r="13" s="469" customFormat="1" spans="1:39">
      <c r="A13" s="725"/>
      <c r="B13" s="726"/>
      <c r="C13" s="726" t="s">
        <v>1</v>
      </c>
      <c r="E13" s="480" t="s">
        <v>19</v>
      </c>
      <c r="F13" s="727">
        <f>'Monthly Average price-Jan-25'!$J$13</f>
        <v>132.11</v>
      </c>
      <c r="G13" s="728">
        <f>'Monthly Average price-Jan-25'!$F$13</f>
        <v>600</v>
      </c>
      <c r="H13" s="162">
        <f ca="1">VLOOKUP(C13,'Clos Stock op cf val -Jan 25'!$C$20:$E$22,2,0)</f>
        <v>187.827230217302</v>
      </c>
      <c r="I13" s="763">
        <f ca="1" t="shared" si="1"/>
        <v>412.172769782698</v>
      </c>
      <c r="J13" s="163">
        <f ca="1" t="shared" si="2"/>
        <v>54452.1446159922</v>
      </c>
      <c r="K13" s="765">
        <f t="shared" si="3"/>
        <v>79266</v>
      </c>
      <c r="L13" s="764">
        <f ca="1" t="shared" si="4"/>
        <v>24813.8553840078</v>
      </c>
      <c r="M13" s="726"/>
      <c r="N13" s="726"/>
      <c r="O13" s="726"/>
      <c r="Q13" s="726"/>
      <c r="R13" s="726"/>
      <c r="S13" s="726"/>
      <c r="T13" s="726"/>
      <c r="U13" s="726"/>
      <c r="W13" s="740"/>
      <c r="X13" s="740"/>
      <c r="AM13" s="152"/>
    </row>
    <row r="14" s="469" customFormat="1" spans="1:39">
      <c r="A14" s="725"/>
      <c r="B14" s="726"/>
      <c r="C14" s="726" t="s">
        <v>10</v>
      </c>
      <c r="E14" s="480" t="s">
        <v>20</v>
      </c>
      <c r="F14" s="727">
        <f>'Monthly Average price-Jan-25'!$J$16</f>
        <v>2549.9</v>
      </c>
      <c r="G14" s="728">
        <f>'Monthly Average price-Jan-25'!$F$16</f>
        <v>809.73719553638</v>
      </c>
      <c r="H14" s="162">
        <f ca="1">VLOOKUP(C14,'Clos Stock op cf val -Jan 25'!$C$20:$E$22,2,0)</f>
        <v>527.20582034568</v>
      </c>
      <c r="I14" s="763">
        <f ca="1" t="shared" si="1"/>
        <v>282.5313751907</v>
      </c>
      <c r="J14" s="163">
        <f ca="1" t="shared" si="2"/>
        <v>720426.753598765</v>
      </c>
      <c r="K14" s="765">
        <f t="shared" si="3"/>
        <v>2064748.87489822</v>
      </c>
      <c r="L14" s="764">
        <f ca="1" t="shared" si="4"/>
        <v>1344322.12129945</v>
      </c>
      <c r="M14" s="726"/>
      <c r="N14" s="726"/>
      <c r="O14" s="726"/>
      <c r="P14" s="762"/>
      <c r="Q14" s="726"/>
      <c r="R14" s="726"/>
      <c r="S14" s="726"/>
      <c r="T14" s="726"/>
      <c r="U14" s="726"/>
      <c r="AM14" s="152"/>
    </row>
    <row r="15" s="469" customFormat="1" spans="1:39">
      <c r="A15" s="725"/>
      <c r="B15" s="726"/>
      <c r="C15" s="726" t="s">
        <v>10</v>
      </c>
      <c r="E15" s="480" t="s">
        <v>21</v>
      </c>
      <c r="F15" s="727">
        <f>'Monthly Average price-Jan-25'!$J$17</f>
        <v>1070.56</v>
      </c>
      <c r="G15" s="728">
        <f>'Monthly Average price-Jan-25'!$F$17</f>
        <v>1004.67045284711</v>
      </c>
      <c r="H15" s="162">
        <f ca="1">VLOOKUP(C15,'Clos Stock op cf val -Jan 25'!$C$20:$E$22,2,0)</f>
        <v>527.20582034568</v>
      </c>
      <c r="I15" s="763">
        <f ca="1" t="shared" si="1"/>
        <v>477.464632501428</v>
      </c>
      <c r="J15" s="163">
        <f ca="1" t="shared" si="2"/>
        <v>511154.536970728</v>
      </c>
      <c r="K15" s="765">
        <f t="shared" si="3"/>
        <v>1075560</v>
      </c>
      <c r="L15" s="764">
        <f ca="1" t="shared" si="4"/>
        <v>564405.463029272</v>
      </c>
      <c r="M15" s="726"/>
      <c r="N15" s="726"/>
      <c r="O15" s="726"/>
      <c r="Q15" s="726"/>
      <c r="R15" s="726"/>
      <c r="S15" s="726"/>
      <c r="T15" s="726"/>
      <c r="U15" s="726"/>
      <c r="AM15" s="152"/>
    </row>
    <row r="16" s="469" customFormat="1" spans="1:39">
      <c r="A16" s="725"/>
      <c r="B16" s="726"/>
      <c r="C16" s="469" t="s">
        <v>3</v>
      </c>
      <c r="E16" s="480" t="s">
        <v>22</v>
      </c>
      <c r="F16" s="727">
        <f>'Monthly Average price-Jan-25'!$J$11</f>
        <v>2715.73</v>
      </c>
      <c r="G16" s="728">
        <f>'Monthly Average price-Jan-25'!$F$11</f>
        <v>440.139446852228</v>
      </c>
      <c r="H16" s="162">
        <f>'[1]Product &amp; stock detail -Dec-24'!W29</f>
        <v>85.1356778061801</v>
      </c>
      <c r="I16" s="763">
        <f t="shared" si="1"/>
        <v>355.003769046047</v>
      </c>
      <c r="J16" s="163">
        <f t="shared" si="2"/>
        <v>964094.385711423</v>
      </c>
      <c r="K16" s="765">
        <f t="shared" si="3"/>
        <v>1195299.9</v>
      </c>
      <c r="L16" s="764">
        <f t="shared" si="4"/>
        <v>231205.514288577</v>
      </c>
      <c r="M16" s="726"/>
      <c r="N16" s="726"/>
      <c r="O16" s="726"/>
      <c r="Q16" s="726"/>
      <c r="R16" s="726"/>
      <c r="S16" s="726"/>
      <c r="T16" s="726"/>
      <c r="U16" s="726"/>
      <c r="AM16" s="152"/>
    </row>
    <row r="17" s="469" customFormat="1" spans="1:39">
      <c r="A17" s="725"/>
      <c r="B17" s="726"/>
      <c r="C17" s="469" t="s">
        <v>3</v>
      </c>
      <c r="E17" s="480" t="s">
        <v>23</v>
      </c>
      <c r="F17" s="727">
        <f>'Monthly Average price-Jan-25'!$J$10</f>
        <v>14.83</v>
      </c>
      <c r="G17" s="728">
        <f>'Monthly Average price-Jan-25'!$F$10</f>
        <v>590.216892051479</v>
      </c>
      <c r="H17" s="162">
        <f ca="1">VLOOKUP(C17,'Clos Stock op cf val -Jan 25'!$C$20:$E$22,2,0)</f>
        <v>210.605146825184</v>
      </c>
      <c r="I17" s="763">
        <f ca="1" t="shared" si="1"/>
        <v>379.611745226295</v>
      </c>
      <c r="J17" s="163">
        <f ca="1" t="shared" si="2"/>
        <v>5629.64218170596</v>
      </c>
      <c r="K17" s="765">
        <f t="shared" si="3"/>
        <v>8752.91650912344</v>
      </c>
      <c r="L17" s="764">
        <f ca="1" t="shared" si="4"/>
        <v>3123.27432741748</v>
      </c>
      <c r="M17" s="726"/>
      <c r="N17" s="726"/>
      <c r="O17" s="726"/>
      <c r="Q17" s="726"/>
      <c r="R17" s="726"/>
      <c r="S17" s="726"/>
      <c r="T17" s="726"/>
      <c r="U17" s="726"/>
      <c r="AM17" s="152"/>
    </row>
    <row r="18" s="469" customFormat="1" spans="1:39">
      <c r="A18" s="725"/>
      <c r="B18" s="726"/>
      <c r="C18" s="469" t="s">
        <v>1</v>
      </c>
      <c r="E18" s="480" t="s">
        <v>24</v>
      </c>
      <c r="F18" s="727">
        <f>'Monthly Average price-Jan-25'!$J$18</f>
        <v>100</v>
      </c>
      <c r="G18" s="728">
        <f>'Monthly Average price-Jan-25'!$F$18</f>
        <v>488.07794472125</v>
      </c>
      <c r="H18" s="162">
        <f ca="1">VLOOKUP(C18,'Clos Stock op cf val -Jan 25'!$C$20:$E$22,2,0)</f>
        <v>187.827230217302</v>
      </c>
      <c r="I18" s="763">
        <f ca="1" t="shared" si="1"/>
        <v>300.250714503948</v>
      </c>
      <c r="J18" s="163">
        <f ca="1" t="shared" si="2"/>
        <v>30025.0714503948</v>
      </c>
      <c r="K18" s="765">
        <f t="shared" si="3"/>
        <v>48807.794472125</v>
      </c>
      <c r="L18" s="764">
        <f ca="1" t="shared" si="4"/>
        <v>18782.7230217302</v>
      </c>
      <c r="M18" s="726" t="e">
        <f>'Input Sheet'!#REF!</f>
        <v>#REF!</v>
      </c>
      <c r="N18" s="726"/>
      <c r="O18" s="726"/>
      <c r="Q18" s="726"/>
      <c r="R18" s="726"/>
      <c r="S18" s="726"/>
      <c r="T18" s="726"/>
      <c r="U18" s="726"/>
      <c r="AM18" s="152"/>
    </row>
    <row r="19" s="469" customFormat="1" spans="1:39">
      <c r="A19" s="725"/>
      <c r="B19" s="726">
        <f>SUM(F8:F19)</f>
        <v>8645.35</v>
      </c>
      <c r="C19" s="469" t="s">
        <v>3</v>
      </c>
      <c r="E19" s="480" t="s">
        <v>25</v>
      </c>
      <c r="F19" s="727">
        <f>'Monthly Average price-Jan-25'!$J$19</f>
        <v>191.05</v>
      </c>
      <c r="G19" s="728">
        <f>'Monthly Average price-Jan-25'!$F$19</f>
        <v>415.002617115938</v>
      </c>
      <c r="H19" s="162">
        <f>$H$16</f>
        <v>85.1356778061801</v>
      </c>
      <c r="I19" s="763">
        <f t="shared" si="1"/>
        <v>329.866939309758</v>
      </c>
      <c r="J19" s="163">
        <f t="shared" si="2"/>
        <v>63021.0787551293</v>
      </c>
      <c r="K19" s="765">
        <f t="shared" si="3"/>
        <v>79286.25</v>
      </c>
      <c r="L19" s="764">
        <f t="shared" si="4"/>
        <v>16265.1712448707</v>
      </c>
      <c r="M19" s="726"/>
      <c r="N19" s="726"/>
      <c r="O19" s="726"/>
      <c r="P19" s="469" t="s">
        <v>26</v>
      </c>
      <c r="Q19" s="726" t="s">
        <v>27</v>
      </c>
      <c r="R19" s="726"/>
      <c r="S19" s="726"/>
      <c r="T19" s="726"/>
      <c r="U19" s="726"/>
      <c r="AM19" s="152"/>
    </row>
    <row r="20" spans="1:41">
      <c r="A20" s="732"/>
      <c r="B20" s="726"/>
      <c r="C20" s="726" t="s">
        <v>1</v>
      </c>
      <c r="E20" s="480" t="s">
        <v>28</v>
      </c>
      <c r="F20" s="727"/>
      <c r="G20" s="728"/>
      <c r="H20" s="162">
        <f ca="1">VLOOKUP(C20,'Clos Stock op cf val -Jan 25'!$C$20:$E$22,3,0)</f>
        <v>187.827230217302</v>
      </c>
      <c r="I20" s="763">
        <f ca="1" t="shared" si="1"/>
        <v>-187.827230217302</v>
      </c>
      <c r="J20" s="163">
        <f ca="1" t="shared" si="2"/>
        <v>0</v>
      </c>
      <c r="K20" s="765">
        <f t="shared" si="3"/>
        <v>0</v>
      </c>
      <c r="L20" s="764">
        <f ca="1" t="shared" si="4"/>
        <v>0</v>
      </c>
      <c r="M20" s="726">
        <f ca="1">SUM(L7:L19)</f>
        <v>2584099.98213432</v>
      </c>
      <c r="N20" s="726" t="e">
        <f>'Costing Breakup'!#REF!</f>
        <v>#REF!</v>
      </c>
      <c r="O20" s="726" t="e">
        <f ca="1">N20-M20</f>
        <v>#REF!</v>
      </c>
      <c r="P20" s="469">
        <v>6163493.52119199</v>
      </c>
      <c r="Q20" s="469">
        <f>'[1]Clos Stock op cf val -Aug24 '!I17</f>
        <v>1420787.96112628</v>
      </c>
      <c r="R20" s="469">
        <f>P20-Q20</f>
        <v>4742705.5600657</v>
      </c>
      <c r="S20" s="740" t="e">
        <f ca="1">O20-R20</f>
        <v>#REF!</v>
      </c>
      <c r="T20" s="469"/>
      <c r="U20" s="740"/>
      <c r="AN20" s="154">
        <f>+J45+J46+J48-J58+J61+J63-J65</f>
        <v>1012235.28</v>
      </c>
      <c r="AO20" s="154">
        <f>+AE27+AN20</f>
        <v>-1178289.72</v>
      </c>
    </row>
    <row r="21" spans="1:38">
      <c r="A21" s="732"/>
      <c r="B21" s="726"/>
      <c r="C21" s="726" t="s">
        <v>1</v>
      </c>
      <c r="E21" s="480" t="s">
        <v>29</v>
      </c>
      <c r="F21" s="733"/>
      <c r="G21" s="728"/>
      <c r="H21" s="162">
        <f ca="1">VLOOKUP(C21,'Clos Stock op cf val -Jan 25'!$C$20:$E$22,3,0)</f>
        <v>187.827230217302</v>
      </c>
      <c r="I21" s="763">
        <f ca="1" t="shared" si="1"/>
        <v>-187.827230217302</v>
      </c>
      <c r="J21" s="163">
        <f ca="1" t="shared" si="2"/>
        <v>0</v>
      </c>
      <c r="K21" s="765">
        <f t="shared" si="3"/>
        <v>0</v>
      </c>
      <c r="L21" s="764">
        <f ca="1" t="shared" si="4"/>
        <v>0</v>
      </c>
      <c r="M21" s="726"/>
      <c r="N21" s="726"/>
      <c r="O21" s="726"/>
      <c r="P21" s="766"/>
      <c r="Q21" s="469"/>
      <c r="R21" s="469"/>
      <c r="S21" s="740"/>
      <c r="T21" s="469"/>
      <c r="U21" s="469"/>
      <c r="V21" s="469"/>
      <c r="W21" s="469"/>
      <c r="X21" s="469"/>
      <c r="Y21" s="469"/>
      <c r="Z21" s="469"/>
      <c r="AA21" s="469"/>
      <c r="AB21" s="469"/>
      <c r="AC21" s="469"/>
      <c r="AD21" s="469"/>
      <c r="AE21" s="469"/>
      <c r="AF21" s="469"/>
      <c r="AG21" s="783" t="s">
        <v>30</v>
      </c>
      <c r="AH21" s="784" t="s">
        <v>31</v>
      </c>
      <c r="AI21" s="784" t="s">
        <v>32</v>
      </c>
      <c r="AJ21" s="784" t="s">
        <v>33</v>
      </c>
      <c r="AK21" s="469"/>
      <c r="AL21" s="784" t="s">
        <v>34</v>
      </c>
    </row>
    <row r="22" spans="1:61">
      <c r="A22" s="732"/>
      <c r="B22" s="726"/>
      <c r="C22" s="726" t="s">
        <v>1</v>
      </c>
      <c r="E22" s="480" t="s">
        <v>35</v>
      </c>
      <c r="F22" s="727"/>
      <c r="G22" s="728"/>
      <c r="H22" s="162">
        <f ca="1">VLOOKUP(C22,'Clos Stock op cf val -Jan 25'!$C$20:$E$22,3,0)</f>
        <v>187.827230217302</v>
      </c>
      <c r="I22" s="763">
        <f ca="1" t="shared" si="1"/>
        <v>-187.827230217302</v>
      </c>
      <c r="J22" s="163">
        <f ca="1" t="shared" si="2"/>
        <v>0</v>
      </c>
      <c r="K22" s="765">
        <f t="shared" si="3"/>
        <v>0</v>
      </c>
      <c r="L22" s="764">
        <f ca="1" t="shared" si="4"/>
        <v>0</v>
      </c>
      <c r="M22" s="726"/>
      <c r="N22" s="726"/>
      <c r="O22" s="726"/>
      <c r="P22" s="740"/>
      <c r="Q22" s="469"/>
      <c r="R22" s="469"/>
      <c r="S22" s="740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783"/>
      <c r="AH22" s="785" t="s">
        <v>36</v>
      </c>
      <c r="AI22" s="785"/>
      <c r="AJ22" s="785"/>
      <c r="AK22" s="469"/>
      <c r="AL22" s="785"/>
      <c r="AT22" s="152">
        <v>91483.8165339636</v>
      </c>
      <c r="AW22" s="152" t="s">
        <v>36</v>
      </c>
      <c r="BI22" s="152">
        <v>757.409295699907</v>
      </c>
    </row>
    <row r="23" spans="1:61">
      <c r="A23" s="732"/>
      <c r="B23" s="726"/>
      <c r="C23" s="726" t="s">
        <v>1</v>
      </c>
      <c r="E23" s="480" t="s">
        <v>37</v>
      </c>
      <c r="F23" s="730"/>
      <c r="G23" s="731"/>
      <c r="H23" s="162">
        <f ca="1">VLOOKUP(C23,'Clos Stock op cf val -Jan 25'!$C$20:$E$22,3,0)</f>
        <v>187.827230217302</v>
      </c>
      <c r="I23" s="763">
        <f ca="1" t="shared" si="1"/>
        <v>-187.827230217302</v>
      </c>
      <c r="J23" s="163">
        <f ca="1" t="shared" si="2"/>
        <v>0</v>
      </c>
      <c r="K23" s="765">
        <f t="shared" si="3"/>
        <v>0</v>
      </c>
      <c r="L23" s="764">
        <f ca="1" t="shared" si="4"/>
        <v>0</v>
      </c>
      <c r="N23" s="726"/>
      <c r="O23" s="726"/>
      <c r="P23" s="726"/>
      <c r="Q23" s="767"/>
      <c r="R23" s="767"/>
      <c r="S23" s="767"/>
      <c r="T23" s="767"/>
      <c r="U23" s="767"/>
      <c r="V23" s="190"/>
      <c r="W23" s="190"/>
      <c r="X23" s="190"/>
      <c r="Y23" s="780"/>
      <c r="Z23" s="781"/>
      <c r="AA23" s="190"/>
      <c r="AB23" s="190"/>
      <c r="AC23" s="190"/>
      <c r="AD23" s="190" t="s">
        <v>38</v>
      </c>
      <c r="AE23" s="190" t="s">
        <v>39</v>
      </c>
      <c r="AF23" s="469"/>
      <c r="AG23" s="783"/>
      <c r="AH23" s="786" t="s">
        <v>40</v>
      </c>
      <c r="AI23" s="786" t="s">
        <v>41</v>
      </c>
      <c r="AJ23" s="786" t="s">
        <v>41</v>
      </c>
      <c r="AK23" s="469"/>
      <c r="AL23" s="786" t="s">
        <v>42</v>
      </c>
      <c r="AM23" s="154"/>
      <c r="AT23" s="152">
        <v>261515.427829303</v>
      </c>
      <c r="AW23" s="152" t="s">
        <v>40</v>
      </c>
      <c r="BI23" s="152">
        <v>1678.89672327339</v>
      </c>
    </row>
    <row r="24" spans="1:91">
      <c r="A24" s="732"/>
      <c r="B24" s="726"/>
      <c r="C24" s="469" t="s">
        <v>3</v>
      </c>
      <c r="E24" s="480" t="s">
        <v>43</v>
      </c>
      <c r="F24" s="727">
        <f>'Monthly Average price-Jan-25'!$H$14-F37</f>
        <v>1702.86</v>
      </c>
      <c r="G24" s="728">
        <f>$G$10</f>
        <v>672.010023276677</v>
      </c>
      <c r="H24" s="162">
        <f ca="1">VLOOKUP(C24,'Clos Stock op cf val -Jan 25'!$C$20:$E$22,3,0)</f>
        <v>298.923377885993</v>
      </c>
      <c r="I24" s="763">
        <f ca="1" t="shared" si="1"/>
        <v>373.086645390684</v>
      </c>
      <c r="J24" s="163">
        <f ca="1" t="shared" si="2"/>
        <v>635314.32496998</v>
      </c>
      <c r="K24" s="765">
        <f t="shared" si="3"/>
        <v>1144338.98823692</v>
      </c>
      <c r="L24" s="764">
        <f ca="1" t="shared" si="4"/>
        <v>509024.663266943</v>
      </c>
      <c r="M24" s="726"/>
      <c r="N24" s="726"/>
      <c r="O24" s="726"/>
      <c r="P24" s="767"/>
      <c r="Q24" s="767"/>
      <c r="R24" s="767"/>
      <c r="S24" s="767"/>
      <c r="T24" s="767"/>
      <c r="U24" s="767"/>
      <c r="V24" s="190"/>
      <c r="W24" s="190"/>
      <c r="X24" s="190"/>
      <c r="Y24" s="780"/>
      <c r="Z24" s="781"/>
      <c r="AA24" s="190"/>
      <c r="AB24" s="190"/>
      <c r="AC24" s="190"/>
      <c r="AD24" s="190"/>
      <c r="AE24" s="190"/>
      <c r="AF24" s="469"/>
      <c r="AG24" s="783"/>
      <c r="AH24" s="786" t="s">
        <v>44</v>
      </c>
      <c r="AI24" s="786"/>
      <c r="AJ24" s="786"/>
      <c r="AK24" s="469"/>
      <c r="AL24" s="786"/>
      <c r="AM24" s="154"/>
      <c r="AT24" s="152">
        <v>36494.38104664</v>
      </c>
      <c r="AW24" s="152" t="s">
        <v>44</v>
      </c>
      <c r="BI24" s="152">
        <v>370.431673801715</v>
      </c>
      <c r="CA24" s="152" t="s">
        <v>36</v>
      </c>
      <c r="CM24" s="152">
        <v>3302.12560038217</v>
      </c>
    </row>
    <row r="25" spans="1:91">
      <c r="A25" s="732"/>
      <c r="B25" s="726"/>
      <c r="C25" s="469" t="s">
        <v>3</v>
      </c>
      <c r="E25" s="480" t="s">
        <v>45</v>
      </c>
      <c r="F25" s="727">
        <f>'Monthly Average price-Jan-25'!$H$15</f>
        <v>879.78</v>
      </c>
      <c r="G25" s="728">
        <f>$G$11</f>
        <v>777.450072648403</v>
      </c>
      <c r="H25" s="162">
        <f ca="1">VLOOKUP(C25,'Clos Stock op cf val -Jan 25'!$C$20:$E$22,3,0)</f>
        <v>298.923377885993</v>
      </c>
      <c r="I25" s="763">
        <f ca="1" t="shared" si="1"/>
        <v>478.52669476241</v>
      </c>
      <c r="J25" s="163">
        <f ca="1" t="shared" si="2"/>
        <v>420998.215518073</v>
      </c>
      <c r="K25" s="765">
        <f t="shared" si="3"/>
        <v>683985.024914612</v>
      </c>
      <c r="L25" s="764">
        <f ca="1" t="shared" si="4"/>
        <v>262986.809396539</v>
      </c>
      <c r="M25" s="726"/>
      <c r="N25" s="726"/>
      <c r="O25" s="726"/>
      <c r="P25" s="767"/>
      <c r="Q25" s="767"/>
      <c r="R25" s="767"/>
      <c r="S25" s="767"/>
      <c r="T25" s="767"/>
      <c r="U25" s="767"/>
      <c r="V25" s="190"/>
      <c r="W25" s="190"/>
      <c r="X25" s="190"/>
      <c r="Y25" s="780"/>
      <c r="Z25" s="781"/>
      <c r="AA25" s="190"/>
      <c r="AB25" s="190"/>
      <c r="AC25" s="190"/>
      <c r="AD25" s="190"/>
      <c r="AE25" s="190"/>
      <c r="AF25" s="469"/>
      <c r="AG25" s="783"/>
      <c r="AH25" s="786" t="s">
        <v>46</v>
      </c>
      <c r="AI25" s="786"/>
      <c r="AJ25" s="786"/>
      <c r="AK25" s="469"/>
      <c r="AL25" s="786"/>
      <c r="AM25" s="154"/>
      <c r="AT25" s="152">
        <v>-10697.2752706008</v>
      </c>
      <c r="AW25" s="152" t="s">
        <v>46</v>
      </c>
      <c r="BI25" s="152">
        <v>-280.225683664829</v>
      </c>
      <c r="CA25" s="152" t="s">
        <v>40</v>
      </c>
      <c r="CM25" s="152">
        <v>8990.49249049586</v>
      </c>
    </row>
    <row r="26" spans="1:39">
      <c r="A26" s="732"/>
      <c r="B26" s="726"/>
      <c r="C26" s="469" t="s">
        <v>3</v>
      </c>
      <c r="E26" s="480" t="s">
        <v>47</v>
      </c>
      <c r="F26" s="727">
        <f>'Monthly Average price-Jan-25'!$H$9-F40</f>
        <v>3781.45</v>
      </c>
      <c r="G26" s="728">
        <f>G12</f>
        <v>532.890813594052</v>
      </c>
      <c r="H26" s="162">
        <f ca="1">VLOOKUP(C26,'Clos Stock op cf val -Jan 25'!$C$20:$E$22,3,0)</f>
        <v>298.923377885993</v>
      </c>
      <c r="I26" s="763">
        <f ca="1" t="shared" si="1"/>
        <v>233.967435708058</v>
      </c>
      <c r="J26" s="163">
        <f ca="1" t="shared" si="2"/>
        <v>884736.159758237</v>
      </c>
      <c r="K26" s="765">
        <f t="shared" si="3"/>
        <v>2015099.96706523</v>
      </c>
      <c r="L26" s="764">
        <f ca="1" t="shared" si="4"/>
        <v>1130363.80730699</v>
      </c>
      <c r="M26" s="726"/>
      <c r="N26" s="726"/>
      <c r="O26" s="726"/>
      <c r="P26" s="767"/>
      <c r="Q26" s="767"/>
      <c r="R26" s="767"/>
      <c r="S26" s="767"/>
      <c r="T26" s="767"/>
      <c r="U26" s="767"/>
      <c r="V26" s="190"/>
      <c r="W26" s="190"/>
      <c r="X26" s="190"/>
      <c r="Y26" s="780"/>
      <c r="Z26" s="781"/>
      <c r="AA26" s="190"/>
      <c r="AB26" s="190"/>
      <c r="AC26" s="190"/>
      <c r="AD26" s="190"/>
      <c r="AE26" s="190"/>
      <c r="AF26" s="469"/>
      <c r="AG26" s="783"/>
      <c r="AH26" s="786"/>
      <c r="AI26" s="786"/>
      <c r="AJ26" s="786"/>
      <c r="AK26" s="469"/>
      <c r="AL26" s="786"/>
      <c r="AM26" s="154"/>
    </row>
    <row r="27" spans="1:91">
      <c r="A27" s="732"/>
      <c r="B27" s="726"/>
      <c r="C27" s="726" t="s">
        <v>10</v>
      </c>
      <c r="E27" s="480" t="s">
        <v>48</v>
      </c>
      <c r="F27" s="727">
        <f>'Monthly Average price-Jan-25'!$H$16</f>
        <v>12307.458</v>
      </c>
      <c r="G27" s="728">
        <f>$G$14</f>
        <v>809.73719553638</v>
      </c>
      <c r="H27" s="162">
        <f ca="1">VLOOKUP(C27,'Clos Stock op cf val -Jan 25'!$C$20:$E$22,3,0)</f>
        <v>586.944098993263</v>
      </c>
      <c r="I27" s="763">
        <f ca="1" t="shared" si="1"/>
        <v>222.793096543117</v>
      </c>
      <c r="J27" s="163">
        <f ca="1" t="shared" si="2"/>
        <v>2742016.67839436</v>
      </c>
      <c r="K27" s="765">
        <f t="shared" si="3"/>
        <v>9965806.52510178</v>
      </c>
      <c r="L27" s="764">
        <f ca="1" t="shared" si="4"/>
        <v>7223789.84670742</v>
      </c>
      <c r="M27" s="726"/>
      <c r="N27" s="726"/>
      <c r="O27" s="726"/>
      <c r="P27" s="767"/>
      <c r="Q27" s="767"/>
      <c r="R27" s="767"/>
      <c r="S27" s="154"/>
      <c r="T27" s="767"/>
      <c r="U27" s="767"/>
      <c r="V27" s="768"/>
      <c r="W27" s="768"/>
      <c r="X27" s="771"/>
      <c r="Y27" s="771"/>
      <c r="Z27" s="771"/>
      <c r="AA27" s="771"/>
      <c r="AB27" s="163"/>
      <c r="AC27" s="771"/>
      <c r="AD27" s="771">
        <v>2190525</v>
      </c>
      <c r="AE27" s="771">
        <f>+AB27-AC27-AD27</f>
        <v>-2190525</v>
      </c>
      <c r="AF27" s="154"/>
      <c r="AG27" s="163">
        <f>'[2]Production &amp; stock details'!E9</f>
        <v>99479.11</v>
      </c>
      <c r="AH27" s="163">
        <f>+'[2]Cost sheet - Detailed'!C41</f>
        <v>113.453403321494</v>
      </c>
      <c r="AI27" s="163">
        <f>+AG27*AH27</f>
        <v>11286243.5888933</v>
      </c>
      <c r="AJ27" s="771">
        <f>+AE27-AI27</f>
        <v>-13476768.5888933</v>
      </c>
      <c r="AL27" s="173">
        <f>+AJ27+5000000</f>
        <v>-8476768.58889326</v>
      </c>
      <c r="AM27" s="154"/>
      <c r="CA27" s="152" t="s">
        <v>44</v>
      </c>
      <c r="CM27" s="152">
        <v>1606.68644422835</v>
      </c>
    </row>
    <row r="28" spans="1:91">
      <c r="A28" s="732"/>
      <c r="B28" s="726"/>
      <c r="C28" s="726" t="s">
        <v>10</v>
      </c>
      <c r="E28" s="480" t="s">
        <v>49</v>
      </c>
      <c r="F28" s="727">
        <f>'Monthly Average price-Jan-25'!$H$17</f>
        <v>0</v>
      </c>
      <c r="G28" s="728">
        <f>$G$15</f>
        <v>1004.67045284711</v>
      </c>
      <c r="H28" s="162">
        <f ca="1">VLOOKUP(C28,'Clos Stock op cf val -Jan 25'!$C$20:$E$22,3,0)</f>
        <v>586.944098993263</v>
      </c>
      <c r="I28" s="763">
        <f ca="1" t="shared" si="1"/>
        <v>417.726353853846</v>
      </c>
      <c r="J28" s="163">
        <f ca="1" t="shared" si="2"/>
        <v>0</v>
      </c>
      <c r="K28" s="765">
        <f t="shared" si="3"/>
        <v>0</v>
      </c>
      <c r="L28" s="764">
        <f ca="1" t="shared" si="4"/>
        <v>0</v>
      </c>
      <c r="M28" s="726"/>
      <c r="O28" s="726"/>
      <c r="P28" s="767"/>
      <c r="Q28" s="767"/>
      <c r="R28" s="767"/>
      <c r="S28" s="154"/>
      <c r="T28" s="767"/>
      <c r="U28" s="767"/>
      <c r="V28" s="768"/>
      <c r="W28" s="768"/>
      <c r="X28" s="771"/>
      <c r="Y28" s="771"/>
      <c r="Z28" s="771"/>
      <c r="AA28" s="163"/>
      <c r="AB28" s="163"/>
      <c r="AC28" s="771"/>
      <c r="AD28" s="771">
        <v>2190525</v>
      </c>
      <c r="AE28" s="771">
        <f>+AB28-AC28-AD28</f>
        <v>-2190525</v>
      </c>
      <c r="AF28" s="154"/>
      <c r="AG28" s="177">
        <f>+X28/(100-7.5)*100</f>
        <v>0</v>
      </c>
      <c r="AH28" s="177">
        <f>+'[2]Cost sheet - Detailed'!C41</f>
        <v>113.453403321494</v>
      </c>
      <c r="AI28" s="173">
        <f>+AG28*AH28</f>
        <v>0</v>
      </c>
      <c r="AJ28" s="173">
        <f>+AE28-AI28</f>
        <v>-2190525</v>
      </c>
      <c r="AL28" s="173">
        <f>+AJ28+5000000</f>
        <v>2809475</v>
      </c>
      <c r="AM28" s="154"/>
      <c r="CA28" s="152" t="s">
        <v>46</v>
      </c>
      <c r="CM28" s="152">
        <v>-1211.54471890156</v>
      </c>
    </row>
    <row r="29" spans="1:39">
      <c r="A29" s="732"/>
      <c r="B29" s="726"/>
      <c r="C29" s="469" t="s">
        <v>3</v>
      </c>
      <c r="E29" s="480" t="s">
        <v>50</v>
      </c>
      <c r="F29" s="730"/>
      <c r="G29" s="731"/>
      <c r="H29" s="162">
        <f>H19</f>
        <v>85.1356778061801</v>
      </c>
      <c r="I29" s="763">
        <f t="shared" si="1"/>
        <v>-85.1356778061801</v>
      </c>
      <c r="J29" s="163">
        <f t="shared" si="2"/>
        <v>0</v>
      </c>
      <c r="K29" s="765">
        <f t="shared" si="3"/>
        <v>0</v>
      </c>
      <c r="L29" s="764">
        <f t="shared" si="4"/>
        <v>0</v>
      </c>
      <c r="M29" s="726"/>
      <c r="N29" s="726"/>
      <c r="O29" s="726"/>
      <c r="P29" s="767"/>
      <c r="Q29" s="767"/>
      <c r="R29" s="767"/>
      <c r="S29" s="154"/>
      <c r="T29" s="767"/>
      <c r="U29" s="767"/>
      <c r="V29" s="768"/>
      <c r="W29" s="768"/>
      <c r="X29" s="771"/>
      <c r="Y29" s="771"/>
      <c r="Z29" s="771"/>
      <c r="AA29" s="163"/>
      <c r="AB29" s="163"/>
      <c r="AC29" s="771"/>
      <c r="AD29" s="771"/>
      <c r="AE29" s="771"/>
      <c r="AF29" s="154"/>
      <c r="AG29" s="177"/>
      <c r="AH29" s="177"/>
      <c r="AI29" s="173"/>
      <c r="AJ29" s="173"/>
      <c r="AL29" s="173"/>
      <c r="AM29" s="154"/>
    </row>
    <row r="30" spans="1:39">
      <c r="A30" s="732"/>
      <c r="B30" s="726"/>
      <c r="C30" s="469" t="s">
        <v>3</v>
      </c>
      <c r="E30" s="480" t="s">
        <v>51</v>
      </c>
      <c r="F30" s="727">
        <f>'Monthly Average price-Jan-25'!$H$10-F39</f>
        <v>486.58</v>
      </c>
      <c r="G30" s="728">
        <f>$G$17</f>
        <v>590.216892051479</v>
      </c>
      <c r="H30" s="162">
        <f ca="1">VLOOKUP(C30,'Clos Stock op cf val -Jan 25'!$C$20:$E$22,3,0)</f>
        <v>298.923377885993</v>
      </c>
      <c r="I30" s="763">
        <f ca="1" t="shared" si="1"/>
        <v>291.293514165486</v>
      </c>
      <c r="J30" s="163">
        <f ca="1" t="shared" si="2"/>
        <v>141737.598122642</v>
      </c>
      <c r="K30" s="765">
        <f t="shared" si="3"/>
        <v>287187.735334409</v>
      </c>
      <c r="L30" s="764">
        <f ca="1" t="shared" si="4"/>
        <v>145450.137211767</v>
      </c>
      <c r="M30" s="726"/>
      <c r="N30" s="726"/>
      <c r="O30" s="726"/>
      <c r="P30" s="767"/>
      <c r="Q30" s="767"/>
      <c r="R30" s="767"/>
      <c r="S30" s="767"/>
      <c r="T30" s="767"/>
      <c r="U30" s="767"/>
      <c r="V30" s="159"/>
      <c r="W30" s="159"/>
      <c r="X30" s="173"/>
      <c r="Y30" s="173"/>
      <c r="Z30" s="173"/>
      <c r="AA30" s="177"/>
      <c r="AB30" s="177"/>
      <c r="AC30" s="173"/>
      <c r="AD30" s="173">
        <f>+AD28</f>
        <v>2190525</v>
      </c>
      <c r="AE30" s="173">
        <f>+AB30-AC30-AD30</f>
        <v>-2190525</v>
      </c>
      <c r="AG30" s="177">
        <f>+X30/(100-7.5)*100</f>
        <v>0</v>
      </c>
      <c r="AH30" s="173">
        <f>+AH28</f>
        <v>113.453403321494</v>
      </c>
      <c r="AI30" s="173">
        <f>+AG30*AH30</f>
        <v>0</v>
      </c>
      <c r="AJ30" s="173">
        <f>+AE30-AI30</f>
        <v>-2190525</v>
      </c>
      <c r="AL30" s="173">
        <f>+AJ30+5000000</f>
        <v>2809475</v>
      </c>
      <c r="AM30" s="154"/>
    </row>
    <row r="31" spans="1:39">
      <c r="A31" s="732"/>
      <c r="B31" s="726"/>
      <c r="C31" s="726" t="s">
        <v>1</v>
      </c>
      <c r="E31" s="480" t="s">
        <v>52</v>
      </c>
      <c r="F31" s="727">
        <f>'Monthly Average price-Jan-25'!$H$18</f>
        <v>339.337</v>
      </c>
      <c r="G31" s="728">
        <f>$G$18</f>
        <v>488.07794472125</v>
      </c>
      <c r="H31" s="162">
        <f ca="1">VLOOKUP(C31,'Clos Stock op cf val -Jan 25'!$C$20:$E$22,3,0)</f>
        <v>187.827230217302</v>
      </c>
      <c r="I31" s="763">
        <f ca="1" t="shared" si="1"/>
        <v>300.250714503948</v>
      </c>
      <c r="J31" s="163">
        <f ca="1" t="shared" si="2"/>
        <v>101886.176707626</v>
      </c>
      <c r="K31" s="765">
        <f t="shared" si="3"/>
        <v>165622.905527875</v>
      </c>
      <c r="L31" s="764">
        <f ca="1" t="shared" si="4"/>
        <v>63736.7288202486</v>
      </c>
      <c r="M31" s="726"/>
      <c r="N31" s="726"/>
      <c r="O31" s="726"/>
      <c r="P31" s="767"/>
      <c r="Q31" s="767"/>
      <c r="R31" s="767"/>
      <c r="S31" s="767"/>
      <c r="T31" s="767"/>
      <c r="U31" s="767"/>
      <c r="V31" s="159"/>
      <c r="W31" s="159"/>
      <c r="X31" s="173"/>
      <c r="Y31" s="173"/>
      <c r="Z31" s="173"/>
      <c r="AA31" s="177"/>
      <c r="AB31" s="177"/>
      <c r="AC31" s="173"/>
      <c r="AD31" s="173"/>
      <c r="AE31" s="173"/>
      <c r="AG31" s="177"/>
      <c r="AH31" s="173"/>
      <c r="AI31" s="173"/>
      <c r="AJ31" s="173"/>
      <c r="AL31" s="173"/>
      <c r="AM31" s="154"/>
    </row>
    <row r="32" spans="1:39">
      <c r="A32" s="732"/>
      <c r="B32" s="726"/>
      <c r="C32" s="469" t="s">
        <v>3</v>
      </c>
      <c r="E32" s="480" t="s">
        <v>53</v>
      </c>
      <c r="F32" s="734"/>
      <c r="G32" s="728"/>
      <c r="H32" s="162">
        <f>H29</f>
        <v>85.1356778061801</v>
      </c>
      <c r="I32" s="763">
        <f t="shared" si="1"/>
        <v>-85.1356778061801</v>
      </c>
      <c r="J32" s="163">
        <f t="shared" si="2"/>
        <v>0</v>
      </c>
      <c r="K32" s="765">
        <f t="shared" si="3"/>
        <v>0</v>
      </c>
      <c r="L32" s="764">
        <f t="shared" si="4"/>
        <v>0</v>
      </c>
      <c r="M32" s="726"/>
      <c r="N32" s="726"/>
      <c r="O32" s="726"/>
      <c r="Q32" s="181"/>
      <c r="R32" s="770"/>
      <c r="S32" s="181"/>
      <c r="T32" s="181"/>
      <c r="V32" s="159"/>
      <c r="W32" s="159"/>
      <c r="X32" s="173"/>
      <c r="Y32" s="173"/>
      <c r="Z32" s="173"/>
      <c r="AA32" s="177"/>
      <c r="AB32" s="177"/>
      <c r="AC32" s="173"/>
      <c r="AD32" s="173"/>
      <c r="AE32" s="173">
        <f>+AB32-AC32</f>
        <v>0</v>
      </c>
      <c r="AG32" s="177">
        <f>+X32/(100-7.5)*100</f>
        <v>0</v>
      </c>
      <c r="AH32" s="173">
        <f>+AH30</f>
        <v>113.453403321494</v>
      </c>
      <c r="AI32" s="173">
        <f>+AG32*AH32</f>
        <v>0</v>
      </c>
      <c r="AJ32" s="173">
        <f>+AE32-AI32</f>
        <v>0</v>
      </c>
      <c r="AL32" s="173">
        <f>+AJ32+5000000</f>
        <v>5000000</v>
      </c>
      <c r="AM32" s="154"/>
    </row>
    <row r="33" spans="1:39">
      <c r="A33" s="732"/>
      <c r="B33" s="726"/>
      <c r="C33" s="726">
        <f>SUM(C20:C32)</f>
        <v>0</v>
      </c>
      <c r="E33" s="480"/>
      <c r="F33" s="735"/>
      <c r="G33" s="728"/>
      <c r="H33" s="162"/>
      <c r="I33" s="763"/>
      <c r="J33" s="768"/>
      <c r="K33" s="765">
        <f t="shared" si="3"/>
        <v>0</v>
      </c>
      <c r="L33" s="764">
        <f t="shared" si="4"/>
        <v>0</v>
      </c>
      <c r="M33" s="726"/>
      <c r="N33" s="726"/>
      <c r="O33" s="726"/>
      <c r="Q33" s="181"/>
      <c r="R33" s="770"/>
      <c r="S33" s="181"/>
      <c r="T33" s="181"/>
      <c r="V33" s="159"/>
      <c r="W33" s="159"/>
      <c r="X33" s="173"/>
      <c r="Y33" s="173"/>
      <c r="Z33" s="173"/>
      <c r="AA33" s="177"/>
      <c r="AB33" s="177"/>
      <c r="AC33" s="173"/>
      <c r="AD33" s="173"/>
      <c r="AE33" s="173"/>
      <c r="AG33" s="177"/>
      <c r="AH33" s="173"/>
      <c r="AI33" s="173"/>
      <c r="AJ33" s="173"/>
      <c r="AL33" s="173"/>
      <c r="AM33" s="154"/>
    </row>
    <row r="34" spans="1:39">
      <c r="A34" s="736"/>
      <c r="B34" s="726"/>
      <c r="C34" s="726"/>
      <c r="E34" s="483" t="s">
        <v>54</v>
      </c>
      <c r="F34" s="737">
        <f>SUM(F7:F32)</f>
        <v>28142.815</v>
      </c>
      <c r="G34" s="728"/>
      <c r="H34" s="162"/>
      <c r="I34" s="763"/>
      <c r="J34" s="769">
        <f ca="1">SUM(J7:J32)</f>
        <v>8081820.94637037</v>
      </c>
      <c r="K34" s="765">
        <f t="shared" si="3"/>
        <v>0</v>
      </c>
      <c r="L34" s="764">
        <f t="shared" si="4"/>
        <v>0</v>
      </c>
      <c r="M34" s="726"/>
      <c r="N34" s="726"/>
      <c r="O34" s="154"/>
      <c r="V34" s="159"/>
      <c r="W34" s="159"/>
      <c r="X34" s="173"/>
      <c r="Y34" s="173"/>
      <c r="Z34" s="173"/>
      <c r="AA34" s="177"/>
      <c r="AB34" s="177"/>
      <c r="AC34" s="173"/>
      <c r="AD34" s="173"/>
      <c r="AE34" s="173">
        <f>+AB34-AC34</f>
        <v>0</v>
      </c>
      <c r="AG34" s="177">
        <f>+X34/(100-7.5)*100</f>
        <v>0</v>
      </c>
      <c r="AH34" s="173">
        <f>+AH32</f>
        <v>113.453403321494</v>
      </c>
      <c r="AI34" s="173">
        <f>+AG34*AH34</f>
        <v>0</v>
      </c>
      <c r="AJ34" s="173">
        <f>+AE34-AI34</f>
        <v>0</v>
      </c>
      <c r="AL34" s="173">
        <f>+AJ34+5000000</f>
        <v>5000000</v>
      </c>
      <c r="AM34" s="154"/>
    </row>
    <row r="35" s="181" customFormat="1" spans="1:38">
      <c r="A35" s="738"/>
      <c r="B35" s="726"/>
      <c r="C35" s="726"/>
      <c r="E35" s="483" t="s">
        <v>55</v>
      </c>
      <c r="F35" s="737"/>
      <c r="G35" s="728"/>
      <c r="H35" s="162"/>
      <c r="I35" s="763"/>
      <c r="J35" s="769"/>
      <c r="K35" s="765">
        <f t="shared" si="3"/>
        <v>0</v>
      </c>
      <c r="L35" s="764">
        <f t="shared" si="4"/>
        <v>0</v>
      </c>
      <c r="M35" s="726"/>
      <c r="N35" s="726"/>
      <c r="O35" s="770"/>
      <c r="P35" s="533"/>
      <c r="V35" s="159"/>
      <c r="W35" s="159"/>
      <c r="X35" s="173"/>
      <c r="Y35" s="173"/>
      <c r="Z35" s="173"/>
      <c r="AA35" s="177"/>
      <c r="AB35" s="177"/>
      <c r="AC35" s="173"/>
      <c r="AD35" s="173"/>
      <c r="AE35" s="173">
        <f>+AB35-AC35</f>
        <v>0</v>
      </c>
      <c r="AF35" s="152"/>
      <c r="AG35" s="177">
        <f>+X35/(100-7.5)*100</f>
        <v>0</v>
      </c>
      <c r="AH35" s="173">
        <f>+AH34</f>
        <v>113.453403321494</v>
      </c>
      <c r="AI35" s="173">
        <f>+AG35*AH35</f>
        <v>0</v>
      </c>
      <c r="AJ35" s="173">
        <f>+AE35-AI35</f>
        <v>0</v>
      </c>
      <c r="AK35" s="152"/>
      <c r="AL35" s="173">
        <f>+AJ35+5000000</f>
        <v>5000000</v>
      </c>
    </row>
    <row r="36" s="181" customFormat="1" spans="1:38">
      <c r="A36" s="738"/>
      <c r="B36" s="726"/>
      <c r="C36" s="726" t="s">
        <v>1</v>
      </c>
      <c r="E36" s="480" t="s">
        <v>35</v>
      </c>
      <c r="F36" s="739"/>
      <c r="G36" s="728"/>
      <c r="H36" s="162"/>
      <c r="I36" s="763"/>
      <c r="J36" s="771">
        <f t="shared" ref="J36:J41" si="5">+F36*I36</f>
        <v>0</v>
      </c>
      <c r="K36" s="765">
        <f t="shared" si="3"/>
        <v>0</v>
      </c>
      <c r="L36" s="764">
        <f t="shared" si="4"/>
        <v>0</v>
      </c>
      <c r="M36" s="726"/>
      <c r="N36" s="726"/>
      <c r="O36" s="726"/>
      <c r="P36" s="533"/>
      <c r="V36" s="159"/>
      <c r="W36" s="159"/>
      <c r="X36" s="173"/>
      <c r="Y36" s="173"/>
      <c r="Z36" s="173"/>
      <c r="AA36" s="177"/>
      <c r="AB36" s="177"/>
      <c r="AC36" s="173"/>
      <c r="AD36" s="173"/>
      <c r="AE36" s="173"/>
      <c r="AF36" s="152"/>
      <c r="AG36" s="177"/>
      <c r="AH36" s="173"/>
      <c r="AI36" s="173"/>
      <c r="AJ36" s="173"/>
      <c r="AK36" s="152"/>
      <c r="AL36" s="173"/>
    </row>
    <row r="37" s="181" customFormat="1" spans="1:38">
      <c r="A37" s="738"/>
      <c r="B37" s="726"/>
      <c r="C37" s="726" t="s">
        <v>3</v>
      </c>
      <c r="E37" s="480" t="s">
        <v>43</v>
      </c>
      <c r="F37" s="739">
        <f>'Monthly Average price-Jan-25'!$R$24</f>
        <v>4611.73</v>
      </c>
      <c r="G37" s="728">
        <f>G24</f>
        <v>672.010023276677</v>
      </c>
      <c r="H37" s="162">
        <f ca="1">VLOOKUP(C37,'Clos Stock op cf val -Jan 25'!$C$20:$E$22,3,0)</f>
        <v>298.923377885993</v>
      </c>
      <c r="I37" s="763">
        <f ca="1" t="shared" ref="I37:I40" si="6">G37-H37</f>
        <v>373.086645390684</v>
      </c>
      <c r="J37" s="163">
        <f ca="1" t="shared" si="5"/>
        <v>1720574.87514758</v>
      </c>
      <c r="K37" s="765">
        <f t="shared" si="3"/>
        <v>3099128.78464575</v>
      </c>
      <c r="L37" s="764">
        <f ca="1" t="shared" si="4"/>
        <v>1378553.90949817</v>
      </c>
      <c r="M37" s="726"/>
      <c r="N37" s="726"/>
      <c r="O37" s="726"/>
      <c r="P37" s="533"/>
      <c r="V37" s="159"/>
      <c r="W37" s="159"/>
      <c r="X37" s="173"/>
      <c r="Y37" s="173"/>
      <c r="Z37" s="173"/>
      <c r="AA37" s="177"/>
      <c r="AB37" s="177"/>
      <c r="AC37" s="173"/>
      <c r="AD37" s="173"/>
      <c r="AE37" s="173"/>
      <c r="AF37" s="152"/>
      <c r="AG37" s="177"/>
      <c r="AH37" s="173"/>
      <c r="AI37" s="173"/>
      <c r="AJ37" s="173"/>
      <c r="AK37" s="152"/>
      <c r="AL37" s="173"/>
    </row>
    <row r="38" s="181" customFormat="1" spans="1:38">
      <c r="A38" s="738"/>
      <c r="B38" s="726"/>
      <c r="C38" s="726" t="s">
        <v>1</v>
      </c>
      <c r="E38" s="480" t="s">
        <v>56</v>
      </c>
      <c r="F38" s="739"/>
      <c r="G38" s="728"/>
      <c r="H38" s="162"/>
      <c r="I38" s="763">
        <f t="shared" si="6"/>
        <v>0</v>
      </c>
      <c r="J38" s="163">
        <f t="shared" si="5"/>
        <v>0</v>
      </c>
      <c r="K38" s="765">
        <f t="shared" si="3"/>
        <v>0</v>
      </c>
      <c r="L38" s="764">
        <f t="shared" si="4"/>
        <v>0</v>
      </c>
      <c r="M38" s="726"/>
      <c r="N38" s="726"/>
      <c r="O38" s="726"/>
      <c r="P38" s="767"/>
      <c r="Q38" s="767"/>
      <c r="R38" s="767"/>
      <c r="S38" s="767"/>
      <c r="T38" s="767"/>
      <c r="U38" s="767"/>
      <c r="V38" s="159"/>
      <c r="W38" s="159"/>
      <c r="X38" s="173"/>
      <c r="Y38" s="173"/>
      <c r="Z38" s="173"/>
      <c r="AA38" s="177"/>
      <c r="AB38" s="177"/>
      <c r="AC38" s="173"/>
      <c r="AD38" s="173"/>
      <c r="AE38" s="173"/>
      <c r="AF38" s="152"/>
      <c r="AG38" s="177"/>
      <c r="AH38" s="173"/>
      <c r="AI38" s="173"/>
      <c r="AJ38" s="173"/>
      <c r="AK38" s="152"/>
      <c r="AL38" s="173"/>
    </row>
    <row r="39" s="181" customFormat="1" spans="1:38">
      <c r="A39" s="738"/>
      <c r="B39" s="726"/>
      <c r="C39" s="726" t="s">
        <v>3</v>
      </c>
      <c r="E39" s="480" t="s">
        <v>51</v>
      </c>
      <c r="F39" s="739">
        <f>'Monthly Average price-Jan-25'!$R$23</f>
        <v>1488.52</v>
      </c>
      <c r="G39" s="728">
        <f>G30</f>
        <v>590.216892051479</v>
      </c>
      <c r="H39" s="162">
        <f ca="1">VLOOKUP(C39,'Clos Stock op cf val -Jan 25'!$C$20:$E$22,3,0)</f>
        <v>298.923377885993</v>
      </c>
      <c r="I39" s="763">
        <f ca="1" t="shared" si="6"/>
        <v>291.293514165486</v>
      </c>
      <c r="J39" s="163">
        <f ca="1" t="shared" si="5"/>
        <v>433596.221705609</v>
      </c>
      <c r="K39" s="765">
        <f t="shared" si="3"/>
        <v>878549.648156468</v>
      </c>
      <c r="L39" s="764">
        <f ca="1" t="shared" si="4"/>
        <v>444953.426450859</v>
      </c>
      <c r="M39" s="726"/>
      <c r="N39" s="726"/>
      <c r="O39" s="726"/>
      <c r="P39" s="767"/>
      <c r="Q39" s="767"/>
      <c r="R39" s="767"/>
      <c r="S39" s="767"/>
      <c r="T39" s="767"/>
      <c r="U39" s="767"/>
      <c r="V39" s="159"/>
      <c r="W39" s="159"/>
      <c r="X39" s="173"/>
      <c r="Y39" s="173"/>
      <c r="Z39" s="173"/>
      <c r="AA39" s="177"/>
      <c r="AB39" s="177"/>
      <c r="AC39" s="173"/>
      <c r="AD39" s="173"/>
      <c r="AE39" s="173"/>
      <c r="AF39" s="152"/>
      <c r="AG39" s="177"/>
      <c r="AH39" s="173"/>
      <c r="AI39" s="173"/>
      <c r="AJ39" s="173"/>
      <c r="AK39" s="152"/>
      <c r="AL39" s="173"/>
    </row>
    <row r="40" s="181" customFormat="1" spans="1:38">
      <c r="A40" s="738"/>
      <c r="B40" s="726"/>
      <c r="C40" s="726" t="s">
        <v>3</v>
      </c>
      <c r="E40" s="480" t="s">
        <v>57</v>
      </c>
      <c r="F40" s="739">
        <f>'Monthly Average price-Jan-25'!$R$22</f>
        <v>697.01</v>
      </c>
      <c r="G40" s="728">
        <f>G26</f>
        <v>532.890813594052</v>
      </c>
      <c r="H40" s="162">
        <f ca="1">VLOOKUP(C40,'Clos Stock op cf val -Jan 25'!$C$20:$E$22,3,0)</f>
        <v>298.923377885993</v>
      </c>
      <c r="I40" s="763">
        <f ca="1" t="shared" si="6"/>
        <v>233.967435708058</v>
      </c>
      <c r="J40" s="163">
        <f ca="1" t="shared" si="5"/>
        <v>163077.642362874</v>
      </c>
      <c r="K40" s="765">
        <f t="shared" si="3"/>
        <v>371430.22598319</v>
      </c>
      <c r="L40" s="764">
        <f ca="1" t="shared" si="4"/>
        <v>208352.583620316</v>
      </c>
      <c r="M40" s="726">
        <f ca="1">SUM(L20:L40)</f>
        <v>11367211.9122793</v>
      </c>
      <c r="N40" s="726"/>
      <c r="O40" s="726"/>
      <c r="P40" s="767"/>
      <c r="U40" s="767"/>
      <c r="V40" s="159"/>
      <c r="W40" s="159"/>
      <c r="X40" s="173"/>
      <c r="Y40" s="173"/>
      <c r="Z40" s="173"/>
      <c r="AA40" s="177"/>
      <c r="AB40" s="177"/>
      <c r="AC40" s="173"/>
      <c r="AD40" s="173"/>
      <c r="AE40" s="173"/>
      <c r="AF40" s="152"/>
      <c r="AG40" s="177"/>
      <c r="AH40" s="173"/>
      <c r="AI40" s="173"/>
      <c r="AJ40" s="173"/>
      <c r="AK40" s="152"/>
      <c r="AL40" s="173"/>
    </row>
    <row r="41" s="181" customFormat="1" spans="1:38">
      <c r="A41" s="738"/>
      <c r="B41" s="726"/>
      <c r="C41" s="726"/>
      <c r="E41" s="480"/>
      <c r="F41" s="739"/>
      <c r="G41" s="728"/>
      <c r="H41" s="162"/>
      <c r="I41" s="763"/>
      <c r="J41" s="163">
        <f t="shared" si="5"/>
        <v>0</v>
      </c>
      <c r="K41" s="200"/>
      <c r="L41" s="200"/>
      <c r="M41" s="200">
        <f ca="1">SUM('Traditional P &amp; L - taxdis'!D38:D44)</f>
        <v>16059992.28</v>
      </c>
      <c r="N41" s="200">
        <f ca="1">M41-M40</f>
        <v>4692780.36772075</v>
      </c>
      <c r="O41" s="200"/>
      <c r="P41" s="770"/>
      <c r="U41" s="767"/>
      <c r="V41" s="159"/>
      <c r="W41" s="159"/>
      <c r="X41" s="173"/>
      <c r="Y41" s="173"/>
      <c r="Z41" s="173"/>
      <c r="AA41" s="177"/>
      <c r="AB41" s="177"/>
      <c r="AC41" s="173"/>
      <c r="AD41" s="173"/>
      <c r="AE41" s="173"/>
      <c r="AF41" s="152"/>
      <c r="AG41" s="177"/>
      <c r="AH41" s="173"/>
      <c r="AI41" s="173"/>
      <c r="AJ41" s="173"/>
      <c r="AK41" s="152"/>
      <c r="AL41" s="173"/>
    </row>
    <row r="42" s="181" customFormat="1" ht="15" spans="1:38">
      <c r="A42" s="738"/>
      <c r="B42" s="726"/>
      <c r="C42" s="740"/>
      <c r="E42" s="483" t="s">
        <v>54</v>
      </c>
      <c r="F42" s="737">
        <f>SUM(F36:F40)</f>
        <v>6797.26</v>
      </c>
      <c r="G42" s="728"/>
      <c r="H42" s="162"/>
      <c r="I42" s="763"/>
      <c r="J42" s="772">
        <f ca="1">SUM(J36:J41)</f>
        <v>2317248.73921606</v>
      </c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V42" s="159"/>
      <c r="W42" s="159"/>
      <c r="X42" s="173"/>
      <c r="Y42" s="173"/>
      <c r="Z42" s="173"/>
      <c r="AA42" s="177"/>
      <c r="AB42" s="177"/>
      <c r="AC42" s="173"/>
      <c r="AD42" s="173"/>
      <c r="AE42" s="173"/>
      <c r="AF42" s="152"/>
      <c r="AG42" s="177"/>
      <c r="AH42" s="173"/>
      <c r="AI42" s="173"/>
      <c r="AJ42" s="173"/>
      <c r="AK42" s="152"/>
      <c r="AL42" s="173"/>
    </row>
    <row r="43" s="181" customFormat="1" ht="15" spans="1:38">
      <c r="A43" s="741"/>
      <c r="B43" s="726"/>
      <c r="E43" s="483" t="s">
        <v>58</v>
      </c>
      <c r="F43" s="737"/>
      <c r="G43" s="742"/>
      <c r="H43" s="743"/>
      <c r="I43" s="773"/>
      <c r="J43" s="772">
        <f ca="1">J42+J34</f>
        <v>10399069.6855864</v>
      </c>
      <c r="M43" s="200"/>
      <c r="O43" s="200"/>
      <c r="P43" s="200"/>
      <c r="Q43" s="200"/>
      <c r="R43" s="200"/>
      <c r="S43" s="200"/>
      <c r="T43" s="200"/>
      <c r="V43" s="159"/>
      <c r="W43" s="159"/>
      <c r="X43" s="173"/>
      <c r="Y43" s="173"/>
      <c r="Z43" s="173"/>
      <c r="AA43" s="177"/>
      <c r="AB43" s="177"/>
      <c r="AC43" s="173"/>
      <c r="AD43" s="173"/>
      <c r="AE43" s="173"/>
      <c r="AF43" s="152"/>
      <c r="AG43" s="177"/>
      <c r="AH43" s="173"/>
      <c r="AI43" s="173"/>
      <c r="AJ43" s="173"/>
      <c r="AK43" s="152"/>
      <c r="AL43" s="173"/>
    </row>
    <row r="44" s="181" customFormat="1" spans="1:38">
      <c r="A44" s="744"/>
      <c r="B44" s="726"/>
      <c r="C44" s="745"/>
      <c r="E44" s="483"/>
      <c r="F44" s="737"/>
      <c r="G44" s="728"/>
      <c r="H44" s="162"/>
      <c r="I44" s="763"/>
      <c r="J44" s="769"/>
      <c r="M44" s="200"/>
      <c r="N44" s="200"/>
      <c r="P44" s="200"/>
      <c r="V44" s="159"/>
      <c r="W44" s="159"/>
      <c r="X44" s="173"/>
      <c r="Y44" s="173"/>
      <c r="Z44" s="173"/>
      <c r="AA44" s="177"/>
      <c r="AB44" s="177"/>
      <c r="AC44" s="173"/>
      <c r="AD44" s="173"/>
      <c r="AE44" s="173"/>
      <c r="AF44" s="152"/>
      <c r="AG44" s="177"/>
      <c r="AH44" s="173"/>
      <c r="AI44" s="173"/>
      <c r="AJ44" s="173"/>
      <c r="AK44" s="152"/>
      <c r="AL44" s="173"/>
    </row>
    <row r="45" s="181" customFormat="1" spans="1:38">
      <c r="A45" s="744"/>
      <c r="B45" s="726"/>
      <c r="C45" s="154"/>
      <c r="E45" s="746" t="s">
        <v>59</v>
      </c>
      <c r="F45" s="734"/>
      <c r="G45" s="728">
        <v>0</v>
      </c>
      <c r="H45" s="747"/>
      <c r="I45" s="774"/>
      <c r="J45" s="163">
        <f>'Input Sheet'!AI30</f>
        <v>12502.5</v>
      </c>
      <c r="K45" s="200">
        <f>J45</f>
        <v>12502.5</v>
      </c>
      <c r="L45" s="200">
        <f>J45</f>
        <v>12502.5</v>
      </c>
      <c r="O45" s="770"/>
      <c r="V45" s="159"/>
      <c r="W45" s="159"/>
      <c r="X45" s="173"/>
      <c r="Y45" s="173"/>
      <c r="Z45" s="173"/>
      <c r="AA45" s="177"/>
      <c r="AB45" s="177"/>
      <c r="AC45" s="173"/>
      <c r="AD45" s="173"/>
      <c r="AE45" s="173"/>
      <c r="AF45" s="152"/>
      <c r="AG45" s="177"/>
      <c r="AH45" s="173"/>
      <c r="AI45" s="173"/>
      <c r="AJ45" s="173"/>
      <c r="AK45" s="152"/>
      <c r="AL45" s="173"/>
    </row>
    <row r="46" spans="1:107">
      <c r="A46" s="748"/>
      <c r="B46" s="726"/>
      <c r="C46" s="154"/>
      <c r="E46" s="746" t="s">
        <v>60</v>
      </c>
      <c r="F46" s="749"/>
      <c r="G46" s="728">
        <v>0</v>
      </c>
      <c r="H46" s="747"/>
      <c r="I46" s="763">
        <f t="shared" ref="I46" si="7">+G46-H46</f>
        <v>0</v>
      </c>
      <c r="J46" s="163">
        <f>'Input Sheet'!AI29</f>
        <v>614485.98</v>
      </c>
      <c r="K46" s="200">
        <f>J46</f>
        <v>614485.98</v>
      </c>
      <c r="L46" s="200">
        <f>J46</f>
        <v>614485.98</v>
      </c>
      <c r="O46" s="165"/>
      <c r="V46" s="159"/>
      <c r="W46" s="159"/>
      <c r="X46" s="173"/>
      <c r="Y46" s="173"/>
      <c r="Z46" s="173"/>
      <c r="AA46" s="177"/>
      <c r="AB46" s="177"/>
      <c r="AC46" s="173"/>
      <c r="AD46" s="173"/>
      <c r="AE46" s="173">
        <f>+AB46-AC46</f>
        <v>0</v>
      </c>
      <c r="AG46" s="177">
        <f>+X46/(100-7.5)*100</f>
        <v>0</v>
      </c>
      <c r="AH46" s="173">
        <f>+AH35</f>
        <v>113.453403321494</v>
      </c>
      <c r="AI46" s="173">
        <f>+AG46*AH46</f>
        <v>0</v>
      </c>
      <c r="AJ46" s="173">
        <f>+AE46-AI46</f>
        <v>0</v>
      </c>
      <c r="AL46" s="173">
        <f>+AJ46+5000000</f>
        <v>5000000</v>
      </c>
      <c r="DC46" s="181"/>
    </row>
    <row r="47" hidden="1" spans="1:107">
      <c r="A47" s="748"/>
      <c r="B47" s="726"/>
      <c r="C47" s="154"/>
      <c r="E47" s="746" t="s">
        <v>61</v>
      </c>
      <c r="F47" s="735">
        <f>'[1]Sales - Mar'!D31</f>
        <v>0</v>
      </c>
      <c r="G47" s="728">
        <v>0</v>
      </c>
      <c r="H47" s="747"/>
      <c r="I47" s="774"/>
      <c r="J47" s="163"/>
      <c r="K47" s="765">
        <f t="shared" ref="K47" si="8">F47*G47</f>
        <v>0</v>
      </c>
      <c r="X47" s="154"/>
      <c r="Y47" s="154"/>
      <c r="Z47" s="154"/>
      <c r="AA47" s="211"/>
      <c r="AB47" s="211"/>
      <c r="AC47" s="154"/>
      <c r="AD47" s="154"/>
      <c r="AE47" s="154"/>
      <c r="AG47" s="211"/>
      <c r="AH47" s="154"/>
      <c r="AI47" s="154"/>
      <c r="AJ47" s="154"/>
      <c r="AL47" s="154"/>
      <c r="CP47" s="152" t="s">
        <v>36</v>
      </c>
      <c r="DB47" s="152">
        <v>10129.739748838</v>
      </c>
      <c r="DC47" s="181"/>
    </row>
    <row r="48" spans="1:107">
      <c r="A48" s="748"/>
      <c r="B48" s="726"/>
      <c r="C48" s="154"/>
      <c r="E48" s="746" t="s">
        <v>62</v>
      </c>
      <c r="F48" s="735"/>
      <c r="G48" s="728">
        <f>'[1]Sales - Jan'!I30</f>
        <v>0</v>
      </c>
      <c r="H48" s="747"/>
      <c r="I48" s="774"/>
      <c r="J48" s="163">
        <f>'Input Sheet'!AI31</f>
        <v>7500</v>
      </c>
      <c r="K48" s="200">
        <f>J48</f>
        <v>7500</v>
      </c>
      <c r="L48" s="200">
        <f>J48</f>
        <v>7500</v>
      </c>
      <c r="X48" s="154"/>
      <c r="Y48" s="154"/>
      <c r="Z48" s="154"/>
      <c r="AA48" s="211"/>
      <c r="AB48" s="211"/>
      <c r="AC48" s="154"/>
      <c r="AD48" s="154"/>
      <c r="AE48" s="154"/>
      <c r="AG48" s="211"/>
      <c r="AH48" s="154"/>
      <c r="AI48" s="154"/>
      <c r="AJ48" s="154"/>
      <c r="AL48" s="154"/>
      <c r="CP48" s="152" t="s">
        <v>40</v>
      </c>
      <c r="DB48" s="152">
        <v>25003.5575890764</v>
      </c>
      <c r="DC48" s="181"/>
    </row>
    <row r="49" spans="1:107">
      <c r="A49" s="748"/>
      <c r="B49" s="726"/>
      <c r="C49" s="154"/>
      <c r="E49" s="480" t="s">
        <v>61</v>
      </c>
      <c r="F49" s="735"/>
      <c r="G49" s="728"/>
      <c r="H49" s="747"/>
      <c r="I49" s="774"/>
      <c r="J49" s="163"/>
      <c r="L49" s="200">
        <f>J49</f>
        <v>0</v>
      </c>
      <c r="X49" s="154"/>
      <c r="Y49" s="154"/>
      <c r="Z49" s="154"/>
      <c r="AA49" s="211"/>
      <c r="AB49" s="211"/>
      <c r="AC49" s="154"/>
      <c r="AD49" s="154"/>
      <c r="AE49" s="154"/>
      <c r="AG49" s="211"/>
      <c r="AH49" s="154"/>
      <c r="AI49" s="154"/>
      <c r="AJ49" s="154"/>
      <c r="AL49" s="154"/>
      <c r="DC49" s="181"/>
    </row>
    <row r="50" spans="1:107">
      <c r="A50" s="748"/>
      <c r="B50" s="726"/>
      <c r="C50" s="154"/>
      <c r="E50" s="480" t="str">
        <f>'[3]Sales-Nov'!C30</f>
        <v>Rental Income SEM Loader</v>
      </c>
      <c r="F50" s="750"/>
      <c r="G50" s="751"/>
      <c r="H50" s="752">
        <f>'[1]Sales - Dec'!F31</f>
        <v>0</v>
      </c>
      <c r="I50" s="775">
        <f>'[1]Sales - Dec'!G31</f>
        <v>0</v>
      </c>
      <c r="J50" s="776">
        <v>0</v>
      </c>
      <c r="V50" s="181"/>
      <c r="W50" s="779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CP50" s="152" t="s">
        <v>44</v>
      </c>
      <c r="DB50" s="152">
        <v>4355.19726375432</v>
      </c>
      <c r="DC50" s="181"/>
    </row>
    <row r="51" hidden="1" spans="1:107">
      <c r="A51" s="748"/>
      <c r="B51" s="726"/>
      <c r="E51" s="480" t="str">
        <f>'[3]Sales-Nov'!C31</f>
        <v>Rental Income Breaker</v>
      </c>
      <c r="F51" s="750"/>
      <c r="G51" s="751">
        <f>'[1]Sales - Mar'!E34</f>
        <v>0</v>
      </c>
      <c r="H51" s="753">
        <f>'[1]Sales - Dec'!F32</f>
        <v>0</v>
      </c>
      <c r="I51" s="777">
        <f>'[1]Sales - Dec'!G32</f>
        <v>0</v>
      </c>
      <c r="J51" s="776">
        <f>G51</f>
        <v>0</v>
      </c>
      <c r="V51" s="181"/>
      <c r="W51" s="779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CP51" s="152" t="s">
        <v>46</v>
      </c>
      <c r="DB51" s="152">
        <v>-2240.75262606145</v>
      </c>
      <c r="DC51" s="181"/>
    </row>
    <row r="52" ht="14.5" hidden="1" customHeight="1" spans="1:38">
      <c r="A52" s="748"/>
      <c r="B52" s="726"/>
      <c r="C52" s="154"/>
      <c r="E52" s="480" t="s">
        <v>63</v>
      </c>
      <c r="F52" s="735"/>
      <c r="G52" s="751">
        <f>'[1]Sales - Mar'!E35</f>
        <v>0</v>
      </c>
      <c r="H52" s="747"/>
      <c r="I52" s="774"/>
      <c r="J52" s="776"/>
      <c r="N52" s="154"/>
      <c r="V52" s="181"/>
      <c r="W52" s="779"/>
      <c r="X52" s="181"/>
      <c r="Y52" s="181"/>
      <c r="Z52" s="181"/>
      <c r="AA52" s="181"/>
      <c r="AB52" s="181"/>
      <c r="AC52" s="181"/>
      <c r="AD52" s="181"/>
      <c r="AE52" s="200"/>
      <c r="AF52" s="181"/>
      <c r="AG52" s="181"/>
      <c r="AH52" s="181"/>
      <c r="AI52" s="181"/>
      <c r="AJ52" s="181"/>
      <c r="AK52" s="181"/>
      <c r="AL52" s="181"/>
    </row>
    <row r="53" ht="14.5" customHeight="1" spans="1:38">
      <c r="A53" s="748"/>
      <c r="B53" s="726"/>
      <c r="C53" s="154"/>
      <c r="E53" s="480" t="s">
        <v>64</v>
      </c>
      <c r="F53" s="735"/>
      <c r="G53" s="751"/>
      <c r="H53" s="747"/>
      <c r="I53" s="774"/>
      <c r="J53" s="776"/>
      <c r="M53" s="227">
        <f ca="1">SUM(L7:L63)</f>
        <v>16211247.4744136</v>
      </c>
      <c r="N53" s="227">
        <f ca="1">M53-'[1]Monthly Average price-Dec-24'!S39</f>
        <v>-22688277.9355864</v>
      </c>
      <c r="O53" s="165"/>
      <c r="V53" s="181"/>
      <c r="W53" s="779"/>
      <c r="X53" s="181"/>
      <c r="Y53" s="181"/>
      <c r="Z53" s="181"/>
      <c r="AA53" s="181"/>
      <c r="AB53" s="181"/>
      <c r="AC53" s="181"/>
      <c r="AD53" s="181"/>
      <c r="AE53" s="200"/>
      <c r="AF53" s="181"/>
      <c r="AG53" s="181"/>
      <c r="AH53" s="181"/>
      <c r="AI53" s="181"/>
      <c r="AJ53" s="181"/>
      <c r="AK53" s="181"/>
      <c r="AL53" s="181"/>
    </row>
    <row r="54" ht="14.5" customHeight="1" spans="1:38">
      <c r="A54" s="754"/>
      <c r="B54" s="726"/>
      <c r="C54" s="154"/>
      <c r="E54" s="755" t="s">
        <v>65</v>
      </c>
      <c r="F54" s="735"/>
      <c r="G54" s="751"/>
      <c r="H54" s="747"/>
      <c r="I54" s="774"/>
      <c r="J54" s="163">
        <f>'Input Sheet'!AL7</f>
        <v>1182351.945</v>
      </c>
      <c r="N54" s="154"/>
      <c r="V54" s="181"/>
      <c r="W54" s="779"/>
      <c r="X54" s="181"/>
      <c r="Y54" s="181"/>
      <c r="Z54" s="181"/>
      <c r="AA54" s="181"/>
      <c r="AB54" s="181"/>
      <c r="AC54" s="181"/>
      <c r="AD54" s="181"/>
      <c r="AE54" s="200"/>
      <c r="AF54" s="181"/>
      <c r="AG54" s="181"/>
      <c r="AH54" s="181"/>
      <c r="AI54" s="181"/>
      <c r="AJ54" s="181"/>
      <c r="AK54" s="181"/>
      <c r="AL54" s="181"/>
    </row>
    <row r="55" ht="14.5" customHeight="1" spans="1:38">
      <c r="A55" s="756"/>
      <c r="B55" s="726"/>
      <c r="E55" s="746" t="s">
        <v>66</v>
      </c>
      <c r="F55" s="757"/>
      <c r="G55" s="758"/>
      <c r="H55" s="747"/>
      <c r="I55" s="774"/>
      <c r="J55" s="163">
        <f>-'TB-Jan-25'!$E$13</f>
        <v>11564</v>
      </c>
      <c r="V55" s="181"/>
      <c r="W55" s="779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</row>
    <row r="56" ht="14.5" customHeight="1" spans="1:38">
      <c r="A56" s="759"/>
      <c r="B56" s="726"/>
      <c r="E56" s="480" t="s">
        <v>67</v>
      </c>
      <c r="F56" s="757"/>
      <c r="G56" s="758"/>
      <c r="H56" s="747"/>
      <c r="I56" s="774"/>
      <c r="J56" s="163">
        <f>'[1]Product &amp; stock detail -Dec-24'!AA30*0</f>
        <v>0</v>
      </c>
      <c r="V56" s="181"/>
      <c r="W56" s="779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</row>
    <row r="57" ht="14.5" customHeight="1" spans="2:31">
      <c r="B57" s="726"/>
      <c r="E57" s="167"/>
      <c r="F57" s="760"/>
      <c r="G57" s="758"/>
      <c r="H57" s="747"/>
      <c r="I57" s="774"/>
      <c r="J57" s="769">
        <f ca="1">J43+SUM(J45:J56)</f>
        <v>12227474.1105864</v>
      </c>
      <c r="W57" s="154"/>
      <c r="Z57" s="782"/>
      <c r="AA57" s="782"/>
      <c r="AB57" s="154"/>
      <c r="AE57" s="154">
        <f>+AB57*AC57</f>
        <v>0</v>
      </c>
    </row>
    <row r="58" s="181" customFormat="1" ht="14.5" customHeight="1" spans="2:38">
      <c r="B58" s="726"/>
      <c r="E58" s="159" t="s">
        <v>68</v>
      </c>
      <c r="F58" s="757"/>
      <c r="G58" s="758"/>
      <c r="H58" s="747"/>
      <c r="I58" s="774"/>
      <c r="J58" s="163">
        <v>0</v>
      </c>
      <c r="V58" s="152"/>
      <c r="W58" s="152"/>
      <c r="X58" s="152"/>
      <c r="Y58" s="152"/>
      <c r="Z58" s="164"/>
      <c r="AA58" s="782"/>
      <c r="AB58" s="154"/>
      <c r="AC58" s="152"/>
      <c r="AD58" s="152"/>
      <c r="AE58" s="154">
        <f>+AB58*AC58</f>
        <v>0</v>
      </c>
      <c r="AF58" s="152"/>
      <c r="AG58" s="152"/>
      <c r="AH58" s="152"/>
      <c r="AI58" s="152"/>
      <c r="AJ58" s="152"/>
      <c r="AK58" s="152"/>
      <c r="AL58" s="152"/>
    </row>
    <row r="59" s="181" customFormat="1" ht="14.5" customHeight="1" spans="2:38">
      <c r="B59" s="726"/>
      <c r="E59" s="159" t="s">
        <v>69</v>
      </c>
      <c r="F59" s="757"/>
      <c r="G59" s="758"/>
      <c r="H59" s="747"/>
      <c r="I59" s="774"/>
      <c r="J59" s="163"/>
      <c r="K59" s="200"/>
      <c r="V59" s="152"/>
      <c r="W59" s="152"/>
      <c r="X59" s="152"/>
      <c r="Y59" s="152"/>
      <c r="Z59" s="164"/>
      <c r="AA59" s="782"/>
      <c r="AB59" s="154"/>
      <c r="AC59" s="152"/>
      <c r="AD59" s="152"/>
      <c r="AE59" s="154"/>
      <c r="AF59" s="152"/>
      <c r="AG59" s="152"/>
      <c r="AH59" s="152"/>
      <c r="AI59" s="152"/>
      <c r="AJ59" s="152"/>
      <c r="AK59" s="152"/>
      <c r="AL59" s="152"/>
    </row>
    <row r="60" spans="2:31">
      <c r="B60" s="726"/>
      <c r="E60" s="167"/>
      <c r="F60" s="760"/>
      <c r="G60" s="758"/>
      <c r="H60" s="747"/>
      <c r="I60" s="774"/>
      <c r="J60" s="769">
        <f ca="1">+J57-J58-J59</f>
        <v>12227474.1105864</v>
      </c>
      <c r="Z60" s="164"/>
      <c r="AA60" s="782"/>
      <c r="AB60" s="154"/>
      <c r="AE60" s="154">
        <f>+AB60*AC60</f>
        <v>0</v>
      </c>
    </row>
    <row r="61" s="181" customFormat="1" spans="2:38">
      <c r="B61" s="726"/>
      <c r="E61" s="480" t="s">
        <v>70</v>
      </c>
      <c r="F61" s="735"/>
      <c r="G61" s="758"/>
      <c r="H61" s="747"/>
      <c r="I61" s="774"/>
      <c r="J61" s="163">
        <v>0</v>
      </c>
      <c r="V61" s="152"/>
      <c r="W61" s="152"/>
      <c r="X61" s="152"/>
      <c r="Y61" s="152"/>
      <c r="Z61" s="164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</row>
    <row r="62" spans="2:38">
      <c r="B62" s="726"/>
      <c r="E62" s="483" t="s">
        <v>71</v>
      </c>
      <c r="F62" s="761"/>
      <c r="G62" s="758"/>
      <c r="H62" s="747"/>
      <c r="I62" s="774"/>
      <c r="J62" s="771">
        <f ca="1">+J60+J61</f>
        <v>12227474.1105864</v>
      </c>
      <c r="N62" s="154"/>
      <c r="O62" s="165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</row>
    <row r="63" spans="1:31">
      <c r="A63" s="732"/>
      <c r="B63" s="154"/>
      <c r="E63" s="480" t="s">
        <v>72</v>
      </c>
      <c r="F63" s="735"/>
      <c r="G63" s="758"/>
      <c r="H63" s="747"/>
      <c r="I63" s="774"/>
      <c r="J63" s="163">
        <f>'Input Sheet'!AI38</f>
        <v>1625447.1</v>
      </c>
      <c r="L63" s="200">
        <f>J63</f>
        <v>1625447.1</v>
      </c>
      <c r="AB63" s="154"/>
      <c r="AE63" s="154">
        <f>+AB63*AC63</f>
        <v>0</v>
      </c>
    </row>
    <row r="64" spans="2:38">
      <c r="B64" s="726"/>
      <c r="E64" s="159" t="s">
        <v>73</v>
      </c>
      <c r="F64" s="760"/>
      <c r="G64" s="758"/>
      <c r="H64" s="747"/>
      <c r="I64" s="774"/>
      <c r="J64" s="163">
        <f ca="1">J62+J63</f>
        <v>13852921.2105864</v>
      </c>
      <c r="M64" s="208"/>
      <c r="N64" s="208"/>
      <c r="V64" s="181"/>
      <c r="W64" s="181"/>
      <c r="X64" s="181"/>
      <c r="Y64" s="181"/>
      <c r="Z64" s="181"/>
      <c r="AA64" s="181"/>
      <c r="AB64" s="154"/>
      <c r="AE64" s="154">
        <f>+AB64*AC64</f>
        <v>0</v>
      </c>
      <c r="AF64" s="181"/>
      <c r="AG64" s="181"/>
      <c r="AH64" s="181"/>
      <c r="AI64" s="181"/>
      <c r="AJ64" s="181"/>
      <c r="AK64" s="181"/>
      <c r="AL64" s="181"/>
    </row>
    <row r="65" spans="1:31">
      <c r="A65" s="787"/>
      <c r="B65" s="726"/>
      <c r="E65" s="536" t="s">
        <v>74</v>
      </c>
      <c r="F65" s="760"/>
      <c r="G65" s="758"/>
      <c r="H65" s="747"/>
      <c r="I65" s="774"/>
      <c r="J65" s="163">
        <v>1247700.3</v>
      </c>
      <c r="N65" s="154"/>
      <c r="O65" s="154"/>
      <c r="AB65" s="154"/>
      <c r="AE65" s="154">
        <f>+AB65*AC65</f>
        <v>0</v>
      </c>
    </row>
    <row r="66" spans="2:15">
      <c r="B66" s="726"/>
      <c r="E66" s="159" t="s">
        <v>75</v>
      </c>
      <c r="F66" s="760"/>
      <c r="G66" s="758"/>
      <c r="H66" s="747"/>
      <c r="I66" s="774"/>
      <c r="J66" s="163">
        <f ca="1">J64-J65</f>
        <v>12605220.9105864</v>
      </c>
      <c r="M66" s="154">
        <f>'Traditional P &amp; L - taxdis'!$E$33</f>
        <v>0</v>
      </c>
      <c r="N66" s="154">
        <f ca="1">J66-M66</f>
        <v>12605220.9105864</v>
      </c>
      <c r="O66" s="154"/>
    </row>
    <row r="67" spans="1:31">
      <c r="A67" s="788"/>
      <c r="B67" s="726"/>
      <c r="E67" s="230" t="s">
        <v>76</v>
      </c>
      <c r="F67" s="760"/>
      <c r="G67" s="758"/>
      <c r="H67" s="747"/>
      <c r="I67" s="774"/>
      <c r="J67" s="163">
        <f ca="1">'Expenses Category'!F12</f>
        <v>8581606.64</v>
      </c>
      <c r="AB67" s="154"/>
      <c r="AC67" s="164"/>
      <c r="AD67" s="164"/>
      <c r="AE67" s="154">
        <f>SUM(AE57:AE66)</f>
        <v>0</v>
      </c>
    </row>
    <row r="68" spans="1:31">
      <c r="A68" s="788"/>
      <c r="B68" s="726"/>
      <c r="E68" s="230" t="s">
        <v>77</v>
      </c>
      <c r="F68" s="760"/>
      <c r="G68" s="758"/>
      <c r="H68" s="747"/>
      <c r="I68" s="774"/>
      <c r="J68" s="163">
        <f ca="1">+'Expenses Category'!F13-141</f>
        <v>1542649.91</v>
      </c>
      <c r="M68" s="176"/>
      <c r="AB68" s="154"/>
      <c r="AC68" s="164"/>
      <c r="AD68" s="164"/>
      <c r="AE68" s="154"/>
    </row>
    <row r="69" spans="1:31">
      <c r="A69" s="788"/>
      <c r="B69" s="726"/>
      <c r="E69" s="230" t="s">
        <v>78</v>
      </c>
      <c r="F69" s="760"/>
      <c r="G69" s="758"/>
      <c r="H69" s="747"/>
      <c r="I69" s="774"/>
      <c r="J69" s="541">
        <f ca="1">'Working-Jan-25'!Q697</f>
        <v>1706333.72</v>
      </c>
      <c r="K69" s="154"/>
      <c r="L69" s="154"/>
      <c r="AB69" s="154"/>
      <c r="AC69" s="164"/>
      <c r="AD69" s="164"/>
      <c r="AE69" s="154"/>
    </row>
    <row r="70" spans="2:10">
      <c r="B70" s="726"/>
      <c r="E70" s="159" t="s">
        <v>79</v>
      </c>
      <c r="F70" s="760"/>
      <c r="G70" s="758"/>
      <c r="H70" s="747"/>
      <c r="I70" s="774"/>
      <c r="J70" s="163">
        <f ca="1">+J66-J68-J67-J69</f>
        <v>774630.640586427</v>
      </c>
    </row>
    <row r="71" spans="2:21">
      <c r="B71" s="726"/>
      <c r="E71" s="536" t="s">
        <v>80</v>
      </c>
      <c r="F71" s="760"/>
      <c r="G71" s="758"/>
      <c r="H71" s="747"/>
      <c r="I71" s="774"/>
      <c r="J71" s="163">
        <v>12</v>
      </c>
      <c r="K71" s="154"/>
      <c r="M71" s="154"/>
      <c r="N71" s="154"/>
      <c r="O71" s="154"/>
      <c r="P71" s="154"/>
      <c r="Q71" s="154"/>
      <c r="R71" s="154"/>
      <c r="S71" s="154"/>
      <c r="T71" s="154"/>
      <c r="U71" s="154"/>
    </row>
    <row r="72" spans="2:21">
      <c r="B72" s="726"/>
      <c r="E72" s="536" t="s">
        <v>81</v>
      </c>
      <c r="F72" s="760"/>
      <c r="G72" s="758"/>
      <c r="H72" s="747"/>
      <c r="I72" s="774"/>
      <c r="J72" s="163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</row>
    <row r="73" spans="2:12">
      <c r="B73" s="726"/>
      <c r="C73" s="200"/>
      <c r="E73" s="159" t="s">
        <v>39</v>
      </c>
      <c r="F73" s="760"/>
      <c r="G73" s="758"/>
      <c r="H73" s="747"/>
      <c r="I73" s="774"/>
      <c r="J73" s="163">
        <f ca="1">J70-J71-J72</f>
        <v>774618.640586427</v>
      </c>
      <c r="K73" s="154"/>
      <c r="L73" s="154"/>
    </row>
    <row r="74" spans="2:2">
      <c r="B74" s="154"/>
    </row>
    <row r="75" s="469" customFormat="1" spans="3:38">
      <c r="C75" s="152"/>
      <c r="D75" s="152"/>
      <c r="E75" s="152"/>
      <c r="F75" s="152"/>
      <c r="G75" s="152"/>
      <c r="H75" s="152"/>
      <c r="I75" s="152"/>
      <c r="J75" s="164">
        <f ca="1">'Traditional P &amp; L - taxdis'!$D$63</f>
        <v>774618.341802411</v>
      </c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</row>
    <row r="76" spans="10:23">
      <c r="J76" s="789">
        <f ca="1">J73-J75</f>
        <v>0.298784016631544</v>
      </c>
      <c r="K76" s="152">
        <v>203192</v>
      </c>
      <c r="L76" s="154"/>
      <c r="M76" s="154"/>
      <c r="N76" s="154">
        <f ca="1">N66-J76</f>
        <v>12605220.6118024</v>
      </c>
      <c r="V76" s="154"/>
      <c r="W76" s="154"/>
    </row>
    <row r="77" spans="16:25">
      <c r="P77" s="154"/>
      <c r="W77" s="164"/>
      <c r="Y77" s="154"/>
    </row>
    <row r="78" spans="10:38">
      <c r="J78" s="165"/>
      <c r="W78" s="469"/>
      <c r="X78" s="469"/>
      <c r="Y78" s="469"/>
      <c r="Z78" s="469"/>
      <c r="AA78" s="469"/>
      <c r="AB78" s="469"/>
      <c r="AC78" s="469"/>
      <c r="AD78" s="469"/>
      <c r="AE78" s="469"/>
      <c r="AF78" s="469"/>
      <c r="AG78" s="469"/>
      <c r="AH78" s="469"/>
      <c r="AI78" s="469"/>
      <c r="AJ78" s="469"/>
      <c r="AK78" s="469"/>
      <c r="AL78" s="469"/>
    </row>
    <row r="79" spans="16:38">
      <c r="P79" s="154"/>
      <c r="W79" s="469"/>
      <c r="X79" s="469"/>
      <c r="Y79" s="469"/>
      <c r="Z79" s="469"/>
      <c r="AA79" s="469"/>
      <c r="AB79" s="469"/>
      <c r="AC79" s="469"/>
      <c r="AD79" s="469"/>
      <c r="AE79" s="469"/>
      <c r="AF79" s="469"/>
      <c r="AG79" s="469"/>
      <c r="AH79" s="469"/>
      <c r="AI79" s="469"/>
      <c r="AJ79" s="469"/>
      <c r="AK79" s="469"/>
      <c r="AL79" s="469"/>
    </row>
    <row r="80" spans="23:38">
      <c r="W80" s="469"/>
      <c r="X80" s="469"/>
      <c r="Y80" s="469"/>
      <c r="Z80" s="469"/>
      <c r="AA80" s="469"/>
      <c r="AB80" s="469"/>
      <c r="AC80" s="469"/>
      <c r="AD80" s="469"/>
      <c r="AE80" s="469"/>
      <c r="AF80" s="469"/>
      <c r="AG80" s="469"/>
      <c r="AH80" s="469"/>
      <c r="AI80" s="469"/>
      <c r="AJ80" s="469"/>
      <c r="AK80" s="469"/>
      <c r="AL80" s="469"/>
    </row>
    <row r="81" spans="23:38">
      <c r="W81" s="469"/>
      <c r="X81" s="469"/>
      <c r="Y81" s="469"/>
      <c r="Z81" s="469"/>
      <c r="AA81" s="469"/>
      <c r="AB81" s="469"/>
      <c r="AC81" s="469"/>
      <c r="AD81" s="469"/>
      <c r="AE81" s="469"/>
      <c r="AF81" s="469"/>
      <c r="AG81" s="469"/>
      <c r="AH81" s="469"/>
      <c r="AI81" s="469"/>
      <c r="AJ81" s="469"/>
      <c r="AK81" s="469"/>
      <c r="AL81" s="469"/>
    </row>
    <row r="82" spans="5:23">
      <c r="E82" s="231" t="s">
        <v>82</v>
      </c>
      <c r="F82" s="231" t="s">
        <v>83</v>
      </c>
      <c r="W82" s="165"/>
    </row>
    <row r="85" spans="10:10">
      <c r="J85" s="154"/>
    </row>
    <row r="92" spans="22:31">
      <c r="V92" s="190"/>
      <c r="W92" s="190"/>
      <c r="X92" s="190"/>
      <c r="Y92" s="190"/>
      <c r="Z92" s="190"/>
      <c r="AA92" s="190"/>
      <c r="AB92" s="190"/>
      <c r="AC92" s="190"/>
      <c r="AD92" s="190"/>
      <c r="AE92" s="190" t="s">
        <v>39</v>
      </c>
    </row>
    <row r="93" spans="22:31">
      <c r="V93" s="768"/>
      <c r="W93" s="768"/>
      <c r="X93" s="771"/>
      <c r="Y93" s="771"/>
      <c r="Z93" s="771"/>
      <c r="AA93" s="163"/>
      <c r="AB93" s="163"/>
      <c r="AC93" s="771"/>
      <c r="AD93" s="771"/>
      <c r="AE93" s="771">
        <v>10412929.5493342</v>
      </c>
    </row>
    <row r="94" spans="22:31">
      <c r="V94" s="159"/>
      <c r="W94" s="159"/>
      <c r="X94" s="173"/>
      <c r="Y94" s="173"/>
      <c r="Z94" s="173"/>
      <c r="AA94" s="177"/>
      <c r="AB94" s="177"/>
      <c r="AC94" s="173"/>
      <c r="AD94" s="173"/>
      <c r="AE94" s="173">
        <v>13128299.616117</v>
      </c>
    </row>
    <row r="95" spans="22:31">
      <c r="V95" s="159"/>
      <c r="W95" s="159"/>
      <c r="X95" s="173"/>
      <c r="Y95" s="173"/>
      <c r="Z95" s="173"/>
      <c r="AA95" s="177"/>
      <c r="AB95" s="177"/>
      <c r="AC95" s="173"/>
      <c r="AD95" s="173"/>
      <c r="AE95" s="173">
        <v>15486261.5958255</v>
      </c>
    </row>
    <row r="96" spans="22:31">
      <c r="V96" s="159"/>
      <c r="W96" s="159"/>
      <c r="X96" s="173"/>
      <c r="Y96" s="173"/>
      <c r="Z96" s="173"/>
      <c r="AA96" s="177"/>
      <c r="AB96" s="177"/>
      <c r="AC96" s="173"/>
      <c r="AD96" s="173"/>
      <c r="AE96" s="173">
        <v>17844223.575534</v>
      </c>
    </row>
    <row r="97" spans="22:31">
      <c r="V97" s="159"/>
      <c r="W97" s="159"/>
      <c r="X97" s="173"/>
      <c r="Y97" s="173"/>
      <c r="Z97" s="173"/>
      <c r="AA97" s="177"/>
      <c r="AB97" s="177"/>
      <c r="AC97" s="173"/>
      <c r="AD97" s="173"/>
      <c r="AE97" s="173">
        <v>20202185.5552424</v>
      </c>
    </row>
    <row r="98" spans="22:31">
      <c r="V98" s="159"/>
      <c r="W98" s="159"/>
      <c r="X98" s="173"/>
      <c r="Y98" s="173"/>
      <c r="Z98" s="173"/>
      <c r="AA98" s="177"/>
      <c r="AB98" s="177"/>
      <c r="AC98" s="173"/>
      <c r="AD98" s="173"/>
      <c r="AE98" s="173">
        <v>22560147.5349509</v>
      </c>
    </row>
    <row r="99" spans="22:31">
      <c r="V99" s="159"/>
      <c r="W99" s="159"/>
      <c r="X99" s="173"/>
      <c r="Y99" s="173"/>
      <c r="Z99" s="173"/>
      <c r="AA99" s="177"/>
      <c r="AB99" s="177"/>
      <c r="AC99" s="173"/>
      <c r="AD99" s="173"/>
      <c r="AE99" s="173">
        <v>24918109.5146594</v>
      </c>
    </row>
    <row r="102" spans="22:31"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 t="s">
        <v>39</v>
      </c>
    </row>
    <row r="103" spans="22:31">
      <c r="V103" s="768"/>
      <c r="W103" s="768"/>
      <c r="X103" s="771"/>
      <c r="Y103" s="771"/>
      <c r="Z103" s="771"/>
      <c r="AA103" s="163"/>
      <c r="AB103" s="163"/>
      <c r="AC103" s="771"/>
      <c r="AD103" s="771"/>
      <c r="AE103" s="771">
        <v>10412929.5493342</v>
      </c>
    </row>
    <row r="104" spans="22:31">
      <c r="V104" s="159"/>
      <c r="W104" s="159"/>
      <c r="X104" s="173"/>
      <c r="Y104" s="173"/>
      <c r="Z104" s="173"/>
      <c r="AA104" s="177"/>
      <c r="AB104" s="177"/>
      <c r="AC104" s="173"/>
      <c r="AD104" s="173"/>
      <c r="AE104" s="173">
        <v>20136384.218744</v>
      </c>
    </row>
    <row r="105" spans="22:31">
      <c r="V105" s="159"/>
      <c r="W105" s="159"/>
      <c r="X105" s="173"/>
      <c r="Y105" s="173"/>
      <c r="Z105" s="173"/>
      <c r="AA105" s="177"/>
      <c r="AB105" s="177"/>
      <c r="AC105" s="173"/>
      <c r="AD105" s="173"/>
      <c r="AE105" s="173">
        <v>23195154.6587152</v>
      </c>
    </row>
    <row r="106" spans="22:31">
      <c r="V106" s="159"/>
      <c r="W106" s="159"/>
      <c r="X106" s="173"/>
      <c r="Y106" s="173"/>
      <c r="Z106" s="173"/>
      <c r="AA106" s="177"/>
      <c r="AB106" s="177"/>
      <c r="AC106" s="173"/>
      <c r="AD106" s="173"/>
      <c r="AE106" s="173">
        <v>26253925.0986864</v>
      </c>
    </row>
    <row r="107" spans="22:31">
      <c r="V107" s="159"/>
      <c r="W107" s="159"/>
      <c r="X107" s="173"/>
      <c r="Y107" s="173"/>
      <c r="Z107" s="173"/>
      <c r="AA107" s="177"/>
      <c r="AB107" s="177"/>
      <c r="AC107" s="173"/>
      <c r="AD107" s="173"/>
      <c r="AE107" s="173">
        <v>29312695.5386576</v>
      </c>
    </row>
    <row r="108" spans="22:31">
      <c r="V108" s="159"/>
      <c r="W108" s="159"/>
      <c r="X108" s="173"/>
      <c r="Y108" s="173"/>
      <c r="Z108" s="173"/>
      <c r="AA108" s="177"/>
      <c r="AB108" s="177"/>
      <c r="AC108" s="173"/>
      <c r="AD108" s="173"/>
      <c r="AE108" s="173">
        <v>32371465.9786288</v>
      </c>
    </row>
    <row r="109" spans="22:31">
      <c r="V109" s="159"/>
      <c r="W109" s="159"/>
      <c r="X109" s="173"/>
      <c r="Y109" s="173"/>
      <c r="Z109" s="173"/>
      <c r="AA109" s="177"/>
      <c r="AB109" s="177"/>
      <c r="AC109" s="173"/>
      <c r="AD109" s="173"/>
      <c r="AE109" s="173">
        <v>35430236.4185999</v>
      </c>
    </row>
    <row r="112" spans="22:31"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 t="s">
        <v>39</v>
      </c>
    </row>
    <row r="113" spans="22:31">
      <c r="V113" s="768"/>
      <c r="W113" s="768"/>
      <c r="X113" s="771"/>
      <c r="Y113" s="771"/>
      <c r="Z113" s="771"/>
      <c r="AA113" s="163"/>
      <c r="AB113" s="163"/>
      <c r="AC113" s="771"/>
      <c r="AD113" s="771"/>
      <c r="AE113" s="771">
        <v>10412929.5493342</v>
      </c>
    </row>
    <row r="114" spans="22:31">
      <c r="V114" s="159"/>
      <c r="W114" s="159"/>
      <c r="X114" s="173"/>
      <c r="Y114" s="173"/>
      <c r="Z114" s="173"/>
      <c r="AA114" s="177"/>
      <c r="AB114" s="177"/>
      <c r="AC114" s="173"/>
      <c r="AD114" s="173"/>
      <c r="AE114" s="173">
        <v>25136384.218744</v>
      </c>
    </row>
    <row r="115" spans="22:31">
      <c r="V115" s="159"/>
      <c r="W115" s="159"/>
      <c r="X115" s="173"/>
      <c r="Y115" s="173"/>
      <c r="Z115" s="173"/>
      <c r="AA115" s="177"/>
      <c r="AB115" s="177"/>
      <c r="AC115" s="173"/>
      <c r="AD115" s="173"/>
      <c r="AE115" s="173">
        <v>28695154.6587152</v>
      </c>
    </row>
    <row r="116" spans="22:31">
      <c r="V116" s="159"/>
      <c r="W116" s="159"/>
      <c r="X116" s="173"/>
      <c r="Y116" s="173"/>
      <c r="Z116" s="173"/>
      <c r="AA116" s="177"/>
      <c r="AB116" s="177"/>
      <c r="AC116" s="173"/>
      <c r="AD116" s="173"/>
      <c r="AE116" s="173">
        <v>32253925.0986864</v>
      </c>
    </row>
    <row r="117" spans="22:31">
      <c r="V117" s="159"/>
      <c r="W117" s="159"/>
      <c r="X117" s="173"/>
      <c r="Y117" s="173"/>
      <c r="Z117" s="173"/>
      <c r="AA117" s="177"/>
      <c r="AB117" s="177"/>
      <c r="AC117" s="173"/>
      <c r="AD117" s="173"/>
      <c r="AE117" s="173">
        <v>35812695.5386576</v>
      </c>
    </row>
    <row r="118" spans="22:31">
      <c r="V118" s="159"/>
      <c r="W118" s="159"/>
      <c r="X118" s="173"/>
      <c r="Y118" s="173"/>
      <c r="Z118" s="173"/>
      <c r="AA118" s="177"/>
      <c r="AB118" s="177"/>
      <c r="AC118" s="173"/>
      <c r="AD118" s="173"/>
      <c r="AE118" s="173">
        <v>39371465.9786288</v>
      </c>
    </row>
    <row r="119" spans="22:31">
      <c r="V119" s="159"/>
      <c r="W119" s="159"/>
      <c r="X119" s="173"/>
      <c r="Y119" s="173"/>
      <c r="Z119" s="173"/>
      <c r="AA119" s="177"/>
      <c r="AB119" s="177"/>
      <c r="AC119" s="173"/>
      <c r="AD119" s="173"/>
      <c r="AE119" s="173">
        <v>42930236.4185999</v>
      </c>
    </row>
    <row r="124" spans="22:31">
      <c r="V124" s="190"/>
      <c r="W124" s="190"/>
      <c r="X124" s="190"/>
      <c r="Y124" s="190"/>
      <c r="Z124" s="190"/>
      <c r="AA124" s="190"/>
      <c r="AB124" s="190"/>
      <c r="AC124" s="190"/>
      <c r="AD124" s="190"/>
      <c r="AE124" s="190" t="s">
        <v>39</v>
      </c>
    </row>
    <row r="125" spans="22:31">
      <c r="V125" s="768"/>
      <c r="W125" s="768"/>
      <c r="X125" s="771"/>
      <c r="Y125" s="771"/>
      <c r="Z125" s="771"/>
      <c r="AA125" s="163"/>
      <c r="AB125" s="163"/>
      <c r="AC125" s="771"/>
      <c r="AD125" s="771"/>
      <c r="AE125" s="771">
        <v>10412929.5493342</v>
      </c>
    </row>
    <row r="126" spans="22:31">
      <c r="V126" s="159"/>
      <c r="W126" s="159"/>
      <c r="X126" s="173"/>
      <c r="Y126" s="173"/>
      <c r="Z126" s="173"/>
      <c r="AA126" s="177"/>
      <c r="AB126" s="177"/>
      <c r="AC126" s="173"/>
      <c r="AD126" s="173"/>
      <c r="AE126" s="173">
        <v>17540595.2164052</v>
      </c>
    </row>
    <row r="127" spans="22:31">
      <c r="V127" s="159"/>
      <c r="W127" s="159"/>
      <c r="X127" s="173"/>
      <c r="Y127" s="173"/>
      <c r="Z127" s="173"/>
      <c r="AA127" s="177"/>
      <c r="AB127" s="177"/>
      <c r="AC127" s="173"/>
      <c r="AD127" s="173"/>
      <c r="AE127" s="173">
        <v>20339786.7561425</v>
      </c>
    </row>
    <row r="128" spans="22:31">
      <c r="V128" s="159"/>
      <c r="W128" s="159"/>
      <c r="X128" s="173"/>
      <c r="Y128" s="173"/>
      <c r="Z128" s="173"/>
      <c r="AA128" s="177"/>
      <c r="AB128" s="177"/>
      <c r="AC128" s="173"/>
      <c r="AD128" s="173"/>
      <c r="AE128" s="173">
        <v>23138978.2958798</v>
      </c>
    </row>
    <row r="129" spans="22:31">
      <c r="V129" s="159"/>
      <c r="W129" s="159"/>
      <c r="X129" s="173"/>
      <c r="Y129" s="173"/>
      <c r="Z129" s="173"/>
      <c r="AA129" s="177"/>
      <c r="AB129" s="177"/>
      <c r="AC129" s="173"/>
      <c r="AD129" s="173"/>
      <c r="AE129" s="173">
        <v>25938169.8356171</v>
      </c>
    </row>
    <row r="130" spans="22:31">
      <c r="V130" s="159"/>
      <c r="W130" s="159"/>
      <c r="X130" s="173"/>
      <c r="Y130" s="173"/>
      <c r="Z130" s="173"/>
      <c r="AA130" s="177"/>
      <c r="AB130" s="177"/>
      <c r="AC130" s="173"/>
      <c r="AD130" s="173"/>
      <c r="AE130" s="173">
        <v>28737361.3753544</v>
      </c>
    </row>
    <row r="131" spans="22:31">
      <c r="V131" s="159"/>
      <c r="W131" s="159"/>
      <c r="X131" s="173"/>
      <c r="Y131" s="173"/>
      <c r="Z131" s="173"/>
      <c r="AA131" s="177"/>
      <c r="AB131" s="177"/>
      <c r="AC131" s="173"/>
      <c r="AD131" s="173"/>
      <c r="AE131" s="173">
        <v>31536552.9150917</v>
      </c>
    </row>
    <row r="134" spans="22:31"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 t="s">
        <v>39</v>
      </c>
    </row>
    <row r="135" spans="22:31">
      <c r="V135" s="768"/>
      <c r="W135" s="768"/>
      <c r="X135" s="771"/>
      <c r="Y135" s="771"/>
      <c r="Z135" s="771"/>
      <c r="AA135" s="163"/>
      <c r="AB135" s="163"/>
      <c r="AC135" s="771"/>
      <c r="AD135" s="771"/>
      <c r="AE135" s="771">
        <v>10412929.5493342</v>
      </c>
    </row>
    <row r="136" spans="22:31">
      <c r="V136" s="159"/>
      <c r="W136" s="159"/>
      <c r="X136" s="173"/>
      <c r="Y136" s="173"/>
      <c r="Z136" s="173"/>
      <c r="AA136" s="177"/>
      <c r="AB136" s="177"/>
      <c r="AC136" s="173"/>
      <c r="AD136" s="173"/>
      <c r="AE136" s="173">
        <v>24548679.8190323</v>
      </c>
    </row>
    <row r="137" spans="22:31">
      <c r="V137" s="159"/>
      <c r="W137" s="159"/>
      <c r="X137" s="173"/>
      <c r="Y137" s="173"/>
      <c r="Z137" s="173"/>
      <c r="AA137" s="177"/>
      <c r="AB137" s="177"/>
      <c r="AC137" s="173"/>
      <c r="AD137" s="173"/>
      <c r="AE137" s="173">
        <v>28048679.8190323</v>
      </c>
    </row>
    <row r="138" spans="22:31">
      <c r="V138" s="159"/>
      <c r="W138" s="159"/>
      <c r="X138" s="173"/>
      <c r="Y138" s="173"/>
      <c r="Z138" s="173"/>
      <c r="AA138" s="177"/>
      <c r="AB138" s="177"/>
      <c r="AC138" s="173"/>
      <c r="AD138" s="173"/>
      <c r="AE138" s="173">
        <v>31548679.8190323</v>
      </c>
    </row>
    <row r="139" spans="22:31">
      <c r="V139" s="159"/>
      <c r="W139" s="159"/>
      <c r="X139" s="173"/>
      <c r="Y139" s="173"/>
      <c r="Z139" s="173"/>
      <c r="AA139" s="177"/>
      <c r="AB139" s="177"/>
      <c r="AC139" s="173"/>
      <c r="AD139" s="173"/>
      <c r="AE139" s="173">
        <v>35048679.8190323</v>
      </c>
    </row>
    <row r="140" spans="22:31">
      <c r="V140" s="159"/>
      <c r="W140" s="159"/>
      <c r="X140" s="173"/>
      <c r="Y140" s="173"/>
      <c r="Z140" s="173"/>
      <c r="AA140" s="177"/>
      <c r="AB140" s="177"/>
      <c r="AC140" s="173"/>
      <c r="AD140" s="173"/>
      <c r="AE140" s="173">
        <v>38548679.8190323</v>
      </c>
    </row>
    <row r="141" spans="22:31">
      <c r="V141" s="159"/>
      <c r="W141" s="159"/>
      <c r="X141" s="173"/>
      <c r="Y141" s="173"/>
      <c r="Z141" s="173"/>
      <c r="AA141" s="177"/>
      <c r="AB141" s="177"/>
      <c r="AC141" s="173"/>
      <c r="AD141" s="173"/>
      <c r="AE141" s="173">
        <v>42048679.8190323</v>
      </c>
    </row>
    <row r="144" spans="22:31">
      <c r="V144" s="190"/>
      <c r="W144" s="190"/>
      <c r="X144" s="190"/>
      <c r="Y144" s="190"/>
      <c r="Z144" s="190"/>
      <c r="AA144" s="190"/>
      <c r="AB144" s="190"/>
      <c r="AC144" s="190"/>
      <c r="AD144" s="190"/>
      <c r="AE144" s="190" t="s">
        <v>39</v>
      </c>
    </row>
    <row r="145" spans="22:31">
      <c r="V145" s="768"/>
      <c r="W145" s="768"/>
      <c r="X145" s="771"/>
      <c r="Y145" s="771"/>
      <c r="Z145" s="771"/>
      <c r="AA145" s="163"/>
      <c r="AB145" s="163"/>
      <c r="AC145" s="771"/>
      <c r="AD145" s="771"/>
      <c r="AE145" s="771">
        <v>10412929.5493342</v>
      </c>
    </row>
    <row r="146" spans="22:31">
      <c r="V146" s="159"/>
      <c r="W146" s="159"/>
      <c r="X146" s="173"/>
      <c r="Y146" s="173"/>
      <c r="Z146" s="173"/>
      <c r="AA146" s="177"/>
      <c r="AB146" s="177"/>
      <c r="AC146" s="173"/>
      <c r="AD146" s="173"/>
      <c r="AE146" s="173">
        <v>29548679.8190323</v>
      </c>
    </row>
    <row r="147" spans="22:31">
      <c r="V147" s="159"/>
      <c r="W147" s="159"/>
      <c r="X147" s="173"/>
      <c r="Y147" s="173"/>
      <c r="Z147" s="173"/>
      <c r="AA147" s="177"/>
      <c r="AB147" s="177"/>
      <c r="AC147" s="173"/>
      <c r="AD147" s="173"/>
      <c r="AE147" s="173">
        <v>33548679.8190323</v>
      </c>
    </row>
    <row r="148" spans="22:31">
      <c r="V148" s="159"/>
      <c r="W148" s="159"/>
      <c r="X148" s="173"/>
      <c r="Y148" s="173"/>
      <c r="Z148" s="173"/>
      <c r="AA148" s="177"/>
      <c r="AB148" s="177"/>
      <c r="AC148" s="173"/>
      <c r="AD148" s="173"/>
      <c r="AE148" s="173">
        <v>37548679.8190323</v>
      </c>
    </row>
    <row r="149" spans="22:31">
      <c r="V149" s="159"/>
      <c r="W149" s="159"/>
      <c r="X149" s="173"/>
      <c r="Y149" s="173"/>
      <c r="Z149" s="173"/>
      <c r="AA149" s="177"/>
      <c r="AB149" s="177"/>
      <c r="AC149" s="173"/>
      <c r="AD149" s="173"/>
      <c r="AE149" s="173">
        <v>41548679.8190323</v>
      </c>
    </row>
    <row r="150" spans="22:31">
      <c r="V150" s="159"/>
      <c r="W150" s="159"/>
      <c r="X150" s="173"/>
      <c r="Y150" s="173"/>
      <c r="Z150" s="173"/>
      <c r="AA150" s="177"/>
      <c r="AB150" s="177"/>
      <c r="AC150" s="173"/>
      <c r="AD150" s="173"/>
      <c r="AE150" s="173">
        <v>45548679.8190323</v>
      </c>
    </row>
    <row r="151" spans="22:31">
      <c r="V151" s="159"/>
      <c r="W151" s="159"/>
      <c r="X151" s="173"/>
      <c r="Y151" s="173"/>
      <c r="Z151" s="173"/>
      <c r="AA151" s="177"/>
      <c r="AB151" s="177"/>
      <c r="AC151" s="173"/>
      <c r="AD151" s="173"/>
      <c r="AE151" s="173">
        <v>49548679.8190323</v>
      </c>
    </row>
  </sheetData>
  <autoFilter xmlns:etc="http://www.wps.cn/officeDocument/2017/etCustomData" ref="C5:J43" etc:filterBottomFollowUsedRange="0">
    <extLst/>
  </autoFilter>
  <mergeCells count="9">
    <mergeCell ref="E3:J3"/>
    <mergeCell ref="E4:J4"/>
    <mergeCell ref="E5:E6"/>
    <mergeCell ref="F5:F6"/>
    <mergeCell ref="G5:G6"/>
    <mergeCell ref="H5:H6"/>
    <mergeCell ref="I5:I6"/>
    <mergeCell ref="J5:J6"/>
    <mergeCell ref="AG21:AG23"/>
  </mergeCells>
  <printOptions horizontalCentered="1"/>
  <pageMargins left="0.236220472440945" right="0.236220472440945" top="0.748031496062992" bottom="0.748031496062992" header="0.31496062992126" footer="0.31496062992126"/>
  <pageSetup paperSize="9" scale="86" fitToHeight="2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C1:S35"/>
  <sheetViews>
    <sheetView showGridLines="0" topLeftCell="B1" workbookViewId="0">
      <selection activeCell="E19" sqref="E19"/>
    </sheetView>
  </sheetViews>
  <sheetFormatPr defaultColWidth="9.36363636363636" defaultRowHeight="14"/>
  <cols>
    <col min="1" max="1" width="9.36363636363636" style="233"/>
    <col min="2" max="2" width="2.81818181818182" style="233" customWidth="1"/>
    <col min="3" max="4" width="12.6363636363636" style="233" customWidth="1"/>
    <col min="5" max="5" width="15.4545454545455" style="233" customWidth="1"/>
    <col min="6" max="7" width="12.6363636363636" style="233" customWidth="1"/>
    <col min="8" max="8" width="16.4545454545455" style="233" customWidth="1"/>
    <col min="9" max="9" width="12.6363636363636" style="233" customWidth="1"/>
    <col min="10" max="11" width="14.4545454545455" style="233" customWidth="1"/>
    <col min="12" max="12" width="17.9090909090909" style="233" customWidth="1"/>
    <col min="13" max="13" width="13.6363636363636" style="233" customWidth="1"/>
    <col min="14" max="15" width="13.3636363636364" style="233" customWidth="1"/>
    <col min="16" max="16" width="11.1818181818182" style="233" customWidth="1"/>
    <col min="17" max="17" width="8.81818181818182" style="233" hidden="1" customWidth="1"/>
    <col min="18" max="18" width="13.1818181818182" style="233" customWidth="1"/>
    <col min="19" max="19" width="10.3636363636364" style="233" customWidth="1"/>
    <col min="20" max="16384" width="9.36363636363636" style="233"/>
  </cols>
  <sheetData>
    <row r="1" spans="4:4">
      <c r="D1" s="234" t="s">
        <v>631</v>
      </c>
    </row>
    <row r="3" spans="3:15">
      <c r="C3" s="235" t="s">
        <v>0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56"/>
    </row>
    <row r="4" spans="3:15">
      <c r="C4" s="236" t="s">
        <v>632</v>
      </c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57"/>
    </row>
    <row r="5" s="232" customFormat="1" ht="15" customHeight="1" spans="3:17">
      <c r="C5" s="237" t="s">
        <v>154</v>
      </c>
      <c r="D5" s="238" t="s">
        <v>633</v>
      </c>
      <c r="E5" s="239"/>
      <c r="F5" s="240"/>
      <c r="G5" s="238" t="s">
        <v>634</v>
      </c>
      <c r="H5" s="239"/>
      <c r="I5" s="258"/>
      <c r="J5" s="259" t="s">
        <v>635</v>
      </c>
      <c r="K5" s="259" t="s">
        <v>110</v>
      </c>
      <c r="L5" s="259" t="s">
        <v>65</v>
      </c>
      <c r="M5" s="242" t="s">
        <v>58</v>
      </c>
      <c r="N5" s="242"/>
      <c r="P5" s="260"/>
      <c r="Q5" s="233"/>
    </row>
    <row r="6" s="232" customFormat="1" spans="3:17">
      <c r="C6" s="241"/>
      <c r="D6" s="242" t="s">
        <v>139</v>
      </c>
      <c r="E6" s="242" t="s">
        <v>9</v>
      </c>
      <c r="F6" s="242" t="s">
        <v>636</v>
      </c>
      <c r="G6" s="242" t="s">
        <v>139</v>
      </c>
      <c r="H6" s="242" t="s">
        <v>9</v>
      </c>
      <c r="I6" s="242" t="s">
        <v>636</v>
      </c>
      <c r="J6" s="261"/>
      <c r="K6" s="261"/>
      <c r="L6" s="261"/>
      <c r="M6" s="242" t="s">
        <v>139</v>
      </c>
      <c r="N6" s="242" t="s">
        <v>9</v>
      </c>
      <c r="P6" s="260"/>
      <c r="Q6" s="233"/>
    </row>
    <row r="7" hidden="1" spans="3:15">
      <c r="C7" s="243">
        <v>45231</v>
      </c>
      <c r="D7" s="244">
        <f>'[1]Sales-Nov'!D35</f>
        <v>17475.21</v>
      </c>
      <c r="E7" s="244">
        <f>'[1]Sales-Nov'!E35-'[1]Sales-Nov'!E31-'[1]Sales-Nov'!E30-'[1]Sales-Nov'!E29</f>
        <v>14009927.32</v>
      </c>
      <c r="F7" s="245">
        <f>E7/(E7+H7)</f>
        <v>0.445590082314534</v>
      </c>
      <c r="G7" s="246">
        <f>'[1]Sales-Nov'!F35</f>
        <v>20358.14</v>
      </c>
      <c r="H7" s="246">
        <f>'[1]Sales-Nov'!G35-'[1]Sales-Nov'!G29</f>
        <v>17431363.4</v>
      </c>
      <c r="I7" s="262">
        <f>H7/(E7+H7)</f>
        <v>0.554409917685466</v>
      </c>
      <c r="J7" s="246">
        <f>'[1]Sales-Nov'!I40</f>
        <v>898570.17</v>
      </c>
      <c r="K7" s="246">
        <v>0</v>
      </c>
      <c r="L7" s="246">
        <v>0</v>
      </c>
      <c r="M7" s="263">
        <f t="shared" ref="M7:M20" si="0">+D7+G7</f>
        <v>37833.35</v>
      </c>
      <c r="N7" s="263">
        <f t="shared" ref="N7:N20" si="1">+E7+H7+J7+L7+K7</f>
        <v>32339860.89</v>
      </c>
      <c r="O7" s="264"/>
    </row>
    <row r="8" hidden="1" spans="3:15">
      <c r="C8" s="243">
        <v>45261</v>
      </c>
      <c r="D8" s="244">
        <f>'[1]Sales - Dec'!D36</f>
        <v>12998.88</v>
      </c>
      <c r="E8" s="244">
        <f>'[1]Sales - Dec'!E36-'[1]Sales - Dec'!E31</f>
        <v>10653671.29</v>
      </c>
      <c r="F8" s="245">
        <f t="shared" ref="F8:F20" si="2">E8/(E8+H8)</f>
        <v>0.443445053902967</v>
      </c>
      <c r="G8" s="246">
        <f>'[1]Sales - Dec'!F36</f>
        <v>17099.71</v>
      </c>
      <c r="H8" s="246">
        <f>'[1]Sales - Dec'!G36</f>
        <v>13371111.93</v>
      </c>
      <c r="I8" s="262">
        <f t="shared" ref="I8:I20" si="3">H8/(E8+H8)</f>
        <v>0.556554946097033</v>
      </c>
      <c r="J8" s="246">
        <f>'[1]Sales - Dec'!I41</f>
        <v>679037.96</v>
      </c>
      <c r="K8" s="246">
        <f>'[1]Sales - Dec'!I31+'[1]Sales - Dec'!I33</f>
        <v>235228.9</v>
      </c>
      <c r="L8" s="246">
        <f>'[1]Sales - Dec'!I35</f>
        <v>228810.73</v>
      </c>
      <c r="M8" s="263">
        <f t="shared" si="0"/>
        <v>30098.59</v>
      </c>
      <c r="N8" s="263">
        <f t="shared" si="1"/>
        <v>25167860.81</v>
      </c>
      <c r="O8" s="264"/>
    </row>
    <row r="9" hidden="1" spans="3:15">
      <c r="C9" s="243">
        <v>45292</v>
      </c>
      <c r="D9" s="244">
        <f>'[1]Sales - Jan'!D36</f>
        <v>14118.68</v>
      </c>
      <c r="E9" s="244">
        <f>'[1]Sales - Jan'!E36-'[1]Sales - Jan'!E31</f>
        <v>11539437.41</v>
      </c>
      <c r="F9" s="245">
        <f t="shared" si="2"/>
        <v>0.409654389921806</v>
      </c>
      <c r="G9" s="246">
        <f>'[1]Sales - Jan'!F36</f>
        <v>21489.09</v>
      </c>
      <c r="H9" s="246">
        <f>'[1]Sales - Jan'!G36</f>
        <v>16629276.74</v>
      </c>
      <c r="I9" s="262">
        <f t="shared" si="3"/>
        <v>0.590345610078194</v>
      </c>
      <c r="J9" s="246">
        <f>'[1]Sales - Jan'!I41</f>
        <v>831463.837</v>
      </c>
      <c r="K9" s="246">
        <f>'[1]Sales - Jan'!I33+'[1]Sales - Jan'!I31</f>
        <v>224438</v>
      </c>
      <c r="L9" s="246">
        <f>'[1]Sales - Jan'!I35</f>
        <v>353861.975</v>
      </c>
      <c r="M9" s="263">
        <f t="shared" si="0"/>
        <v>35607.77</v>
      </c>
      <c r="N9" s="263">
        <f t="shared" si="1"/>
        <v>29578477.962</v>
      </c>
      <c r="O9" s="264"/>
    </row>
    <row r="10" hidden="1" spans="3:15">
      <c r="C10" s="243">
        <v>45323</v>
      </c>
      <c r="D10" s="244">
        <f>'[1]Sales - Feb'!D36</f>
        <v>17578.23</v>
      </c>
      <c r="E10" s="244">
        <f>'[1]Sales - Feb'!E36-SUM('[1]Sales - Feb'!E30:E34)</f>
        <v>14427405.9</v>
      </c>
      <c r="F10" s="245">
        <f t="shared" si="2"/>
        <v>0.382150061909985</v>
      </c>
      <c r="G10" s="246">
        <f>'[1]Sales - Feb'!F36</f>
        <v>30050.904</v>
      </c>
      <c r="H10" s="246">
        <f>'[1]Sales - Feb'!G36-SUM('[1]Sales - Feb'!G30:G34)</f>
        <v>23325841.68</v>
      </c>
      <c r="I10" s="262">
        <f t="shared" si="3"/>
        <v>0.617849938090015</v>
      </c>
      <c r="J10" s="246">
        <f>'[1]Sales - Feb'!I41</f>
        <v>1166292.084</v>
      </c>
      <c r="K10" s="246">
        <f>SUM('[1]Sales - Feb'!I30:I34)</f>
        <v>1125142</v>
      </c>
      <c r="L10" s="246">
        <f>'[1]Sales - Feb'!I35</f>
        <v>557255.175</v>
      </c>
      <c r="M10" s="263">
        <f t="shared" si="0"/>
        <v>47629.134</v>
      </c>
      <c r="N10" s="263">
        <f t="shared" si="1"/>
        <v>40601936.839</v>
      </c>
      <c r="O10" s="264"/>
    </row>
    <row r="11" hidden="1" spans="3:15">
      <c r="C11" s="243">
        <v>45352</v>
      </c>
      <c r="D11" s="244">
        <f>'[1]Sales - Mar'!D28</f>
        <v>13540.55</v>
      </c>
      <c r="E11" s="244">
        <f>'[1]Sales - Mar'!E28</f>
        <v>11266811.66</v>
      </c>
      <c r="F11" s="245">
        <f t="shared" si="2"/>
        <v>0.272867055774505</v>
      </c>
      <c r="G11" s="246">
        <f>'[1]Sales - Mar'!F39</f>
        <v>37358.12</v>
      </c>
      <c r="H11" s="246">
        <f>'[1]Sales - Mar'!G28</f>
        <v>30023668.16</v>
      </c>
      <c r="I11" s="262">
        <f t="shared" si="3"/>
        <v>0.727132944225495</v>
      </c>
      <c r="J11" s="246">
        <f>'[1]Sales - Mar'!G44</f>
        <v>1501183.408</v>
      </c>
      <c r="K11" s="246">
        <f>'[1]Sales - Mar'!I33+'[1]Sales - Mar'!I36+'[1]Sales - Mar'!I37</f>
        <v>1350822</v>
      </c>
      <c r="L11" s="246">
        <f>'[1]Sales - Mar'!I38</f>
        <v>504305.125999999</v>
      </c>
      <c r="M11" s="263">
        <f t="shared" si="0"/>
        <v>50898.67</v>
      </c>
      <c r="N11" s="263">
        <f t="shared" si="1"/>
        <v>44646790.354</v>
      </c>
      <c r="O11" s="264"/>
    </row>
    <row r="12" hidden="1" spans="3:15">
      <c r="C12" s="243">
        <v>45383</v>
      </c>
      <c r="D12" s="244">
        <f>'[1]Sales - Apr'!D29</f>
        <v>9903.75</v>
      </c>
      <c r="E12" s="244">
        <f>'[1]Sales - Apr'!E29</f>
        <v>7544225</v>
      </c>
      <c r="F12" s="245">
        <f t="shared" si="2"/>
        <v>0.177317587762034</v>
      </c>
      <c r="G12" s="246">
        <f>'[1]Sales - Apr'!F29</f>
        <v>47229.141</v>
      </c>
      <c r="H12" s="246">
        <f>'[1]Sales - Apr'!G29</f>
        <v>35002174.91</v>
      </c>
      <c r="I12" s="262">
        <f t="shared" si="3"/>
        <v>0.822682412237966</v>
      </c>
      <c r="J12" s="246">
        <f>'[1]Sales - Apr'!G45</f>
        <v>1751022.216</v>
      </c>
      <c r="K12" s="246">
        <f>G35</f>
        <v>599336.08</v>
      </c>
      <c r="L12" s="246">
        <f>'[1]Sales - Apr'!I39</f>
        <v>814894.3943</v>
      </c>
      <c r="M12" s="263">
        <f t="shared" si="0"/>
        <v>57132.891</v>
      </c>
      <c r="N12" s="263">
        <f t="shared" si="1"/>
        <v>45711652.6003</v>
      </c>
      <c r="O12" s="264"/>
    </row>
    <row r="13" hidden="1" spans="3:18">
      <c r="C13" s="243">
        <v>45413</v>
      </c>
      <c r="D13" s="244" t="e">
        <f>'Input Sheet'!#REF!</f>
        <v>#REF!</v>
      </c>
      <c r="E13" s="244" t="e">
        <f>'Input Sheet'!#REF!</f>
        <v>#REF!</v>
      </c>
      <c r="F13" s="245" t="e">
        <f t="shared" si="2"/>
        <v>#REF!</v>
      </c>
      <c r="G13" s="246" t="e">
        <f>'Input Sheet'!#REF!</f>
        <v>#REF!</v>
      </c>
      <c r="H13" s="246" t="e">
        <f>'Input Sheet'!#REF!</f>
        <v>#REF!</v>
      </c>
      <c r="I13" s="262" t="e">
        <f t="shared" si="3"/>
        <v>#REF!</v>
      </c>
      <c r="J13" s="246" t="e">
        <f>'Input Sheet'!#REF!</f>
        <v>#REF!</v>
      </c>
      <c r="K13" s="246" t="e">
        <f>$H$35</f>
        <v>#REF!</v>
      </c>
      <c r="L13" s="246">
        <f>'[1]Profit computation-May'!$J$55</f>
        <v>1171444.555</v>
      </c>
      <c r="M13" s="263" t="e">
        <f t="shared" si="0"/>
        <v>#REF!</v>
      </c>
      <c r="N13" s="263" t="e">
        <f t="shared" si="1"/>
        <v>#REF!</v>
      </c>
      <c r="O13" s="264"/>
      <c r="R13" s="270"/>
    </row>
    <row r="14" spans="3:18">
      <c r="C14" s="243">
        <v>45444</v>
      </c>
      <c r="D14" s="244" t="e">
        <f>'Input Sheet'!#REF!</f>
        <v>#REF!</v>
      </c>
      <c r="E14" s="244" t="e">
        <f>'Input Sheet'!#REF!</f>
        <v>#REF!</v>
      </c>
      <c r="F14" s="245" t="e">
        <f t="shared" si="2"/>
        <v>#REF!</v>
      </c>
      <c r="G14" s="246" t="e">
        <f>'Input Sheet'!#REF!</f>
        <v>#REF!</v>
      </c>
      <c r="H14" s="246" t="e">
        <f>'Input Sheet'!#REF!</f>
        <v>#REF!</v>
      </c>
      <c r="I14" s="262" t="e">
        <f t="shared" si="3"/>
        <v>#REF!</v>
      </c>
      <c r="J14" s="246" t="e">
        <f>'Input Sheet'!#REF!</f>
        <v>#REF!</v>
      </c>
      <c r="K14" s="246"/>
      <c r="L14" s="246">
        <f>'[1]Profit computation-Jun'!J58</f>
        <v>661256</v>
      </c>
      <c r="M14" s="263" t="e">
        <f t="shared" si="0"/>
        <v>#REF!</v>
      </c>
      <c r="N14" s="263" t="e">
        <f t="shared" si="1"/>
        <v>#REF!</v>
      </c>
      <c r="O14" s="264"/>
      <c r="R14" s="270"/>
    </row>
    <row r="15" spans="3:19">
      <c r="C15" s="243">
        <v>45474</v>
      </c>
      <c r="D15" s="244" t="e">
        <f>'Input Sheet'!#REF!</f>
        <v>#REF!</v>
      </c>
      <c r="E15" s="244" t="e">
        <f>'Input Sheet'!#REF!</f>
        <v>#REF!</v>
      </c>
      <c r="F15" s="245" t="e">
        <f t="shared" si="2"/>
        <v>#REF!</v>
      </c>
      <c r="G15" s="246" t="e">
        <f>'Input Sheet'!#REF!</f>
        <v>#REF!</v>
      </c>
      <c r="H15" s="246" t="e">
        <f>'Input Sheet'!#REF!</f>
        <v>#REF!</v>
      </c>
      <c r="I15" s="262" t="e">
        <f t="shared" si="3"/>
        <v>#REF!</v>
      </c>
      <c r="J15" s="246" t="e">
        <f>'Input Sheet'!#REF!</f>
        <v>#REF!</v>
      </c>
      <c r="K15" s="246"/>
      <c r="L15" s="246">
        <f>'[1]Profit computation-Jul'!J52</f>
        <v>592986.19</v>
      </c>
      <c r="M15" s="263" t="e">
        <f t="shared" si="0"/>
        <v>#REF!</v>
      </c>
      <c r="N15" s="263" t="e">
        <f t="shared" si="1"/>
        <v>#REF!</v>
      </c>
      <c r="O15" s="264"/>
      <c r="R15" s="270"/>
      <c r="S15" s="270"/>
    </row>
    <row r="16" spans="3:19">
      <c r="C16" s="243">
        <v>45505</v>
      </c>
      <c r="D16" s="244" t="e">
        <f>'Input Sheet'!#REF!</f>
        <v>#REF!</v>
      </c>
      <c r="E16" s="244" t="e">
        <f>'Input Sheet'!#REF!</f>
        <v>#REF!</v>
      </c>
      <c r="F16" s="245" t="e">
        <f t="shared" si="2"/>
        <v>#REF!</v>
      </c>
      <c r="G16" s="246" t="e">
        <f>'Input Sheet'!#REF!</f>
        <v>#REF!</v>
      </c>
      <c r="H16" s="246" t="e">
        <f>'Input Sheet'!#REF!</f>
        <v>#REF!</v>
      </c>
      <c r="I16" s="262" t="e">
        <f t="shared" si="3"/>
        <v>#REF!</v>
      </c>
      <c r="J16" s="246" t="e">
        <f>'Input Sheet'!#REF!</f>
        <v>#REF!</v>
      </c>
      <c r="K16" s="246" t="e">
        <f>$K$35</f>
        <v>#REF!</v>
      </c>
      <c r="L16" s="246">
        <f>'[1]Profit computation-Aug'!J53</f>
        <v>150697</v>
      </c>
      <c r="M16" s="263" t="e">
        <f t="shared" si="0"/>
        <v>#REF!</v>
      </c>
      <c r="N16" s="263" t="e">
        <f t="shared" si="1"/>
        <v>#REF!</v>
      </c>
      <c r="O16" s="264"/>
      <c r="R16" s="270"/>
      <c r="S16" s="270"/>
    </row>
    <row r="17" spans="3:19">
      <c r="C17" s="243">
        <v>45536</v>
      </c>
      <c r="D17" s="244" t="e">
        <f>'Input Sheet'!#REF!</f>
        <v>#REF!</v>
      </c>
      <c r="E17" s="244" t="e">
        <f>'Input Sheet'!#REF!</f>
        <v>#REF!</v>
      </c>
      <c r="F17" s="245" t="e">
        <f t="shared" si="2"/>
        <v>#REF!</v>
      </c>
      <c r="G17" s="246" t="e">
        <f>'Input Sheet'!#REF!</f>
        <v>#REF!</v>
      </c>
      <c r="H17" s="246" t="e">
        <f>'Input Sheet'!#REF!</f>
        <v>#REF!</v>
      </c>
      <c r="I17" s="262" t="e">
        <f t="shared" si="3"/>
        <v>#REF!</v>
      </c>
      <c r="J17" s="246" t="e">
        <f>'Input Sheet'!#REF!</f>
        <v>#REF!</v>
      </c>
      <c r="K17" s="246"/>
      <c r="L17" s="246">
        <f>'[1]Profit computation-Sep'!J53</f>
        <v>468962.209999999</v>
      </c>
      <c r="M17" s="263" t="e">
        <f t="shared" si="0"/>
        <v>#REF!</v>
      </c>
      <c r="N17" s="263" t="e">
        <f t="shared" si="1"/>
        <v>#REF!</v>
      </c>
      <c r="O17" s="264"/>
      <c r="R17" s="270"/>
      <c r="S17" s="270"/>
    </row>
    <row r="18" spans="3:19">
      <c r="C18" s="243">
        <v>45566</v>
      </c>
      <c r="D18" s="244" t="e">
        <f>'Input Sheet'!#REF!</f>
        <v>#REF!</v>
      </c>
      <c r="E18" s="244" t="e">
        <f>'Input Sheet'!#REF!</f>
        <v>#REF!</v>
      </c>
      <c r="F18" s="245" t="e">
        <f t="shared" si="2"/>
        <v>#REF!</v>
      </c>
      <c r="G18" s="246" t="e">
        <f>'Input Sheet'!#REF!</f>
        <v>#REF!</v>
      </c>
      <c r="H18" s="246" t="e">
        <f>'Input Sheet'!#REF!</f>
        <v>#REF!</v>
      </c>
      <c r="I18" s="262" t="e">
        <f t="shared" si="3"/>
        <v>#REF!</v>
      </c>
      <c r="J18" s="246" t="e">
        <f>'Input Sheet'!#REF!</f>
        <v>#REF!</v>
      </c>
      <c r="K18" s="246" t="e">
        <f>$L$35</f>
        <v>#REF!</v>
      </c>
      <c r="L18" s="246">
        <f>'[1]Profit comparison'!AC62</f>
        <v>64762.5600000001</v>
      </c>
      <c r="M18" s="263" t="e">
        <f t="shared" si="0"/>
        <v>#REF!</v>
      </c>
      <c r="N18" s="263" t="e">
        <f t="shared" si="1"/>
        <v>#REF!</v>
      </c>
      <c r="O18" s="264"/>
      <c r="R18" s="270"/>
      <c r="S18" s="270"/>
    </row>
    <row r="19" spans="3:19">
      <c r="C19" s="243">
        <v>45597</v>
      </c>
      <c r="D19" s="244" t="e">
        <f>'Input Sheet'!#REF!</f>
        <v>#REF!</v>
      </c>
      <c r="E19" s="244" t="e">
        <f>'Input Sheet'!#REF!</f>
        <v>#REF!</v>
      </c>
      <c r="F19" s="245" t="e">
        <f t="shared" si="2"/>
        <v>#REF!</v>
      </c>
      <c r="G19" s="246" t="e">
        <f>'Input Sheet'!#REF!</f>
        <v>#REF!</v>
      </c>
      <c r="H19" s="246" t="e">
        <f>'Input Sheet'!#REF!</f>
        <v>#REF!</v>
      </c>
      <c r="I19" s="262" t="e">
        <f t="shared" si="3"/>
        <v>#REF!</v>
      </c>
      <c r="J19" s="246" t="e">
        <f>'Input Sheet'!#REF!</f>
        <v>#REF!</v>
      </c>
      <c r="K19" s="246" t="e">
        <f>$M$35-M31</f>
        <v>#REF!</v>
      </c>
      <c r="L19" s="246" t="e">
        <f>M31</f>
        <v>#REF!</v>
      </c>
      <c r="M19" s="263" t="e">
        <f t="shared" si="0"/>
        <v>#REF!</v>
      </c>
      <c r="N19" s="263" t="e">
        <f t="shared" si="1"/>
        <v>#REF!</v>
      </c>
      <c r="O19" s="264"/>
      <c r="R19" s="270"/>
      <c r="S19" s="270"/>
    </row>
    <row r="20" spans="3:19">
      <c r="C20" s="243">
        <v>45627</v>
      </c>
      <c r="D20" s="244">
        <f>'Input Sheet'!D33</f>
        <v>0</v>
      </c>
      <c r="E20" s="244">
        <f>'Input Sheet'!E33</f>
        <v>0</v>
      </c>
      <c r="F20" s="245" t="e">
        <f t="shared" si="2"/>
        <v>#DIV/0!</v>
      </c>
      <c r="G20" s="246">
        <f>'Input Sheet'!F33</f>
        <v>0</v>
      </c>
      <c r="H20" s="246">
        <f>'Input Sheet'!G33</f>
        <v>0</v>
      </c>
      <c r="I20" s="262" t="e">
        <f t="shared" si="3"/>
        <v>#DIV/0!</v>
      </c>
      <c r="J20" s="246">
        <f>'Input Sheet'!I38</f>
        <v>0</v>
      </c>
      <c r="K20" s="246">
        <f>$N$35-N31</f>
        <v>0</v>
      </c>
      <c r="L20" s="246">
        <f>N32</f>
        <v>0</v>
      </c>
      <c r="M20" s="263">
        <f t="shared" si="0"/>
        <v>0</v>
      </c>
      <c r="N20" s="263">
        <f t="shared" si="1"/>
        <v>0</v>
      </c>
      <c r="O20" s="264"/>
      <c r="R20" s="270"/>
      <c r="S20" s="270"/>
    </row>
    <row r="21" spans="3:19">
      <c r="C21" s="243">
        <v>45658</v>
      </c>
      <c r="D21" s="244"/>
      <c r="E21" s="244"/>
      <c r="F21" s="245"/>
      <c r="G21" s="246"/>
      <c r="H21" s="246"/>
      <c r="I21" s="262"/>
      <c r="J21" s="246"/>
      <c r="K21" s="246"/>
      <c r="L21" s="246"/>
      <c r="M21" s="263"/>
      <c r="N21" s="263"/>
      <c r="O21" s="264"/>
      <c r="R21" s="270"/>
      <c r="S21" s="270"/>
    </row>
    <row r="22" spans="3:15">
      <c r="C22" s="247" t="s">
        <v>58</v>
      </c>
      <c r="D22" s="248" t="e">
        <f>SUM(D7:D21)</f>
        <v>#REF!</v>
      </c>
      <c r="E22" s="248" t="e">
        <f>SUM(E7:E21)</f>
        <v>#REF!</v>
      </c>
      <c r="F22" s="248"/>
      <c r="G22" s="249" t="e">
        <f>SUM(G7:G21)</f>
        <v>#REF!</v>
      </c>
      <c r="H22" s="249" t="e">
        <f>SUM(H7:H21)</f>
        <v>#REF!</v>
      </c>
      <c r="I22" s="249"/>
      <c r="J22" s="249" t="e">
        <f>SUM(J7:J21)</f>
        <v>#REF!</v>
      </c>
      <c r="K22" s="249" t="e">
        <f>SUM(K7:K21)</f>
        <v>#REF!</v>
      </c>
      <c r="L22" s="249" t="e">
        <f>SUM(L7:L21)</f>
        <v>#REF!</v>
      </c>
      <c r="M22" s="265" t="e">
        <f>SUM(M7:M21)</f>
        <v>#REF!</v>
      </c>
      <c r="N22" s="265" t="e">
        <f t="shared" ref="N22" si="4">SUM(N7:N21)</f>
        <v>#REF!</v>
      </c>
      <c r="O22" s="266"/>
    </row>
    <row r="24" spans="4:4">
      <c r="D24" s="247" t="s">
        <v>637</v>
      </c>
    </row>
    <row r="25" spans="4:17">
      <c r="D25" s="250"/>
      <c r="E25" s="251" t="s">
        <v>275</v>
      </c>
      <c r="F25" s="252">
        <v>45352</v>
      </c>
      <c r="G25" s="252">
        <v>45383</v>
      </c>
      <c r="H25" s="252">
        <v>45413</v>
      </c>
      <c r="I25" s="252">
        <v>45444</v>
      </c>
      <c r="J25" s="252">
        <v>45474</v>
      </c>
      <c r="K25" s="252">
        <v>45505</v>
      </c>
      <c r="L25" s="252">
        <v>45566</v>
      </c>
      <c r="M25" s="252">
        <v>45597</v>
      </c>
      <c r="N25" s="252">
        <v>45627</v>
      </c>
      <c r="O25" s="252">
        <v>45658</v>
      </c>
      <c r="P25" s="267" t="s">
        <v>58</v>
      </c>
      <c r="Q25" s="252">
        <v>45231</v>
      </c>
    </row>
    <row r="26" spans="4:17">
      <c r="D26" s="253"/>
      <c r="E26" s="254" t="s">
        <v>638</v>
      </c>
      <c r="F26" s="189">
        <v>216682</v>
      </c>
      <c r="G26" s="189">
        <f>'[1]Sales - Apr'!I34</f>
        <v>137232</v>
      </c>
      <c r="H26" s="189">
        <f>'[1]Sales - Apr'!J34</f>
        <v>0</v>
      </c>
      <c r="I26" s="189">
        <f>'[1]Sales - Apr'!K34</f>
        <v>0</v>
      </c>
      <c r="J26" s="268"/>
      <c r="K26" s="268"/>
      <c r="L26" s="268"/>
      <c r="M26" s="268"/>
      <c r="N26" s="268"/>
      <c r="O26" s="268"/>
      <c r="P26" s="255">
        <f>SUM(F26:O26)</f>
        <v>353914</v>
      </c>
      <c r="Q26" s="189">
        <v>216682</v>
      </c>
    </row>
    <row r="27" spans="4:17">
      <c r="D27" s="253"/>
      <c r="E27" s="254" t="s">
        <v>639</v>
      </c>
      <c r="F27" s="189">
        <v>0</v>
      </c>
      <c r="G27" s="189"/>
      <c r="H27" s="189"/>
      <c r="I27" s="189"/>
      <c r="J27" s="268"/>
      <c r="K27" s="268"/>
      <c r="L27" s="268"/>
      <c r="M27" s="268"/>
      <c r="N27" s="268"/>
      <c r="O27" s="268"/>
      <c r="P27" s="255">
        <f>SUM(F27:O27)</f>
        <v>0</v>
      </c>
      <c r="Q27" s="189">
        <v>50000</v>
      </c>
    </row>
    <row r="28" spans="4:17">
      <c r="D28" s="253"/>
      <c r="E28" s="254" t="s">
        <v>640</v>
      </c>
      <c r="F28" s="189">
        <f>'[1]Sales - Mar'!I36</f>
        <v>1119540</v>
      </c>
      <c r="G28" s="189"/>
      <c r="H28" s="189"/>
      <c r="I28" s="189"/>
      <c r="J28" s="268"/>
      <c r="K28" s="268"/>
      <c r="L28" s="268"/>
      <c r="M28" s="268"/>
      <c r="N28" s="268"/>
      <c r="O28" s="268"/>
      <c r="P28" s="255">
        <f>SUM(F28:O28)</f>
        <v>1119540</v>
      </c>
      <c r="Q28" s="189">
        <v>0</v>
      </c>
    </row>
    <row r="29" spans="4:17">
      <c r="D29" s="253"/>
      <c r="E29" s="254" t="s">
        <v>62</v>
      </c>
      <c r="F29" s="189">
        <v>0</v>
      </c>
      <c r="G29" s="189">
        <f>'[1]Sales - Apr'!I33</f>
        <v>39300</v>
      </c>
      <c r="H29" s="189" t="e">
        <f>'Input Sheet'!#REF!</f>
        <v>#REF!</v>
      </c>
      <c r="I29" s="189"/>
      <c r="J29" s="189" t="e">
        <f>'Input Sheet'!#REF!</f>
        <v>#REF!</v>
      </c>
      <c r="K29" s="189" t="e">
        <f>'Input Sheet'!#REF!</f>
        <v>#REF!</v>
      </c>
      <c r="L29" s="189" t="e">
        <f>'Input Sheet'!#REF!</f>
        <v>#REF!</v>
      </c>
      <c r="M29" s="268" t="e">
        <f>'Input Sheet'!#REF!</f>
        <v>#REF!</v>
      </c>
      <c r="N29" s="268">
        <f>'Input Sheet'!I31</f>
        <v>0</v>
      </c>
      <c r="O29" s="268"/>
      <c r="P29" s="255" t="e">
        <f t="shared" ref="P29:P34" si="5">SUM(F29:O29)</f>
        <v>#REF!</v>
      </c>
      <c r="Q29" s="189">
        <v>68500</v>
      </c>
    </row>
    <row r="30" spans="4:17">
      <c r="D30" s="253"/>
      <c r="E30" s="254" t="s">
        <v>641</v>
      </c>
      <c r="F30" s="189">
        <v>0</v>
      </c>
      <c r="G30" s="189">
        <f>'[1]Sales - Apr'!I36</f>
        <v>5114.7</v>
      </c>
      <c r="H30" s="189" t="e">
        <f>'[1]Sales - Apr'!J36</f>
        <v>#REF!</v>
      </c>
      <c r="I30" s="189"/>
      <c r="J30" s="268"/>
      <c r="K30" s="268"/>
      <c r="L30" s="268"/>
      <c r="M30" s="268"/>
      <c r="N30" s="268"/>
      <c r="O30" s="268"/>
      <c r="P30" s="255" t="e">
        <f t="shared" si="5"/>
        <v>#REF!</v>
      </c>
      <c r="Q30" s="189">
        <v>0</v>
      </c>
    </row>
    <row r="31" spans="4:17">
      <c r="D31" s="253"/>
      <c r="E31" s="254" t="s">
        <v>64</v>
      </c>
      <c r="F31" s="189">
        <f>'[1]Sales - Mar'!I37</f>
        <v>14600</v>
      </c>
      <c r="G31" s="189">
        <f>'[1]Sales - Apr'!I38</f>
        <v>4300</v>
      </c>
      <c r="H31" s="189" t="e">
        <f>'[1]Sales - Apr'!J38</f>
        <v>#REF!</v>
      </c>
      <c r="I31" s="189"/>
      <c r="J31" s="268"/>
      <c r="K31" s="268"/>
      <c r="L31" s="268"/>
      <c r="M31" s="268" t="e">
        <f>'Input Sheet'!#REF!</f>
        <v>#REF!</v>
      </c>
      <c r="N31" s="268"/>
      <c r="O31" s="268"/>
      <c r="P31" s="255" t="e">
        <f t="shared" si="5"/>
        <v>#REF!</v>
      </c>
      <c r="Q31" s="189">
        <v>0</v>
      </c>
    </row>
    <row r="32" spans="4:17">
      <c r="D32" s="253"/>
      <c r="E32" s="254" t="s">
        <v>59</v>
      </c>
      <c r="F32" s="189"/>
      <c r="G32" s="189"/>
      <c r="H32" s="189" t="e">
        <f>'Input Sheet'!#REF!</f>
        <v>#REF!</v>
      </c>
      <c r="I32" s="189"/>
      <c r="J32" s="268"/>
      <c r="K32" s="268"/>
      <c r="L32" s="269" t="e">
        <f>'Input Sheet'!#REF!</f>
        <v>#REF!</v>
      </c>
      <c r="M32" s="268" t="e">
        <f>'Input Sheet'!#REF!</f>
        <v>#REF!</v>
      </c>
      <c r="N32" s="268">
        <f>'Input Sheet'!I30</f>
        <v>0</v>
      </c>
      <c r="O32" s="268"/>
      <c r="P32" s="255" t="e">
        <f t="shared" si="5"/>
        <v>#REF!</v>
      </c>
      <c r="Q32" s="189"/>
    </row>
    <row r="33" spans="4:17">
      <c r="D33" s="253"/>
      <c r="E33" s="254" t="s">
        <v>53</v>
      </c>
      <c r="F33" s="189"/>
      <c r="G33" s="189"/>
      <c r="H33" s="189" t="e">
        <f>'Input Sheet'!#REF!</f>
        <v>#REF!</v>
      </c>
      <c r="I33" s="189"/>
      <c r="J33" s="189"/>
      <c r="K33" s="189"/>
      <c r="L33" s="189"/>
      <c r="M33" s="268"/>
      <c r="N33" s="268"/>
      <c r="O33" s="268"/>
      <c r="P33" s="255" t="e">
        <f t="shared" si="5"/>
        <v>#REF!</v>
      </c>
      <c r="Q33" s="189"/>
    </row>
    <row r="34" spans="4:17">
      <c r="D34" s="253"/>
      <c r="E34" s="254" t="s">
        <v>108</v>
      </c>
      <c r="F34" s="189"/>
      <c r="G34" s="189">
        <f>'[1]Sales - Apr'!I31</f>
        <v>413389.38</v>
      </c>
      <c r="H34" s="189" t="e">
        <f>'Input Sheet'!#REF!</f>
        <v>#REF!</v>
      </c>
      <c r="I34" s="189"/>
      <c r="J34" s="189" t="e">
        <f>'Input Sheet'!#REF!</f>
        <v>#REF!</v>
      </c>
      <c r="K34" s="189" t="e">
        <f>'Input Sheet'!#REF!</f>
        <v>#REF!</v>
      </c>
      <c r="L34" s="189" t="e">
        <f>'Input Sheet'!#REF!</f>
        <v>#REF!</v>
      </c>
      <c r="M34" s="268" t="e">
        <f>'Input Sheet'!#REF!</f>
        <v>#REF!</v>
      </c>
      <c r="N34" s="268">
        <f>'Input Sheet'!I29</f>
        <v>0</v>
      </c>
      <c r="O34" s="268"/>
      <c r="P34" s="255" t="e">
        <f t="shared" si="5"/>
        <v>#REF!</v>
      </c>
      <c r="Q34" s="189"/>
    </row>
    <row r="35" spans="4:17">
      <c r="D35" s="253"/>
      <c r="E35" s="254"/>
      <c r="F35" s="255">
        <f t="shared" ref="F35:Q35" si="6">SUM(F26:F34)</f>
        <v>1350822</v>
      </c>
      <c r="G35" s="255">
        <f t="shared" si="6"/>
        <v>599336.08</v>
      </c>
      <c r="H35" s="255" t="e">
        <f t="shared" si="6"/>
        <v>#REF!</v>
      </c>
      <c r="I35" s="255">
        <f t="shared" si="6"/>
        <v>0</v>
      </c>
      <c r="J35" s="255" t="e">
        <f t="shared" si="6"/>
        <v>#REF!</v>
      </c>
      <c r="K35" s="255" t="e">
        <f t="shared" si="6"/>
        <v>#REF!</v>
      </c>
      <c r="L35" s="255" t="e">
        <f t="shared" si="6"/>
        <v>#REF!</v>
      </c>
      <c r="M35" s="255" t="e">
        <f t="shared" si="6"/>
        <v>#REF!</v>
      </c>
      <c r="N35" s="255">
        <f t="shared" si="6"/>
        <v>0</v>
      </c>
      <c r="O35" s="255">
        <f t="shared" si="6"/>
        <v>0</v>
      </c>
      <c r="P35" s="255" t="e">
        <f t="shared" si="6"/>
        <v>#REF!</v>
      </c>
      <c r="Q35" s="255">
        <f t="shared" si="6"/>
        <v>335182</v>
      </c>
    </row>
  </sheetData>
  <mergeCells count="9">
    <mergeCell ref="C3:N3"/>
    <mergeCell ref="C4:N4"/>
    <mergeCell ref="D5:E5"/>
    <mergeCell ref="G5:H5"/>
    <mergeCell ref="M5:N5"/>
    <mergeCell ref="C5:C6"/>
    <mergeCell ref="J5:J6"/>
    <mergeCell ref="K5:K6"/>
    <mergeCell ref="L5:L6"/>
  </mergeCells>
  <pageMargins left="0.7" right="0.7" top="0.75" bottom="0.75" header="0.3" footer="0.3"/>
  <pageSetup paperSize="9" scale="77" fitToHeight="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W65"/>
  <sheetViews>
    <sheetView showGridLines="0" zoomScale="75" zoomScaleNormal="75" workbookViewId="0">
      <selection activeCell="AD15" sqref="AD15"/>
    </sheetView>
  </sheetViews>
  <sheetFormatPr defaultColWidth="9.45454545454546" defaultRowHeight="14"/>
  <cols>
    <col min="1" max="1" width="11.4545454545455" style="152" customWidth="1"/>
    <col min="2" max="2" width="29.4545454545455" style="152" customWidth="1"/>
    <col min="3" max="6" width="12.5454545454545" style="152" customWidth="1"/>
    <col min="7" max="7" width="2.81818181818182" style="152" customWidth="1"/>
    <col min="8" max="8" width="20.8181818181818" style="152" customWidth="1"/>
    <col min="9" max="9" width="13" style="152" customWidth="1"/>
    <col min="10" max="10" width="2.81818181818182" style="152" customWidth="1"/>
    <col min="11" max="12" width="12.4545454545455" style="152" customWidth="1"/>
    <col min="13" max="14" width="10.8181818181818" style="152" customWidth="1"/>
    <col min="15" max="15" width="12.4545454545455" style="152" customWidth="1"/>
    <col min="16" max="16" width="10.8181818181818" style="152" customWidth="1"/>
    <col min="17" max="17" width="15.5454545454545" style="152" customWidth="1"/>
    <col min="18" max="26" width="10.8181818181818" style="152" customWidth="1"/>
    <col min="27" max="30" width="12.4545454545455" style="152" customWidth="1"/>
    <col min="31" max="32" width="21.8181818181818" style="152" customWidth="1"/>
    <col min="33" max="33" width="9.45454545454546" style="152"/>
    <col min="34" max="34" width="12.5454545454545" style="152" customWidth="1"/>
    <col min="35" max="36" width="9.45454545454546" style="152"/>
    <col min="37" max="37" width="11.8181818181818" style="152" customWidth="1"/>
    <col min="38" max="38" width="12.0909090909091" style="152" customWidth="1"/>
    <col min="39" max="39" width="9.45454545454546" style="152"/>
    <col min="40" max="42" width="10.8181818181818" style="152" customWidth="1"/>
    <col min="43" max="48" width="9.45454545454546" style="152"/>
    <col min="49" max="49" width="14.0909090909091" style="152" customWidth="1"/>
    <col min="50" max="16384" width="9.45454545454546" style="152"/>
  </cols>
  <sheetData>
    <row r="1" spans="6:6">
      <c r="F1" s="229"/>
    </row>
    <row r="2" spans="1:27">
      <c r="A2" s="154"/>
      <c r="B2" s="155" t="s">
        <v>0</v>
      </c>
      <c r="C2" s="155"/>
      <c r="D2" s="155"/>
      <c r="E2" s="155"/>
      <c r="F2" s="155"/>
      <c r="H2" s="156" t="s">
        <v>273</v>
      </c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spans="2:6">
      <c r="B3" s="157" t="s">
        <v>274</v>
      </c>
      <c r="C3" s="157"/>
      <c r="D3" s="157"/>
      <c r="E3" s="157"/>
      <c r="F3" s="157"/>
    </row>
    <row r="4" spans="2:6">
      <c r="B4" s="158" t="s">
        <v>275</v>
      </c>
      <c r="C4" s="158" t="s">
        <v>276</v>
      </c>
      <c r="D4" s="158" t="s">
        <v>277</v>
      </c>
      <c r="E4" s="158" t="s">
        <v>3</v>
      </c>
      <c r="F4" s="158" t="s">
        <v>58</v>
      </c>
    </row>
    <row r="5" spans="1:26">
      <c r="A5" s="154"/>
      <c r="B5" s="230" t="s">
        <v>278</v>
      </c>
      <c r="C5" s="160">
        <f>'Input Sheet'!AH135+'Input Sheet'!AI135</f>
        <v>24149.58</v>
      </c>
      <c r="D5" s="161">
        <f>'Input Sheet'!AL135</f>
        <v>0</v>
      </c>
      <c r="E5" s="162">
        <f>'Input Sheet'!AJ135+'Input Sheet'!AK135</f>
        <v>22987.47</v>
      </c>
      <c r="F5" s="163">
        <f>+C5+D5+E5</f>
        <v>47137.05</v>
      </c>
      <c r="G5" s="164"/>
      <c r="Z5" s="231" t="s">
        <v>642</v>
      </c>
    </row>
    <row r="6" spans="2:40">
      <c r="B6" s="230" t="s">
        <v>643</v>
      </c>
      <c r="C6" s="160">
        <v>0</v>
      </c>
      <c r="D6" s="161">
        <v>0</v>
      </c>
      <c r="E6" s="162">
        <f>'Input Sheet'!AT136</f>
        <v>1761.49</v>
      </c>
      <c r="F6" s="163">
        <f>+C6+D6+E6</f>
        <v>1761.49</v>
      </c>
      <c r="G6" s="164"/>
      <c r="H6" s="152" t="s">
        <v>280</v>
      </c>
      <c r="AE6" s="152" t="s">
        <v>281</v>
      </c>
      <c r="AI6" s="154">
        <f ca="1">+N29</f>
        <v>586.944098993263</v>
      </c>
      <c r="AJ6" s="152">
        <f>+'[2]Production &amp; stock details'!I30</f>
        <v>207.281654438487</v>
      </c>
      <c r="AM6" s="222" t="s">
        <v>282</v>
      </c>
      <c r="AN6" s="154">
        <f>I34</f>
        <v>7136.74758701734</v>
      </c>
    </row>
    <row r="7" spans="2:40">
      <c r="B7" s="159"/>
      <c r="C7" s="160">
        <f>+C5-C6</f>
        <v>24149.58</v>
      </c>
      <c r="D7" s="161">
        <f>+D5-D6</f>
        <v>0</v>
      </c>
      <c r="E7" s="162">
        <f>+E5-E6</f>
        <v>21225.98</v>
      </c>
      <c r="F7" s="163">
        <f>+F5-F6</f>
        <v>45375.56</v>
      </c>
      <c r="G7" s="164"/>
      <c r="AE7" s="214" t="s">
        <v>283</v>
      </c>
      <c r="AF7" s="214"/>
      <c r="AG7" s="223"/>
      <c r="AJ7" s="154">
        <f ca="1">+AJ6-AI6</f>
        <v>-379.662444554775</v>
      </c>
      <c r="AK7" s="165">
        <f ca="1">+AG7*AJ7</f>
        <v>0</v>
      </c>
      <c r="AM7" s="222" t="s">
        <v>284</v>
      </c>
      <c r="AN7" s="165">
        <f>C5</f>
        <v>24149.58</v>
      </c>
    </row>
    <row r="8" spans="1:40">
      <c r="A8" s="165"/>
      <c r="B8" s="230" t="s">
        <v>285</v>
      </c>
      <c r="C8" s="166">
        <f>'Input Sheet'!$AI$136</f>
        <v>-3798.6</v>
      </c>
      <c r="D8" s="161">
        <v>0</v>
      </c>
      <c r="E8" s="162">
        <f>'Input Sheet'!$AJ$136</f>
        <v>1828.41999999999</v>
      </c>
      <c r="F8" s="163">
        <f>+C8+D8+E8</f>
        <v>-1970.18</v>
      </c>
      <c r="G8" s="164"/>
      <c r="H8" s="152" t="s">
        <v>286</v>
      </c>
      <c r="AE8" s="214" t="s">
        <v>261</v>
      </c>
      <c r="AF8" s="214"/>
      <c r="AG8" s="223">
        <f>+F9</f>
        <v>47345.74</v>
      </c>
      <c r="AM8" s="222" t="s">
        <v>261</v>
      </c>
      <c r="AN8" s="165">
        <f>C16+N21</f>
        <v>27948.18</v>
      </c>
    </row>
    <row r="9" spans="1:40">
      <c r="A9" s="165"/>
      <c r="B9" s="230" t="s">
        <v>287</v>
      </c>
      <c r="C9" s="160">
        <f>+C7-C8</f>
        <v>27948.18</v>
      </c>
      <c r="D9" s="161">
        <f>+D7-D8</f>
        <v>0</v>
      </c>
      <c r="E9" s="162">
        <f>+E7-E8</f>
        <v>19397.56</v>
      </c>
      <c r="F9" s="163">
        <f>+F7-F8</f>
        <v>47345.74</v>
      </c>
      <c r="G9" s="164"/>
      <c r="AE9" s="214" t="s">
        <v>59</v>
      </c>
      <c r="AF9" s="214"/>
      <c r="AG9" s="223">
        <f>+F10</f>
        <v>0</v>
      </c>
      <c r="AM9" s="222" t="s">
        <v>166</v>
      </c>
      <c r="AN9" s="165">
        <f>AN6+AN7-AN8</f>
        <v>3338.14758701735</v>
      </c>
    </row>
    <row r="10" spans="1:33">
      <c r="A10" s="165"/>
      <c r="B10" s="159" t="s">
        <v>288</v>
      </c>
      <c r="C10" s="160"/>
      <c r="D10" s="161"/>
      <c r="E10" s="162"/>
      <c r="F10" s="163">
        <f>+C10-D10</f>
        <v>0</v>
      </c>
      <c r="G10" s="164"/>
      <c r="H10" s="152" t="s">
        <v>289</v>
      </c>
      <c r="AE10" s="214"/>
      <c r="AF10" s="214"/>
      <c r="AG10" s="223">
        <f>+AG7+AG8-AG9</f>
        <v>47345.74</v>
      </c>
    </row>
    <row r="11" spans="1:38">
      <c r="A11" s="165"/>
      <c r="B11" s="167" t="s">
        <v>290</v>
      </c>
      <c r="C11" s="168">
        <f>+C9+C10</f>
        <v>27948.18</v>
      </c>
      <c r="D11" s="169">
        <f>+D9-D10</f>
        <v>0</v>
      </c>
      <c r="E11" s="170">
        <f>+E9-E10</f>
        <v>19397.56</v>
      </c>
      <c r="F11" s="171">
        <f>+F9-F10</f>
        <v>47345.74</v>
      </c>
      <c r="G11" s="164"/>
      <c r="H11" s="152" t="s">
        <v>291</v>
      </c>
      <c r="AE11" s="215" t="s">
        <v>61</v>
      </c>
      <c r="AF11" s="215"/>
      <c r="AG11" s="224">
        <f>+F19</f>
        <v>8700.405</v>
      </c>
      <c r="AH11" s="152" t="s">
        <v>292</v>
      </c>
      <c r="AI11" s="225">
        <v>45352</v>
      </c>
      <c r="AJ11" s="154">
        <v>287.66</v>
      </c>
      <c r="AK11" s="152">
        <v>352.583743548086</v>
      </c>
      <c r="AL11" s="165">
        <f>AJ11*AK11</f>
        <v>101424.239669042</v>
      </c>
    </row>
    <row r="12" spans="3:38">
      <c r="C12" s="164"/>
      <c r="D12" s="164"/>
      <c r="E12" s="164"/>
      <c r="F12" s="164"/>
      <c r="G12" s="164"/>
      <c r="AE12" s="214"/>
      <c r="AF12" s="214"/>
      <c r="AG12" s="223">
        <f>+AG10-AG11</f>
        <v>38645.335</v>
      </c>
      <c r="AH12" s="152" t="s">
        <v>292</v>
      </c>
      <c r="AI12" s="225">
        <v>45352</v>
      </c>
      <c r="AJ12" s="154">
        <f>R18-AJ11</f>
        <v>72.34</v>
      </c>
      <c r="AK12" s="154">
        <f>'[1]Cost sheet - summary-Mar'!J24</f>
        <v>0</v>
      </c>
      <c r="AL12" s="165">
        <f>AJ12*AK12</f>
        <v>0</v>
      </c>
    </row>
    <row r="13" spans="2:38">
      <c r="B13" s="155" t="s">
        <v>0</v>
      </c>
      <c r="C13" s="155"/>
      <c r="D13" s="155"/>
      <c r="E13" s="155"/>
      <c r="F13" s="155"/>
      <c r="G13" s="164"/>
      <c r="P13" s="154"/>
      <c r="Q13" s="154"/>
      <c r="S13" s="154"/>
      <c r="Z13" s="154"/>
      <c r="AB13" s="165"/>
      <c r="AC13" s="165"/>
      <c r="AD13" s="165"/>
      <c r="AE13" s="214" t="s">
        <v>107</v>
      </c>
      <c r="AF13" s="214"/>
      <c r="AG13" s="223">
        <f>+AB17</f>
        <v>34940.075</v>
      </c>
      <c r="AH13" s="152" t="s">
        <v>292</v>
      </c>
      <c r="AJ13" s="154">
        <f>SUM(AJ11:AJ12)</f>
        <v>360</v>
      </c>
      <c r="AK13" s="152">
        <f>AL13/AJ13</f>
        <v>281.733999080673</v>
      </c>
      <c r="AL13" s="165">
        <f>SUM(AL11:AL12)</f>
        <v>101424.239669042</v>
      </c>
    </row>
    <row r="14" spans="2:33">
      <c r="B14" s="157" t="s">
        <v>293</v>
      </c>
      <c r="C14" s="157"/>
      <c r="D14" s="157"/>
      <c r="E14" s="157"/>
      <c r="F14" s="157"/>
      <c r="G14" s="164"/>
      <c r="N14" s="154" t="s">
        <v>107</v>
      </c>
      <c r="O14" s="154">
        <v>465</v>
      </c>
      <c r="P14" s="154">
        <v>390</v>
      </c>
      <c r="Q14" s="154"/>
      <c r="R14" s="154"/>
      <c r="S14" s="154"/>
      <c r="T14" s="154"/>
      <c r="U14" s="154"/>
      <c r="V14" s="154"/>
      <c r="W14" s="154" t="s">
        <v>107</v>
      </c>
      <c r="X14" s="154">
        <v>-465</v>
      </c>
      <c r="Y14" s="154">
        <v>-390</v>
      </c>
      <c r="Z14" s="154"/>
      <c r="AA14" s="154"/>
      <c r="AE14" s="214"/>
      <c r="AF14" s="214"/>
      <c r="AG14" s="223">
        <f>+AG12-AG13</f>
        <v>3705.26</v>
      </c>
    </row>
    <row r="15" spans="2:33">
      <c r="B15" s="172" t="s">
        <v>275</v>
      </c>
      <c r="C15" s="172" t="str">
        <f>+C4</f>
        <v>Chetpat</v>
      </c>
      <c r="D15" s="172" t="str">
        <f>+D4</f>
        <v>Veeram</v>
      </c>
      <c r="E15" s="172" t="s">
        <v>3</v>
      </c>
      <c r="F15" s="172" t="s">
        <v>58</v>
      </c>
      <c r="H15" s="156" t="s">
        <v>294</v>
      </c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E15" s="214" t="s">
        <v>295</v>
      </c>
      <c r="AF15" s="214"/>
      <c r="AG15" s="223">
        <f>+(O18+P18+R18-O20-P20-U20-V20)+Q18-Q20+U18+V18-R20+W18-W20+N18-N20</f>
        <v>-706.639999999999</v>
      </c>
    </row>
    <row r="16" ht="42" spans="2:33">
      <c r="B16" s="159" t="s">
        <v>296</v>
      </c>
      <c r="C16" s="173">
        <f>+C11-N21</f>
        <v>24848.18</v>
      </c>
      <c r="D16" s="173">
        <v>0</v>
      </c>
      <c r="E16" s="173">
        <f>+E11+AA20</f>
        <v>22397.56</v>
      </c>
      <c r="F16" s="173">
        <f>C16+D16+E16</f>
        <v>47245.74</v>
      </c>
      <c r="G16" s="174"/>
      <c r="H16" s="175" t="s">
        <v>275</v>
      </c>
      <c r="I16" s="175" t="s">
        <v>297</v>
      </c>
      <c r="J16" s="175"/>
      <c r="K16" s="175" t="s">
        <v>298</v>
      </c>
      <c r="L16" s="175" t="s">
        <v>299</v>
      </c>
      <c r="M16" s="175" t="s">
        <v>300</v>
      </c>
      <c r="N16" s="175" t="s">
        <v>96</v>
      </c>
      <c r="O16" s="175" t="s">
        <v>97</v>
      </c>
      <c r="P16" s="175" t="s">
        <v>98</v>
      </c>
      <c r="Q16" s="175" t="s">
        <v>99</v>
      </c>
      <c r="R16" s="175" t="s">
        <v>100</v>
      </c>
      <c r="S16" s="175" t="s">
        <v>101</v>
      </c>
      <c r="T16" s="175" t="s">
        <v>102</v>
      </c>
      <c r="U16" s="175" t="s">
        <v>104</v>
      </c>
      <c r="V16" s="175" t="s">
        <v>106</v>
      </c>
      <c r="W16" s="175" t="s">
        <v>301</v>
      </c>
      <c r="X16" s="175" t="s">
        <v>125</v>
      </c>
      <c r="Y16" s="175" t="s">
        <v>126</v>
      </c>
      <c r="Z16" s="175" t="s">
        <v>302</v>
      </c>
      <c r="AA16" s="175" t="s">
        <v>128</v>
      </c>
      <c r="AB16" s="175" t="s">
        <v>58</v>
      </c>
      <c r="AE16" s="216" t="s">
        <v>303</v>
      </c>
      <c r="AF16" s="216"/>
      <c r="AG16" s="226">
        <f>+AG14-AG15</f>
        <v>4411.9</v>
      </c>
    </row>
    <row r="17" spans="1:33">
      <c r="A17" s="165"/>
      <c r="B17" s="159" t="s">
        <v>304</v>
      </c>
      <c r="C17" s="173">
        <f>SUM(U21:V21)+N21</f>
        <v>18825.498</v>
      </c>
      <c r="D17" s="173">
        <f>(SUM(O21:R21)+Z21)</f>
        <v>0.946999999999889</v>
      </c>
      <c r="E17" s="173">
        <f>SUM(S21:T21)+SUM(W21:Y21)</f>
        <v>19718.89</v>
      </c>
      <c r="F17" s="173">
        <f>C17+D17+E17</f>
        <v>38545.335</v>
      </c>
      <c r="H17" s="230" t="s">
        <v>107</v>
      </c>
      <c r="I17" s="177"/>
      <c r="J17" s="159"/>
      <c r="K17" s="159"/>
      <c r="L17" s="159"/>
      <c r="M17" s="159"/>
      <c r="N17" s="191"/>
      <c r="O17" s="191">
        <f>'Input Sheet'!H5</f>
        <v>0</v>
      </c>
      <c r="P17" s="191">
        <f>'Input Sheet'!$AH$6</f>
        <v>8.01</v>
      </c>
      <c r="Q17" s="191">
        <f>'Input Sheet'!$AH$10</f>
        <v>558.16</v>
      </c>
      <c r="R17" s="191">
        <f>'Input Sheet'!$AH$11</f>
        <v>132.11</v>
      </c>
      <c r="S17" s="191">
        <f>'Input Sheet'!$AH$12+'Input Sheet'!AH24</f>
        <v>7479.59</v>
      </c>
      <c r="T17" s="191">
        <f>'Input Sheet'!$AH$13</f>
        <v>949.78</v>
      </c>
      <c r="U17" s="191">
        <f>'Input Sheet'!$AH$14</f>
        <v>14857.358</v>
      </c>
      <c r="V17" s="191">
        <f>'Input Sheet'!$AH$15</f>
        <v>1070.56</v>
      </c>
      <c r="W17" s="191">
        <f>'Input Sheet'!$AH$9+'Input Sheet'!AH17</f>
        <v>2906.78</v>
      </c>
      <c r="X17" s="191">
        <f>'Input Sheet'!$AH$7+'Input Sheet'!AH22</f>
        <v>4548.46</v>
      </c>
      <c r="Y17" s="191">
        <f>'Input Sheet'!$AH$8+'Input Sheet'!AH23</f>
        <v>1989.93</v>
      </c>
      <c r="Z17" s="191">
        <f>'Input Sheet'!$AH$16</f>
        <v>439.337</v>
      </c>
      <c r="AA17" s="191">
        <v>0</v>
      </c>
      <c r="AB17" s="177">
        <f>SUM(N17:AA17)</f>
        <v>34940.075</v>
      </c>
      <c r="AC17" s="154"/>
      <c r="AD17" s="154"/>
      <c r="AE17" s="164"/>
      <c r="AF17" s="164"/>
      <c r="AG17" s="154">
        <f>+F16-F19</f>
        <v>38545.335</v>
      </c>
    </row>
    <row r="18" spans="1:32">
      <c r="A18" s="176">
        <f ca="1">D18*P29</f>
        <v>0</v>
      </c>
      <c r="B18" s="159" t="s">
        <v>305</v>
      </c>
      <c r="C18" s="177">
        <v>0</v>
      </c>
      <c r="D18" s="177">
        <v>0</v>
      </c>
      <c r="E18" s="177">
        <v>0</v>
      </c>
      <c r="F18" s="173">
        <f>C18+D18+E18</f>
        <v>0</v>
      </c>
      <c r="H18" s="159" t="s">
        <v>306</v>
      </c>
      <c r="I18" s="177">
        <f>I38</f>
        <v>3338.14758701735</v>
      </c>
      <c r="J18" s="167"/>
      <c r="K18" s="173">
        <f>'Input Sheet'!AF47</f>
        <v>1569.346875</v>
      </c>
      <c r="L18" s="173">
        <f>'Input Sheet'!AF48</f>
        <v>5026</v>
      </c>
      <c r="M18" s="173">
        <f>'Input Sheet'!AF49</f>
        <v>17928.1</v>
      </c>
      <c r="N18" s="191">
        <f>'Input Sheet'!$AC$56</f>
        <v>3100</v>
      </c>
      <c r="O18" s="192">
        <f>'Input Sheet'!$AC$51+550</f>
        <v>1000</v>
      </c>
      <c r="P18" s="192">
        <f>'Input Sheet'!$AC$52+80</f>
        <v>3712</v>
      </c>
      <c r="Q18" s="209">
        <f>'Input Sheet'!$AC$49-279</f>
        <v>2936</v>
      </c>
      <c r="R18" s="192">
        <f>'Input Sheet'!$AC$50+207</f>
        <v>360</v>
      </c>
      <c r="S18" s="210">
        <f>'Input Sheet'!$AC$47</f>
        <v>4920.73</v>
      </c>
      <c r="T18" s="210">
        <f>'Input Sheet'!$AC$48</f>
        <v>1090</v>
      </c>
      <c r="U18" s="210">
        <f>'Input Sheet'!$AC$45</f>
        <v>2791.09</v>
      </c>
      <c r="V18" s="210">
        <f>'Input Sheet'!$AC$46</f>
        <v>709.37</v>
      </c>
      <c r="W18" s="210">
        <f>'Input Sheet'!$AC$55+1646</f>
        <v>24093.45</v>
      </c>
      <c r="X18" s="210">
        <f>'Input Sheet'!$AC$53</f>
        <v>0</v>
      </c>
      <c r="Y18" s="210">
        <f>'Input Sheet'!$AC$54</f>
        <v>60</v>
      </c>
      <c r="Z18" s="209">
        <v>-339</v>
      </c>
      <c r="AA18" s="191">
        <f>'Input Sheet'!$AC$57</f>
        <v>0</v>
      </c>
      <c r="AB18" s="217">
        <f>SUM(N18:AA18)</f>
        <v>44433.64</v>
      </c>
      <c r="AC18" s="218"/>
      <c r="AD18" s="218"/>
      <c r="AE18" s="219" t="s">
        <v>307</v>
      </c>
      <c r="AF18" s="219"/>
    </row>
    <row r="19" spans="1:33">
      <c r="A19" s="176">
        <f ca="1">749988-A18</f>
        <v>749988</v>
      </c>
      <c r="B19" s="178" t="s">
        <v>61</v>
      </c>
      <c r="C19" s="177">
        <f>+C16-C17-C18</f>
        <v>6022.682</v>
      </c>
      <c r="D19" s="177">
        <f>+D16-D17</f>
        <v>-0.946999999999889</v>
      </c>
      <c r="E19" s="177">
        <f>+E16-E17</f>
        <v>2678.67</v>
      </c>
      <c r="F19" s="173">
        <f>C19+D19+E19</f>
        <v>8700.405</v>
      </c>
      <c r="H19" s="159"/>
      <c r="I19" s="173">
        <f>+I17+I18</f>
        <v>3338.14758701735</v>
      </c>
      <c r="J19" s="167"/>
      <c r="K19" s="173">
        <f t="shared" ref="K19:N19" si="0">+K17+K18</f>
        <v>1569.346875</v>
      </c>
      <c r="L19" s="173">
        <f t="shared" si="0"/>
        <v>5026</v>
      </c>
      <c r="M19" s="173">
        <f t="shared" si="0"/>
        <v>17928.1</v>
      </c>
      <c r="N19" s="193">
        <f t="shared" si="0"/>
        <v>3100</v>
      </c>
      <c r="O19" s="173">
        <f t="shared" ref="O19:AA19" si="1">+O17+O18</f>
        <v>1000</v>
      </c>
      <c r="P19" s="173">
        <f t="shared" si="1"/>
        <v>3720.01</v>
      </c>
      <c r="Q19" s="173">
        <f t="shared" si="1"/>
        <v>3494.16</v>
      </c>
      <c r="R19" s="173">
        <f t="shared" si="1"/>
        <v>492.11</v>
      </c>
      <c r="S19" s="173">
        <f t="shared" si="1"/>
        <v>12400.32</v>
      </c>
      <c r="T19" s="173">
        <f t="shared" si="1"/>
        <v>2039.78</v>
      </c>
      <c r="U19" s="173">
        <f t="shared" si="1"/>
        <v>17648.448</v>
      </c>
      <c r="V19" s="173">
        <f t="shared" si="1"/>
        <v>1779.93</v>
      </c>
      <c r="W19" s="173">
        <f t="shared" si="1"/>
        <v>27000.23</v>
      </c>
      <c r="X19" s="173">
        <f t="shared" si="1"/>
        <v>4548.46</v>
      </c>
      <c r="Y19" s="173">
        <f t="shared" si="1"/>
        <v>2049.93</v>
      </c>
      <c r="Z19" s="173">
        <f t="shared" si="1"/>
        <v>100.337</v>
      </c>
      <c r="AA19" s="173">
        <f t="shared" si="1"/>
        <v>0</v>
      </c>
      <c r="AB19" s="177">
        <f>AB17+AB18</f>
        <v>79373.715</v>
      </c>
      <c r="AC19" s="154"/>
      <c r="AD19" s="154"/>
      <c r="AE19" s="164"/>
      <c r="AF19" s="164"/>
      <c r="AG19" s="154">
        <f>+AB21-AG17</f>
        <v>-3000.00000000001</v>
      </c>
    </row>
    <row r="20" spans="2:32">
      <c r="B20" s="178"/>
      <c r="C20" s="177"/>
      <c r="D20" s="177"/>
      <c r="E20" s="177"/>
      <c r="F20" s="177"/>
      <c r="H20" s="159" t="s">
        <v>308</v>
      </c>
      <c r="I20" s="194">
        <f>'[1]Product &amp; stock detail -Dec-24'!I18</f>
        <v>7136.74758701734</v>
      </c>
      <c r="J20" s="167" t="e">
        <f>'[1]Product &amp; stock detail -Dec-24'!J18</f>
        <v>#REF!</v>
      </c>
      <c r="K20" s="195">
        <f>'[1]Product &amp; stock detail -Dec-24'!K18</f>
        <v>1712</v>
      </c>
      <c r="L20" s="196">
        <f>'[1]Product &amp; stock detail -Dec-24'!L18</f>
        <v>5026</v>
      </c>
      <c r="M20" s="159">
        <f>'[1]Product &amp; stock detail -Dec-24'!M18</f>
        <v>20048</v>
      </c>
      <c r="N20" s="194">
        <f>'[1]Product &amp; stock detail -Dec-24'!N18</f>
        <v>0</v>
      </c>
      <c r="O20" s="194">
        <f>'[1]Product &amp; stock detail -Dec-24'!O18</f>
        <v>1000</v>
      </c>
      <c r="P20" s="194">
        <f>'[1]Product &amp; stock detail -Dec-24'!P18</f>
        <v>3720</v>
      </c>
      <c r="Q20" s="194">
        <f>'[1]Product &amp; stock detail -Dec-24'!Q18</f>
        <v>3493.76</v>
      </c>
      <c r="R20" s="194">
        <f>'[1]Product &amp; stock detail -Dec-24'!R18</f>
        <v>491.91</v>
      </c>
      <c r="S20" s="194">
        <f>'[1]Product &amp; stock detail -Dec-24'!S18</f>
        <v>1165</v>
      </c>
      <c r="T20" s="194">
        <f>'[1]Product &amp; stock detail -Dec-24'!T18</f>
        <v>70</v>
      </c>
      <c r="U20" s="194">
        <f>'[1]Product &amp; stock detail -Dec-24'!U18</f>
        <v>2549.9</v>
      </c>
      <c r="V20" s="194">
        <f>'[1]Product &amp; stock detail -Dec-24'!V18</f>
        <v>1152.98</v>
      </c>
      <c r="W20" s="194">
        <f>'[1]Product &amp; stock detail -Dec-24'!W18</f>
        <v>27000</v>
      </c>
      <c r="X20" s="194">
        <f>'[1]Product &amp; stock detail -Dec-24'!X18</f>
        <v>70</v>
      </c>
      <c r="Y20" s="194">
        <f>'[1]Product &amp; stock detail -Dec-24'!Y18</f>
        <v>14.83</v>
      </c>
      <c r="Z20" s="194">
        <f>'[1]Product &amp; stock detail -Dec-24'!Z18</f>
        <v>100</v>
      </c>
      <c r="AA20" s="177">
        <f>'[1]Product &amp; stock detail -Dec-24'!AA18</f>
        <v>3000</v>
      </c>
      <c r="AB20" s="217">
        <f>SUM(N20:AA20)</f>
        <v>43828.38</v>
      </c>
      <c r="AC20" s="220">
        <f>SUM(N20:AA20)-SUM('[1]Product &amp; stock detail - Aug-24'!N28:AA28)</f>
        <v>21156.246</v>
      </c>
      <c r="AD20" s="220"/>
      <c r="AE20" s="164" t="e">
        <f>AB20-#REF!</f>
        <v>#REF!</v>
      </c>
      <c r="AF20" s="164"/>
    </row>
    <row r="21" spans="2:38">
      <c r="B21" s="178"/>
      <c r="C21" s="177"/>
      <c r="D21" s="177"/>
      <c r="E21" s="177"/>
      <c r="F21" s="179"/>
      <c r="H21" s="167" t="s">
        <v>309</v>
      </c>
      <c r="I21" s="197">
        <f>+(I19-I20)*0</f>
        <v>0</v>
      </c>
      <c r="J21" s="167"/>
      <c r="K21" s="197">
        <f>+(K19-K20)*0</f>
        <v>0</v>
      </c>
      <c r="L21" s="197">
        <f>+(L19-L20)*0</f>
        <v>0</v>
      </c>
      <c r="M21" s="197">
        <f>+(M19-M20)*0</f>
        <v>0</v>
      </c>
      <c r="N21" s="197">
        <f>+N19-N20</f>
        <v>3100</v>
      </c>
      <c r="O21" s="197">
        <f>+(O19-O20)</f>
        <v>0</v>
      </c>
      <c r="P21" s="197">
        <f>+(P19-P20)</f>
        <v>0.0100000000002183</v>
      </c>
      <c r="Q21" s="197">
        <f>+Q19-Q20</f>
        <v>0.399999999999636</v>
      </c>
      <c r="R21" s="197">
        <f>+(R19-R20)</f>
        <v>0.200000000000045</v>
      </c>
      <c r="S21" s="197">
        <f>+S19-S20</f>
        <v>11235.32</v>
      </c>
      <c r="T21" s="197">
        <f t="shared" ref="T21:AB21" si="2">+T19-T20</f>
        <v>1969.78</v>
      </c>
      <c r="U21" s="197">
        <f t="shared" si="2"/>
        <v>15098.548</v>
      </c>
      <c r="V21" s="197">
        <f t="shared" si="2"/>
        <v>626.95</v>
      </c>
      <c r="W21" s="197">
        <f>+(W19-W20)</f>
        <v>0.229999999999563</v>
      </c>
      <c r="X21" s="197">
        <f t="shared" si="2"/>
        <v>4478.46</v>
      </c>
      <c r="Y21" s="197">
        <f t="shared" si="2"/>
        <v>2035.1</v>
      </c>
      <c r="Z21" s="197">
        <f t="shared" si="2"/>
        <v>0.336999999999989</v>
      </c>
      <c r="AA21" s="197">
        <f t="shared" si="2"/>
        <v>-3000</v>
      </c>
      <c r="AB21" s="197">
        <f t="shared" si="2"/>
        <v>35545.335</v>
      </c>
      <c r="AC21" s="200" t="e">
        <f>SUM(I20:M20)-SUM('[1]Product &amp; stock detail - Aug-24'!I28:M28)</f>
        <v>#REF!</v>
      </c>
      <c r="AD21" s="200"/>
      <c r="AE21" s="164"/>
      <c r="AF21" s="164"/>
      <c r="AH21" s="165">
        <f>+C10*100/C9</f>
        <v>0</v>
      </c>
      <c r="AI21" s="165">
        <f>+F22+AH21</f>
        <v>18.415215848032</v>
      </c>
      <c r="AL21" s="154">
        <f>+N20</f>
        <v>0</v>
      </c>
    </row>
    <row r="22" spans="2:40">
      <c r="B22" s="178" t="s">
        <v>310</v>
      </c>
      <c r="C22" s="180">
        <f>+C19*100/C16</f>
        <v>24.2379200408239</v>
      </c>
      <c r="D22" s="180">
        <f>IFERROR(+D19*100/D16,0)</f>
        <v>0</v>
      </c>
      <c r="E22" s="180">
        <f>+E19*100/E16</f>
        <v>11.9596509619798</v>
      </c>
      <c r="F22" s="180">
        <f>+F19*100/F16</f>
        <v>18.415215848032</v>
      </c>
      <c r="J22" s="181"/>
      <c r="K22" s="181"/>
      <c r="L22" s="181"/>
      <c r="M22" s="181"/>
      <c r="N22" s="198"/>
      <c r="O22" s="199">
        <v>550</v>
      </c>
      <c r="P22" s="199">
        <v>80</v>
      </c>
      <c r="Q22" s="198">
        <f>Q21+Z21</f>
        <v>0.736999999999625</v>
      </c>
      <c r="R22" s="164">
        <v>207</v>
      </c>
      <c r="S22" s="164"/>
      <c r="T22" s="164"/>
      <c r="U22" s="164"/>
      <c r="V22" s="164"/>
      <c r="W22" s="164"/>
      <c r="X22" s="164"/>
      <c r="Y22" s="164"/>
      <c r="Z22" s="164">
        <f>26786/188</f>
        <v>142.478723404255</v>
      </c>
      <c r="AA22" s="164"/>
      <c r="AB22" s="164"/>
      <c r="AC22" s="164"/>
      <c r="AD22" s="164"/>
      <c r="AE22" s="164">
        <f>SUM(D17)</f>
        <v>0.946999999999889</v>
      </c>
      <c r="AF22" s="164"/>
      <c r="AL22" s="152" t="s">
        <v>311</v>
      </c>
      <c r="AM22" s="154">
        <f>+O21</f>
        <v>0</v>
      </c>
      <c r="AN22" s="164">
        <f>+$AL$21/$AM$27*AM22</f>
        <v>0</v>
      </c>
    </row>
    <row r="23" ht="14.75" spans="2:40">
      <c r="B23" s="178" t="s">
        <v>312</v>
      </c>
      <c r="C23" s="180">
        <v>0</v>
      </c>
      <c r="D23" s="180">
        <v>0</v>
      </c>
      <c r="E23" s="180">
        <v>0</v>
      </c>
      <c r="F23" s="180">
        <v>0</v>
      </c>
      <c r="H23" s="181" t="s">
        <v>313</v>
      </c>
      <c r="I23" s="200"/>
      <c r="J23" s="181"/>
      <c r="K23" s="181"/>
      <c r="L23" s="181"/>
      <c r="M23" s="181"/>
      <c r="N23" s="201">
        <v>0</v>
      </c>
      <c r="O23" s="199"/>
      <c r="P23" s="199"/>
      <c r="Q23" s="199">
        <f ca="1">Q22*Q29</f>
        <v>138.428668670081</v>
      </c>
      <c r="R23" s="199"/>
      <c r="S23" s="199"/>
      <c r="T23" s="199"/>
      <c r="U23" s="164"/>
      <c r="V23" s="164">
        <f>2907*85</f>
        <v>247095</v>
      </c>
      <c r="W23" s="164">
        <f>-(W19-W20)*'[1]Product &amp; stock detail -Dec-24'!W29</f>
        <v>-19.5812058953843</v>
      </c>
      <c r="X23" s="164"/>
      <c r="Y23" s="164"/>
      <c r="Z23" s="221">
        <v>1316.104</v>
      </c>
      <c r="AE23" s="164">
        <f>SUM(O18:R18)</f>
        <v>8008</v>
      </c>
      <c r="AF23" s="164"/>
      <c r="AG23" s="164">
        <f>+N23-U21-V21-F19</f>
        <v>-24425.903</v>
      </c>
      <c r="AL23" s="152" t="s">
        <v>314</v>
      </c>
      <c r="AM23" s="154">
        <f>+P21</f>
        <v>0.0100000000002183</v>
      </c>
      <c r="AN23" s="164">
        <f>+$AL$21/$AM$27*AM23</f>
        <v>0</v>
      </c>
    </row>
    <row r="24" ht="14.75" spans="2:38">
      <c r="B24" s="178" t="s">
        <v>315</v>
      </c>
      <c r="C24" s="180">
        <f>C22</f>
        <v>24.2379200408239</v>
      </c>
      <c r="D24" s="180">
        <f>D22</f>
        <v>0</v>
      </c>
      <c r="E24" s="180">
        <f>E22</f>
        <v>11.9596509619798</v>
      </c>
      <c r="F24" s="180">
        <f>F22</f>
        <v>18.415215848032</v>
      </c>
      <c r="O24" s="199">
        <f>-(O20+P20+R20-O19-P19-R19)*0+Q22-R22-P22-O22+P17</f>
        <v>-828.253</v>
      </c>
      <c r="P24" s="199">
        <f>O24*188</f>
        <v>-155711.564</v>
      </c>
      <c r="Q24" s="199">
        <f ca="1">Q23+W23</f>
        <v>118.847462774697</v>
      </c>
      <c r="R24" s="199">
        <f ca="1">Q24-'[1]Product &amp; stock detail -Dec-24'!AA30</f>
        <v>-631696.593012778</v>
      </c>
      <c r="S24" s="199"/>
      <c r="T24" s="199"/>
      <c r="U24" s="154"/>
      <c r="V24" s="154"/>
      <c r="W24" s="152">
        <f>4553*'[1]Product &amp; stock detail -Dec-24'!W29</f>
        <v>387622.741051538</v>
      </c>
      <c r="Z24" s="154"/>
      <c r="AA24" s="154">
        <f>146830-126266</f>
        <v>20564</v>
      </c>
      <c r="AD24" s="164"/>
      <c r="AE24" s="164">
        <v>626.844947933825</v>
      </c>
      <c r="AF24" s="164"/>
      <c r="AG24" s="164">
        <f>+F16-AB21-F19</f>
        <v>3000.00000000001</v>
      </c>
      <c r="AL24" s="152" t="s">
        <v>52</v>
      </c>
    </row>
    <row r="25" spans="6:40">
      <c r="F25" s="182"/>
      <c r="H25" s="154"/>
      <c r="AA25" s="154">
        <f ca="1">AA29-Y29</f>
        <v>0</v>
      </c>
      <c r="AB25" s="152">
        <f ca="1">AA25*AA28</f>
        <v>0</v>
      </c>
      <c r="AD25" s="165"/>
      <c r="AE25" s="164"/>
      <c r="AF25" s="164"/>
      <c r="AG25" s="164"/>
      <c r="AH25" s="152" t="s">
        <v>316</v>
      </c>
      <c r="AI25" s="152" t="s">
        <v>317</v>
      </c>
      <c r="AJ25" s="152" t="s">
        <v>318</v>
      </c>
      <c r="AL25" s="152" t="s">
        <v>319</v>
      </c>
      <c r="AM25" s="154"/>
      <c r="AN25" s="164">
        <f>+$AL$21/$AM$27*AM25</f>
        <v>0</v>
      </c>
    </row>
    <row r="26" spans="2:40">
      <c r="B26" s="155" t="s">
        <v>0</v>
      </c>
      <c r="C26" s="155"/>
      <c r="D26" s="155"/>
      <c r="E26" s="155"/>
      <c r="F26" s="155"/>
      <c r="H26" s="183" t="s">
        <v>320</v>
      </c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E26" s="164"/>
      <c r="AF26" s="164"/>
      <c r="AH26" s="227">
        <v>5210</v>
      </c>
      <c r="AI26" s="227">
        <v>1200</v>
      </c>
      <c r="AJ26" s="227">
        <v>5300</v>
      </c>
      <c r="AL26" s="152" t="s">
        <v>321</v>
      </c>
      <c r="AM26" s="154"/>
      <c r="AN26" s="164">
        <f>+$AL$21/$AM$27*AM26</f>
        <v>0</v>
      </c>
    </row>
    <row r="27" ht="42" spans="2:40">
      <c r="B27" s="184" t="s">
        <v>322</v>
      </c>
      <c r="C27" s="184"/>
      <c r="D27" s="185" t="s">
        <v>323</v>
      </c>
      <c r="E27" s="185" t="s">
        <v>324</v>
      </c>
      <c r="F27" s="186" t="s">
        <v>58</v>
      </c>
      <c r="H27" s="175" t="s">
        <v>275</v>
      </c>
      <c r="I27" s="175" t="s">
        <v>94</v>
      </c>
      <c r="J27" s="203"/>
      <c r="K27" s="175" t="s">
        <v>298</v>
      </c>
      <c r="L27" s="175" t="s">
        <v>299</v>
      </c>
      <c r="M27" s="175" t="s">
        <v>300</v>
      </c>
      <c r="N27" s="175" t="s">
        <v>96</v>
      </c>
      <c r="O27" s="175" t="s">
        <v>97</v>
      </c>
      <c r="P27" s="175" t="s">
        <v>98</v>
      </c>
      <c r="Q27" s="175" t="s">
        <v>99</v>
      </c>
      <c r="R27" s="175" t="s">
        <v>100</v>
      </c>
      <c r="S27" s="175" t="s">
        <v>101</v>
      </c>
      <c r="T27" s="175" t="s">
        <v>102</v>
      </c>
      <c r="U27" s="175" t="s">
        <v>104</v>
      </c>
      <c r="V27" s="175" t="s">
        <v>106</v>
      </c>
      <c r="W27" s="175" t="s">
        <v>301</v>
      </c>
      <c r="X27" s="175" t="s">
        <v>125</v>
      </c>
      <c r="Y27" s="175" t="s">
        <v>126</v>
      </c>
      <c r="Z27" s="175" t="s">
        <v>302</v>
      </c>
      <c r="AA27" s="175" t="s">
        <v>128</v>
      </c>
      <c r="AB27" s="175" t="s">
        <v>58</v>
      </c>
      <c r="AD27" s="152" t="s">
        <v>325</v>
      </c>
      <c r="AE27" s="164"/>
      <c r="AF27" s="164"/>
      <c r="AM27" s="154">
        <f>SUM(AM22:AM26)</f>
        <v>0.0100000000002183</v>
      </c>
      <c r="AN27" s="154">
        <f>SUM(AN22:AN26)</f>
        <v>0</v>
      </c>
    </row>
    <row r="28" spans="1:33">
      <c r="A28" s="154"/>
      <c r="B28" s="159" t="s">
        <v>326</v>
      </c>
      <c r="C28" s="187">
        <f>C17+C8</f>
        <v>15026.898</v>
      </c>
      <c r="D28" s="188">
        <f>K18</f>
        <v>1569.346875</v>
      </c>
      <c r="E28" s="188">
        <f>K20</f>
        <v>1712</v>
      </c>
      <c r="F28" s="189">
        <f>C28+D28-E28</f>
        <v>14884.244875</v>
      </c>
      <c r="H28" s="159" t="s">
        <v>327</v>
      </c>
      <c r="I28" s="177">
        <f>+I18</f>
        <v>3338.14758701735</v>
      </c>
      <c r="K28" s="173">
        <f>D28</f>
        <v>1569.346875</v>
      </c>
      <c r="L28" s="173">
        <f>D29</f>
        <v>5026</v>
      </c>
      <c r="M28" s="173">
        <f>D32</f>
        <v>17928.1</v>
      </c>
      <c r="N28" s="177">
        <f t="shared" ref="N28:W28" si="3">+N18</f>
        <v>3100</v>
      </c>
      <c r="O28" s="177">
        <f t="shared" si="3"/>
        <v>1000</v>
      </c>
      <c r="P28" s="177">
        <f t="shared" si="3"/>
        <v>3712</v>
      </c>
      <c r="Q28" s="177">
        <f t="shared" si="3"/>
        <v>2936</v>
      </c>
      <c r="R28" s="177">
        <f t="shared" si="3"/>
        <v>360</v>
      </c>
      <c r="S28" s="177">
        <f t="shared" si="3"/>
        <v>4920.73</v>
      </c>
      <c r="T28" s="177">
        <f t="shared" si="3"/>
        <v>1090</v>
      </c>
      <c r="U28" s="177">
        <f t="shared" si="3"/>
        <v>2791.09</v>
      </c>
      <c r="V28" s="177">
        <f t="shared" si="3"/>
        <v>709.37</v>
      </c>
      <c r="W28" s="177">
        <f t="shared" si="3"/>
        <v>24093.45</v>
      </c>
      <c r="X28" s="177">
        <f>X18</f>
        <v>0</v>
      </c>
      <c r="Y28" s="177">
        <f>Y18</f>
        <v>60</v>
      </c>
      <c r="Z28" s="173">
        <f>Z18</f>
        <v>-339</v>
      </c>
      <c r="AA28" s="177">
        <f>AA18</f>
        <v>0</v>
      </c>
      <c r="AB28" s="177">
        <f>SUM(I28:AA28)</f>
        <v>72295.2344620173</v>
      </c>
      <c r="AC28" s="154">
        <f>SUM(N28:AA28)</f>
        <v>44433.64</v>
      </c>
      <c r="AD28" s="154">
        <f>X20</f>
        <v>70</v>
      </c>
      <c r="AE28" s="164">
        <f>'[1]Product &amp; stock detail -Apr-24'!U29</f>
        <v>232.536311321108</v>
      </c>
      <c r="AF28" s="164">
        <f>AD28*AE28</f>
        <v>16277.5417924775</v>
      </c>
      <c r="AG28" s="164">
        <f>+AB18+I18</f>
        <v>47771.7875870173</v>
      </c>
    </row>
    <row r="29" spans="2:35">
      <c r="B29" s="159" t="s">
        <v>328</v>
      </c>
      <c r="C29" s="187">
        <f>D17+D8</f>
        <v>0.946999999999889</v>
      </c>
      <c r="D29" s="188">
        <f>L18</f>
        <v>5026</v>
      </c>
      <c r="E29" s="188">
        <f>L20</f>
        <v>5026</v>
      </c>
      <c r="F29" s="189">
        <f>C29+D29-E29</f>
        <v>0.947000000000116</v>
      </c>
      <c r="H29" s="159" t="s">
        <v>329</v>
      </c>
      <c r="I29" s="177">
        <v>236.221695783949</v>
      </c>
      <c r="K29" s="204">
        <f ca="1">'Quarry Stock-Val'!$D$9</f>
        <v>87.2073479409382</v>
      </c>
      <c r="L29" s="204">
        <f ca="1">'Quarry Stock-Val'!$G$9</f>
        <v>79.4728292245927</v>
      </c>
      <c r="M29" s="204">
        <f ca="1">'Quarry Stock-Val'!$J$9</f>
        <v>92.2717349376713</v>
      </c>
      <c r="N29" s="177">
        <f ca="1">'Clos Stock op cf val -Jan 25'!$E$22</f>
        <v>586.944098993263</v>
      </c>
      <c r="O29" s="177">
        <f ca="1">'Clos Stock op cf val -Jan 25'!$E$20</f>
        <v>187.827230217302</v>
      </c>
      <c r="P29" s="177">
        <f ca="1">$O$29</f>
        <v>187.827230217302</v>
      </c>
      <c r="Q29" s="177">
        <f ca="1">$O$29</f>
        <v>187.827230217302</v>
      </c>
      <c r="R29" s="177">
        <f ca="1">$O$29</f>
        <v>187.827230217302</v>
      </c>
      <c r="S29" s="177">
        <f ca="1">'Clos Stock op cf val -Jan 25'!E21</f>
        <v>298.923377885993</v>
      </c>
      <c r="T29" s="177">
        <f ca="1">$S$29</f>
        <v>298.923377885993</v>
      </c>
      <c r="U29" s="177">
        <f ca="1">$N$29</f>
        <v>586.944098993263</v>
      </c>
      <c r="V29" s="177">
        <f ca="1">$N$29</f>
        <v>586.944098993263</v>
      </c>
      <c r="W29" s="177">
        <f>'[1]Product &amp; stock detail -Dec-24'!W29</f>
        <v>85.1356778061801</v>
      </c>
      <c r="X29" s="177">
        <f ca="1">$S$29</f>
        <v>298.923377885993</v>
      </c>
      <c r="Y29" s="177">
        <f ca="1">$S$29</f>
        <v>298.923377885993</v>
      </c>
      <c r="Z29" s="173">
        <f ca="1">$O$29</f>
        <v>187.827230217302</v>
      </c>
      <c r="AA29" s="173">
        <f ca="1">$S$29</f>
        <v>298.923377885993</v>
      </c>
      <c r="AB29" s="177"/>
      <c r="AC29" s="211"/>
      <c r="AD29" s="211">
        <f>X28-AD28</f>
        <v>-70</v>
      </c>
      <c r="AE29" s="164">
        <f ca="1">S29</f>
        <v>298.923377885993</v>
      </c>
      <c r="AF29" s="164">
        <f ca="1">AD29*AE29</f>
        <v>-20924.6364520195</v>
      </c>
      <c r="AG29" s="152">
        <v>18954</v>
      </c>
      <c r="AI29" s="227">
        <v>1492166</v>
      </c>
    </row>
    <row r="30" spans="2:35">
      <c r="B30" s="159" t="s">
        <v>330</v>
      </c>
      <c r="C30" s="187">
        <f>+C17+C8</f>
        <v>15026.898</v>
      </c>
      <c r="D30" s="188"/>
      <c r="E30" s="188"/>
      <c r="F30" s="189"/>
      <c r="H30" s="159" t="s">
        <v>9</v>
      </c>
      <c r="I30" s="177">
        <f ca="1">+L38</f>
        <v>907905.217440981</v>
      </c>
      <c r="K30" s="177">
        <f ca="1">K28*K29</f>
        <v>136858.578968149</v>
      </c>
      <c r="L30" s="177">
        <f ca="1">L28*L29</f>
        <v>399430.439682803</v>
      </c>
      <c r="M30" s="177">
        <f ca="1">M28*M29</f>
        <v>1654256.89113606</v>
      </c>
      <c r="N30" s="177">
        <f ca="1">+N28*N29</f>
        <v>1819526.70687911</v>
      </c>
      <c r="O30" s="205">
        <f ca="1">+O28*O29</f>
        <v>187827.230217302</v>
      </c>
      <c r="P30" s="206">
        <f ca="1" t="shared" ref="P30:AA30" si="4">+P28*P29</f>
        <v>697214.678566625</v>
      </c>
      <c r="Q30" s="173">
        <f ca="1" t="shared" si="4"/>
        <v>551460.747917999</v>
      </c>
      <c r="R30" s="173">
        <f ca="1" t="shared" si="4"/>
        <v>67617.8028782287</v>
      </c>
      <c r="S30" s="173">
        <f ca="1" t="shared" si="4"/>
        <v>1470921.23326494</v>
      </c>
      <c r="T30" s="205">
        <f ca="1" t="shared" si="4"/>
        <v>325826.481895733</v>
      </c>
      <c r="U30" s="205">
        <f ca="1" t="shared" si="4"/>
        <v>1638213.80525911</v>
      </c>
      <c r="V30" s="205">
        <f ca="1" t="shared" si="4"/>
        <v>416360.535502851</v>
      </c>
      <c r="W30" s="173">
        <f t="shared" si="4"/>
        <v>2051212.19643931</v>
      </c>
      <c r="X30" s="205">
        <f ca="1" t="shared" si="4"/>
        <v>0</v>
      </c>
      <c r="Y30" s="205">
        <f ca="1" t="shared" si="4"/>
        <v>17935.4026731596</v>
      </c>
      <c r="Z30" s="206">
        <f ca="1" t="shared" si="4"/>
        <v>-63673.4310436654</v>
      </c>
      <c r="AA30" s="173">
        <f ca="1" t="shared" si="4"/>
        <v>0</v>
      </c>
      <c r="AB30" s="173">
        <f ca="1">SUM(I30:AA30)</f>
        <v>12278894.5176787</v>
      </c>
      <c r="AC30" s="154">
        <f ca="1">SUM(N30:AA30)</f>
        <v>9180443.3904507</v>
      </c>
      <c r="AD30" s="154">
        <f>SUM(AD28:AD29)</f>
        <v>0</v>
      </c>
      <c r="AE30" s="164" t="e">
        <f ca="1">AF30/AD30</f>
        <v>#DIV/0!</v>
      </c>
      <c r="AF30" s="164">
        <f ca="1">SUM(AF28:AF29)</f>
        <v>-4647.09465954199</v>
      </c>
      <c r="AG30" s="154">
        <f>+AG28+AG29</f>
        <v>66725.7875870173</v>
      </c>
      <c r="AI30" s="227">
        <v>644087</v>
      </c>
    </row>
    <row r="31" spans="2:37">
      <c r="B31" s="159" t="s">
        <v>331</v>
      </c>
      <c r="C31" s="187">
        <f>+D17+D8</f>
        <v>0.946999999999889</v>
      </c>
      <c r="D31" s="188"/>
      <c r="E31" s="188"/>
      <c r="F31" s="189"/>
      <c r="L31" s="154"/>
      <c r="W31" s="154"/>
      <c r="AE31" s="164"/>
      <c r="AF31" s="164"/>
      <c r="AI31" s="152">
        <v>536422.272934888</v>
      </c>
      <c r="AJ31" s="227">
        <f>AI29-AI30-AI31</f>
        <v>311656.727065112</v>
      </c>
      <c r="AK31" s="227">
        <f>'[1]Product &amp; stock detail - Jan 24'!J30-'Product &amp; stock detail -Jan (3)'!AJ31</f>
        <v>9401.07235977933</v>
      </c>
    </row>
    <row r="32" spans="2:32">
      <c r="B32" s="159" t="s">
        <v>332</v>
      </c>
      <c r="C32" s="187">
        <f>E8+E17</f>
        <v>21547.31</v>
      </c>
      <c r="D32" s="188">
        <f>M18</f>
        <v>17928.1</v>
      </c>
      <c r="E32" s="188">
        <f>M20</f>
        <v>20048</v>
      </c>
      <c r="F32" s="189">
        <f>C32+D32-E32</f>
        <v>19427.41</v>
      </c>
      <c r="H32" s="155" t="s">
        <v>333</v>
      </c>
      <c r="I32" s="155"/>
      <c r="J32" s="155"/>
      <c r="K32" s="155"/>
      <c r="L32" s="155"/>
      <c r="M32" s="155"/>
      <c r="N32" s="155"/>
      <c r="O32" s="155"/>
      <c r="Q32" s="155" t="s">
        <v>334</v>
      </c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D32" s="152" t="s">
        <v>335</v>
      </c>
      <c r="AE32" s="164"/>
      <c r="AF32" s="164"/>
    </row>
    <row r="33" spans="2:32">
      <c r="B33" s="159" t="s">
        <v>336</v>
      </c>
      <c r="C33" s="187">
        <f>E17+E8</f>
        <v>21547.31</v>
      </c>
      <c r="D33" s="188"/>
      <c r="E33" s="188"/>
      <c r="F33" s="189"/>
      <c r="H33" s="190" t="s">
        <v>275</v>
      </c>
      <c r="I33" s="207" t="s">
        <v>139</v>
      </c>
      <c r="K33" s="190" t="s">
        <v>329</v>
      </c>
      <c r="L33" s="190" t="s">
        <v>9</v>
      </c>
      <c r="Q33" s="190" t="s">
        <v>275</v>
      </c>
      <c r="R33" s="207" t="s">
        <v>139</v>
      </c>
      <c r="V33" s="190" t="s">
        <v>329</v>
      </c>
      <c r="W33" s="190"/>
      <c r="X33" s="190"/>
      <c r="Y33" s="190"/>
      <c r="Z33" s="190"/>
      <c r="AA33" s="190" t="s">
        <v>9</v>
      </c>
      <c r="AD33" s="154">
        <f>Y20-Y17</f>
        <v>-1975.1</v>
      </c>
      <c r="AE33" s="164">
        <f>'[1]Product &amp; stock detail -Apr-24'!V29</f>
        <v>232.536311321108</v>
      </c>
      <c r="AF33" s="164">
        <f>AD33*AE33</f>
        <v>-459282.46849032</v>
      </c>
    </row>
    <row r="34" spans="2:45">
      <c r="B34" s="159" t="s">
        <v>337</v>
      </c>
      <c r="C34" s="187">
        <v>0</v>
      </c>
      <c r="D34" s="188"/>
      <c r="E34" s="188"/>
      <c r="F34" s="189"/>
      <c r="H34" s="159" t="s">
        <v>338</v>
      </c>
      <c r="I34" s="177">
        <f>'[1]Product &amp; stock detail -Dec-24'!I38</f>
        <v>7136.74758701734</v>
      </c>
      <c r="K34" s="177">
        <f>'[1]Product &amp; stock detail - Nov-24'!K38</f>
        <v>230.303309878319</v>
      </c>
      <c r="L34" s="177">
        <f>'[1]Product &amp; stock detail -Dec-24'!L38</f>
        <v>1685854.61738724</v>
      </c>
      <c r="N34" s="154"/>
      <c r="O34" s="154"/>
      <c r="Q34" s="159" t="s">
        <v>338</v>
      </c>
      <c r="R34" s="177">
        <v>0</v>
      </c>
      <c r="S34" s="211"/>
      <c r="T34" s="211"/>
      <c r="V34" s="177">
        <v>0</v>
      </c>
      <c r="W34" s="177"/>
      <c r="X34" s="177"/>
      <c r="Y34" s="177"/>
      <c r="Z34" s="177"/>
      <c r="AA34" s="177">
        <f>+R34*V34</f>
        <v>0</v>
      </c>
      <c r="AD34" s="154">
        <f>Y28-AD33</f>
        <v>2035.1</v>
      </c>
      <c r="AE34" s="154">
        <f ca="1">T29</f>
        <v>298.923377885993</v>
      </c>
      <c r="AF34" s="164">
        <f ca="1">AD34*AE34</f>
        <v>608338.966335785</v>
      </c>
      <c r="AH34" s="154"/>
      <c r="AI34" s="154"/>
      <c r="AJ34" s="154"/>
      <c r="AK34" s="154"/>
      <c r="AN34" s="228"/>
      <c r="AR34" s="154"/>
      <c r="AS34" s="165"/>
    </row>
    <row r="35" spans="2:43">
      <c r="B35" s="159" t="s">
        <v>339</v>
      </c>
      <c r="C35" s="187">
        <v>0</v>
      </c>
      <c r="D35" s="188"/>
      <c r="E35" s="188"/>
      <c r="F35" s="189"/>
      <c r="H35" s="159" t="s">
        <v>340</v>
      </c>
      <c r="I35" s="189">
        <f>C5</f>
        <v>24149.58</v>
      </c>
      <c r="K35" s="177">
        <f ca="1">+L35/I35</f>
        <v>282.545772638696</v>
      </c>
      <c r="L35" s="177">
        <f ca="1">'Cost sheet - Detailed'!AG71+'Cost sheet - Detailed'!CW71</f>
        <v>6823361.74</v>
      </c>
      <c r="M35" s="154"/>
      <c r="Q35" s="159" t="s">
        <v>340</v>
      </c>
      <c r="R35" s="177">
        <v>0</v>
      </c>
      <c r="S35" s="211"/>
      <c r="T35" s="211"/>
      <c r="V35" s="177">
        <v>0</v>
      </c>
      <c r="W35" s="177"/>
      <c r="X35" s="177"/>
      <c r="Y35" s="177"/>
      <c r="Z35" s="177"/>
      <c r="AA35" s="177">
        <f>+R35*V35</f>
        <v>0</v>
      </c>
      <c r="AD35" s="154">
        <f>SUM(AD33:AD34)</f>
        <v>60</v>
      </c>
      <c r="AE35" s="152">
        <f ca="1">AF35/AD35</f>
        <v>2484.27496409109</v>
      </c>
      <c r="AF35" s="154">
        <f ca="1">SUM(AF33:AF34)</f>
        <v>149056.497845465</v>
      </c>
      <c r="AG35" s="152" t="s">
        <v>341</v>
      </c>
      <c r="AH35" s="154"/>
      <c r="AI35" s="154" t="s">
        <v>342</v>
      </c>
      <c r="AK35" s="154" t="s">
        <v>343</v>
      </c>
      <c r="AN35" s="228" t="s">
        <v>344</v>
      </c>
      <c r="AQ35" s="152" t="s">
        <v>344</v>
      </c>
    </row>
    <row r="36" spans="2:43">
      <c r="B36" s="159" t="s">
        <v>33</v>
      </c>
      <c r="C36" s="187">
        <f>+F17-N28</f>
        <v>35445.335</v>
      </c>
      <c r="D36" s="188"/>
      <c r="E36" s="188"/>
      <c r="F36" s="189"/>
      <c r="H36" s="159"/>
      <c r="I36" s="177">
        <f>+I34+I35</f>
        <v>31286.3275870173</v>
      </c>
      <c r="K36" s="177">
        <f ca="1">+L36/I36</f>
        <v>271.978752818476</v>
      </c>
      <c r="L36" s="177">
        <f ca="1">+L34+L35</f>
        <v>8509216.35738724</v>
      </c>
      <c r="Q36" s="167" t="s">
        <v>58</v>
      </c>
      <c r="R36" s="212">
        <f>+R34+R35</f>
        <v>0</v>
      </c>
      <c r="S36" s="213"/>
      <c r="T36" s="213"/>
      <c r="U36" s="181"/>
      <c r="V36" s="212">
        <f>+IFERROR((AA36/R36),0)</f>
        <v>0</v>
      </c>
      <c r="W36" s="212"/>
      <c r="X36" s="212"/>
      <c r="Y36" s="212"/>
      <c r="Z36" s="212"/>
      <c r="AA36" s="197">
        <f>SUM(AA34:AA35)</f>
        <v>0</v>
      </c>
      <c r="AE36" s="152" t="s">
        <v>166</v>
      </c>
      <c r="AG36" s="152" t="s">
        <v>345</v>
      </c>
      <c r="AH36" s="154" t="s">
        <v>329</v>
      </c>
      <c r="AI36" s="154" t="s">
        <v>345</v>
      </c>
      <c r="AJ36" s="152" t="s">
        <v>329</v>
      </c>
      <c r="AK36" s="154" t="s">
        <v>345</v>
      </c>
      <c r="AL36" s="152" t="s">
        <v>329</v>
      </c>
      <c r="AN36" s="228" t="s">
        <v>139</v>
      </c>
      <c r="AO36" s="152" t="s">
        <v>346</v>
      </c>
      <c r="AP36" s="154"/>
      <c r="AQ36" s="152" t="s">
        <v>139</v>
      </c>
    </row>
    <row r="37" spans="2:42">
      <c r="B37" s="159" t="s">
        <v>120</v>
      </c>
      <c r="C37" s="187">
        <f>+C36</f>
        <v>35445.335</v>
      </c>
      <c r="D37" s="188"/>
      <c r="E37" s="188"/>
      <c r="F37" s="189"/>
      <c r="H37" s="159" t="s">
        <v>347</v>
      </c>
      <c r="I37" s="177">
        <f>+C11</f>
        <v>27948.18</v>
      </c>
      <c r="K37" s="177">
        <f ca="1">K36</f>
        <v>271.978752818476</v>
      </c>
      <c r="L37" s="177">
        <f ca="1">I37*K37</f>
        <v>7601311.13994626</v>
      </c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H37" s="154"/>
      <c r="AI37" s="154"/>
      <c r="AK37" s="154"/>
      <c r="AN37" s="165">
        <v>0</v>
      </c>
      <c r="AP37" s="154"/>
    </row>
    <row r="38" spans="8:40">
      <c r="H38" s="159" t="s">
        <v>348</v>
      </c>
      <c r="I38" s="177">
        <f>+I36-I37</f>
        <v>3338.14758701735</v>
      </c>
      <c r="K38" s="177">
        <f ca="1">K37</f>
        <v>271.978752818476</v>
      </c>
      <c r="L38" s="173">
        <f ca="1">+I38*K38</f>
        <v>907905.217440981</v>
      </c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 t="s">
        <v>98</v>
      </c>
      <c r="AF38" s="164"/>
      <c r="AG38" s="152">
        <f>'[1]Product &amp; stock detail - Nov 23'!L20</f>
        <v>0</v>
      </c>
      <c r="AH38" s="154">
        <v>0</v>
      </c>
      <c r="AI38" s="154">
        <v>200</v>
      </c>
      <c r="AJ38" s="152">
        <v>331.338114142821</v>
      </c>
      <c r="AK38" s="154">
        <f>P20</f>
        <v>3720</v>
      </c>
      <c r="AL38" s="152">
        <f>'[1]Product &amp; stock detail - Dec 23'!L29</f>
        <v>292.284989949118</v>
      </c>
      <c r="AN38" s="152">
        <v>604</v>
      </c>
    </row>
    <row r="39" spans="13:41">
      <c r="M39" s="154"/>
      <c r="O39" s="15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 t="s">
        <v>99</v>
      </c>
      <c r="AF39" s="164"/>
      <c r="AG39" s="152">
        <f>'[1]Product &amp; stock detail - Nov 23'!M20</f>
        <v>0</v>
      </c>
      <c r="AH39" s="154">
        <v>0</v>
      </c>
      <c r="AI39" s="152">
        <v>70</v>
      </c>
      <c r="AJ39" s="152">
        <v>331.338114142821</v>
      </c>
      <c r="AK39" s="154">
        <f>Q20</f>
        <v>3493.76</v>
      </c>
      <c r="AL39" s="152">
        <f>'[1]Product &amp; stock detail - Dec 23'!M29</f>
        <v>291.800005226341</v>
      </c>
      <c r="AN39" s="152">
        <v>2971.97</v>
      </c>
      <c r="AO39" s="154"/>
    </row>
    <row r="40" spans="14:42">
      <c r="N40" s="164"/>
      <c r="O40" s="164"/>
      <c r="AH40" s="154"/>
      <c r="AK40" s="154"/>
      <c r="AP40" s="154"/>
    </row>
    <row r="41" spans="3:42">
      <c r="C41" s="154"/>
      <c r="D41" s="154"/>
      <c r="E41" s="154"/>
      <c r="H41" s="154" t="s">
        <v>349</v>
      </c>
      <c r="I41" s="154"/>
      <c r="N41" s="164"/>
      <c r="O41" s="164"/>
      <c r="AH41" s="154"/>
      <c r="AK41" s="154"/>
      <c r="AP41" s="154"/>
    </row>
    <row r="42" spans="3:41">
      <c r="C42" s="165"/>
      <c r="D42" s="165"/>
      <c r="E42" s="165"/>
      <c r="H42" s="165"/>
      <c r="I42" s="165"/>
      <c r="K42" s="165"/>
      <c r="N42" s="164"/>
      <c r="O42" s="164"/>
      <c r="AH42" s="154"/>
      <c r="AK42" s="154"/>
      <c r="AO42" s="165"/>
    </row>
    <row r="43" spans="3:34">
      <c r="C43" s="176"/>
      <c r="D43" s="176"/>
      <c r="E43" s="176"/>
      <c r="F43" s="176"/>
      <c r="H43" s="176" t="s">
        <v>350</v>
      </c>
      <c r="I43" s="208">
        <f>'Input Sheet'!AC58</f>
        <v>5501.40758701734</v>
      </c>
      <c r="K43" s="176"/>
      <c r="N43" s="154"/>
      <c r="AH43" s="154"/>
    </row>
    <row r="44" spans="8:22">
      <c r="H44" s="152" t="s">
        <v>351</v>
      </c>
      <c r="I44" s="208">
        <f>I38</f>
        <v>3338.14758701735</v>
      </c>
      <c r="N44" s="165"/>
      <c r="U44" s="154"/>
      <c r="V44" s="154"/>
    </row>
    <row r="45" spans="6:22">
      <c r="F45" s="176"/>
      <c r="H45" s="152" t="s">
        <v>353</v>
      </c>
      <c r="I45" s="208">
        <f>I43-I44</f>
        <v>2163.25999999999</v>
      </c>
      <c r="K45" s="176"/>
      <c r="V45" s="154"/>
    </row>
    <row r="46" spans="31:40">
      <c r="AE46" s="152" t="s">
        <v>107</v>
      </c>
      <c r="AI46" s="152" t="s">
        <v>345</v>
      </c>
      <c r="AJ46" s="152" t="s">
        <v>329</v>
      </c>
      <c r="AK46" s="152" t="s">
        <v>345</v>
      </c>
      <c r="AL46" s="152" t="s">
        <v>329</v>
      </c>
      <c r="AN46" s="152" t="s">
        <v>139</v>
      </c>
    </row>
    <row r="48" spans="31:49">
      <c r="AE48" s="152" t="s">
        <v>98</v>
      </c>
      <c r="AI48" s="152">
        <v>467.63</v>
      </c>
      <c r="AK48" s="152">
        <v>163.18</v>
      </c>
      <c r="AN48" s="152">
        <v>321.61</v>
      </c>
      <c r="AQ48" s="152">
        <v>321.61</v>
      </c>
      <c r="AR48" s="152" t="s">
        <v>355</v>
      </c>
      <c r="AS48" s="154">
        <f>AI38-AK48</f>
        <v>36.82</v>
      </c>
      <c r="AT48" s="152">
        <f>AJ38</f>
        <v>331.338114142821</v>
      </c>
      <c r="AU48" s="154">
        <f>AN48-AS48</f>
        <v>284.79</v>
      </c>
      <c r="AV48" s="152">
        <f>AL38</f>
        <v>292.284989949118</v>
      </c>
      <c r="AW48" s="165">
        <f>(AS48*AT48)+(AU48*AV48)</f>
        <v>95439.7116503481</v>
      </c>
    </row>
    <row r="49" spans="31:49">
      <c r="AE49" s="152" t="s">
        <v>99</v>
      </c>
      <c r="AI49" s="152">
        <v>1771.48</v>
      </c>
      <c r="AK49" s="152">
        <v>587.74</v>
      </c>
      <c r="AN49" s="152">
        <v>2791.65</v>
      </c>
      <c r="AQ49" s="152">
        <v>2791.65</v>
      </c>
      <c r="AR49" s="152" t="s">
        <v>355</v>
      </c>
      <c r="AS49" s="154">
        <f>AK39</f>
        <v>3493.76</v>
      </c>
      <c r="AT49" s="152">
        <f>AL39</f>
        <v>291.800005226341</v>
      </c>
      <c r="AU49" s="154">
        <f>AN49-AS49</f>
        <v>-702.11</v>
      </c>
      <c r="AV49" s="152">
        <f>'[1]Cost sheet - summary-Jan'!J24</f>
        <v>233.59987373776</v>
      </c>
      <c r="AW49" s="165">
        <f>(AS49*AT49)+(AU49*AV49)</f>
        <v>855466.378909564</v>
      </c>
    </row>
    <row r="50" spans="31:49">
      <c r="AE50" s="152" t="s">
        <v>100</v>
      </c>
      <c r="AI50" s="152">
        <v>677.71</v>
      </c>
      <c r="AK50" s="152">
        <v>310.31</v>
      </c>
      <c r="AN50" s="152">
        <v>468.68</v>
      </c>
      <c r="AQ50" s="152">
        <v>468.68</v>
      </c>
      <c r="AR50" s="152" t="s">
        <v>355</v>
      </c>
      <c r="AS50" s="152">
        <f>AQ50</f>
        <v>468.68</v>
      </c>
      <c r="AT50" s="152">
        <f>AL40</f>
        <v>0</v>
      </c>
      <c r="AW50" s="165">
        <f>(AS50*AT50)+(AU50*AV50)</f>
        <v>0</v>
      </c>
    </row>
    <row r="51" spans="31:49">
      <c r="AE51" s="152" t="s">
        <v>104</v>
      </c>
      <c r="AI51" s="152">
        <v>20941.48</v>
      </c>
      <c r="AK51" s="152">
        <v>18569.86</v>
      </c>
      <c r="AN51" s="152">
        <v>22192.67</v>
      </c>
      <c r="AQ51" s="152">
        <v>22192.67</v>
      </c>
      <c r="AS51" s="154">
        <f>AK41</f>
        <v>0</v>
      </c>
      <c r="AT51" s="154">
        <f>AL41</f>
        <v>0</v>
      </c>
      <c r="AU51" s="154">
        <f>AQ51-AS51</f>
        <v>22192.67</v>
      </c>
      <c r="AV51" s="152">
        <f>'[1]Cost sheet - summary-Jan'!J18</f>
        <v>506.261587128721</v>
      </c>
      <c r="AW51" s="165">
        <f>(AS51*AT51)+(AU51*AV51)</f>
        <v>11235296.336824</v>
      </c>
    </row>
    <row r="52" spans="31:49">
      <c r="AE52" s="152" t="s">
        <v>106</v>
      </c>
      <c r="AI52" s="152">
        <v>9884.99</v>
      </c>
      <c r="AK52" s="152">
        <v>8698.83</v>
      </c>
      <c r="AN52" s="152">
        <v>8739.28</v>
      </c>
      <c r="AQ52" s="152">
        <v>8739.28</v>
      </c>
      <c r="AS52" s="154">
        <f>AK42</f>
        <v>0</v>
      </c>
      <c r="AT52" s="154">
        <f>AL42</f>
        <v>0</v>
      </c>
      <c r="AU52" s="154">
        <f>AQ52-AS52</f>
        <v>8739.28</v>
      </c>
      <c r="AV52" s="152">
        <f>AV51</f>
        <v>506.261587128721</v>
      </c>
      <c r="AW52" s="165">
        <f>(AS52*AT52)+(AU52*AV52)</f>
        <v>4424361.76316229</v>
      </c>
    </row>
    <row r="53" spans="31:43">
      <c r="AE53" s="152" t="s">
        <v>50</v>
      </c>
      <c r="AI53" s="152">
        <v>1159.15</v>
      </c>
      <c r="AK53" s="152">
        <v>688.64</v>
      </c>
      <c r="AN53" s="152">
        <v>674.22</v>
      </c>
      <c r="AQ53" s="152">
        <v>674.22</v>
      </c>
    </row>
    <row r="54" spans="49:49">
      <c r="AW54" s="165">
        <f>SUM(AW48:AW53)</f>
        <v>16610564.1905462</v>
      </c>
    </row>
    <row r="55" spans="35:40">
      <c r="AI55" s="152" t="s">
        <v>342</v>
      </c>
      <c r="AK55" s="152" t="s">
        <v>343</v>
      </c>
      <c r="AN55" s="152" t="s">
        <v>344</v>
      </c>
    </row>
    <row r="56" spans="31:40">
      <c r="AE56" s="152" t="s">
        <v>358</v>
      </c>
      <c r="AI56" s="152" t="s">
        <v>345</v>
      </c>
      <c r="AJ56" s="152" t="s">
        <v>329</v>
      </c>
      <c r="AK56" s="152" t="s">
        <v>345</v>
      </c>
      <c r="AL56" s="152" t="s">
        <v>329</v>
      </c>
      <c r="AN56" s="152" t="s">
        <v>139</v>
      </c>
    </row>
    <row r="57" spans="31:41">
      <c r="AE57" s="152" t="s">
        <v>97</v>
      </c>
      <c r="AI57" s="152">
        <v>7.61</v>
      </c>
      <c r="AJ57" s="152">
        <v>0</v>
      </c>
      <c r="AO57" s="152">
        <f>SUM('[1]Traditional P &amp; L'!I38:I44)+'[1]Traditional P &amp; L'!I37-'[1]Traditional P &amp; L'!I31</f>
        <v>20375383.6011321</v>
      </c>
    </row>
    <row r="58" spans="31:41">
      <c r="AE58" s="152" t="s">
        <v>98</v>
      </c>
      <c r="AI58" s="152">
        <v>36.82</v>
      </c>
      <c r="AJ58" s="152">
        <v>331.338114142821</v>
      </c>
      <c r="AK58" s="152">
        <v>284.79</v>
      </c>
      <c r="AL58" s="152">
        <v>292.747072373417</v>
      </c>
      <c r="AO58" s="152">
        <f>SUM('[1]Profit computation-Feb'!J7:J22)+'[1]Profit computation-Feb'!J30</f>
        <v>4348448.56467557</v>
      </c>
    </row>
    <row r="59" spans="31:41">
      <c r="AE59" s="152" t="s">
        <v>99</v>
      </c>
      <c r="AK59" s="152">
        <v>1450</v>
      </c>
      <c r="AL59" s="152">
        <v>292.090205095636</v>
      </c>
      <c r="AM59" s="152">
        <v>1341.65</v>
      </c>
      <c r="AO59" s="152">
        <f>AO57-AO58</f>
        <v>16026935.0364565</v>
      </c>
    </row>
    <row r="60" spans="31:41">
      <c r="AE60" s="152" t="s">
        <v>100</v>
      </c>
      <c r="AK60" s="152">
        <v>468.68</v>
      </c>
      <c r="AL60" s="152">
        <v>292.090205095636</v>
      </c>
      <c r="AO60" s="152">
        <f>'[1]Profit computation-Feb'!E23+'[1]Profit computation-Feb'!E24</f>
        <v>35737.98165</v>
      </c>
    </row>
    <row r="61" spans="31:41">
      <c r="AE61" s="152" t="s">
        <v>104</v>
      </c>
      <c r="AK61" s="152">
        <v>847</v>
      </c>
      <c r="AL61" s="152">
        <v>528.500386018109</v>
      </c>
      <c r="AM61" s="152">
        <v>21345.67</v>
      </c>
      <c r="AO61" s="152">
        <f>AO59/AO60</f>
        <v>448.456636231344</v>
      </c>
    </row>
    <row r="62" spans="31:39">
      <c r="AE62" s="152" t="s">
        <v>106</v>
      </c>
      <c r="AK62" s="152">
        <v>712</v>
      </c>
      <c r="AL62" s="152">
        <v>528.500386018109</v>
      </c>
      <c r="AM62" s="152">
        <v>8027.28</v>
      </c>
    </row>
    <row r="63" spans="31:39">
      <c r="AE63" s="152" t="s">
        <v>50</v>
      </c>
      <c r="AM63" s="152">
        <v>674.22</v>
      </c>
    </row>
    <row r="65" spans="35:39">
      <c r="AI65" s="152">
        <v>44.43</v>
      </c>
      <c r="AK65" s="152">
        <v>3762.47</v>
      </c>
      <c r="AM65" s="152">
        <v>30714.6</v>
      </c>
    </row>
  </sheetData>
  <mergeCells count="11">
    <mergeCell ref="B2:F2"/>
    <mergeCell ref="H2:AA2"/>
    <mergeCell ref="B3:F3"/>
    <mergeCell ref="B13:F13"/>
    <mergeCell ref="B14:F14"/>
    <mergeCell ref="H15:AB15"/>
    <mergeCell ref="B26:F26"/>
    <mergeCell ref="H26:AB26"/>
    <mergeCell ref="B27:C27"/>
    <mergeCell ref="H32:O32"/>
    <mergeCell ref="Q32:AA32"/>
  </mergeCells>
  <pageMargins left="0.236220472440945" right="0.236220472440945" top="0.748031496062992" bottom="0.748031496062992" header="0.31496062992126" footer="0.31496062992126"/>
  <pageSetup paperSize="9" scale="79" orientation="landscape"/>
  <headerFooter/>
  <colBreaks count="1" manualBreakCount="1">
    <brk id="27" max="3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W65"/>
  <sheetViews>
    <sheetView showGridLines="0" zoomScale="75" zoomScaleNormal="75" topLeftCell="E5" workbookViewId="0">
      <selection activeCell="F16" sqref="F16"/>
    </sheetView>
  </sheetViews>
  <sheetFormatPr defaultColWidth="9.45454545454546" defaultRowHeight="14"/>
  <cols>
    <col min="1" max="1" width="11.4545454545455" style="152" customWidth="1"/>
    <col min="2" max="2" width="29.4545454545455" style="152" customWidth="1"/>
    <col min="3" max="6" width="12.5454545454545" style="152" customWidth="1"/>
    <col min="7" max="7" width="2.81818181818182" style="152" customWidth="1"/>
    <col min="8" max="8" width="20.8181818181818" style="152" customWidth="1"/>
    <col min="9" max="9" width="13" style="152" customWidth="1"/>
    <col min="10" max="10" width="2.81818181818182" style="152" customWidth="1"/>
    <col min="11" max="12" width="12.4545454545455" style="152" customWidth="1"/>
    <col min="13" max="14" width="10.8181818181818" style="152" customWidth="1"/>
    <col min="15" max="15" width="12.4545454545455" style="152" customWidth="1"/>
    <col min="16" max="16" width="10.8181818181818" style="152" customWidth="1"/>
    <col min="17" max="17" width="15.5454545454545" style="152" customWidth="1"/>
    <col min="18" max="26" width="10.8181818181818" style="152" customWidth="1"/>
    <col min="27" max="30" width="12.4545454545455" style="152" customWidth="1"/>
    <col min="31" max="32" width="21.8181818181818" style="152" customWidth="1"/>
    <col min="33" max="33" width="9.45454545454546" style="152"/>
    <col min="34" max="34" width="12.5454545454545" style="152" customWidth="1"/>
    <col min="35" max="36" width="9.45454545454546" style="152"/>
    <col min="37" max="37" width="11.8181818181818" style="152" customWidth="1"/>
    <col min="38" max="38" width="12.0909090909091" style="152" customWidth="1"/>
    <col min="39" max="39" width="9.45454545454546" style="152"/>
    <col min="40" max="42" width="10.8181818181818" style="152" customWidth="1"/>
    <col min="43" max="48" width="9.45454545454546" style="152"/>
    <col min="49" max="49" width="14.0909090909091" style="152" customWidth="1"/>
    <col min="50" max="16384" width="9.45454545454546" style="152"/>
  </cols>
  <sheetData>
    <row r="1" ht="45.5" spans="6:6">
      <c r="F1" s="153" t="s">
        <v>644</v>
      </c>
    </row>
    <row r="2" spans="1:27">
      <c r="A2" s="154"/>
      <c r="B2" s="155" t="s">
        <v>0</v>
      </c>
      <c r="C2" s="155"/>
      <c r="D2" s="155"/>
      <c r="E2" s="155"/>
      <c r="F2" s="155"/>
      <c r="H2" s="156" t="s">
        <v>273</v>
      </c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spans="2:6">
      <c r="B3" s="157" t="s">
        <v>274</v>
      </c>
      <c r="C3" s="157"/>
      <c r="D3" s="157"/>
      <c r="E3" s="157"/>
      <c r="F3" s="157"/>
    </row>
    <row r="4" spans="2:6">
      <c r="B4" s="158" t="s">
        <v>275</v>
      </c>
      <c r="C4" s="158" t="s">
        <v>276</v>
      </c>
      <c r="D4" s="158" t="s">
        <v>277</v>
      </c>
      <c r="E4" s="158" t="s">
        <v>3</v>
      </c>
      <c r="F4" s="158" t="s">
        <v>58</v>
      </c>
    </row>
    <row r="5" spans="1:7">
      <c r="A5" s="154"/>
      <c r="B5" s="159" t="s">
        <v>278</v>
      </c>
      <c r="C5" s="160">
        <f>'Input Sheet'!AH135+'Input Sheet'!AI135</f>
        <v>24149.58</v>
      </c>
      <c r="D5" s="161">
        <f>'Input Sheet'!AL135</f>
        <v>0</v>
      </c>
      <c r="E5" s="162">
        <f>'Input Sheet'!AJ135+'Input Sheet'!AK135</f>
        <v>22987.47</v>
      </c>
      <c r="F5" s="163">
        <f>+C5+D5+E5</f>
        <v>47137.05</v>
      </c>
      <c r="G5" s="164"/>
    </row>
    <row r="6" spans="2:40">
      <c r="B6" s="159" t="s">
        <v>643</v>
      </c>
      <c r="C6" s="160">
        <v>0</v>
      </c>
      <c r="D6" s="161">
        <v>0</v>
      </c>
      <c r="E6" s="162">
        <f>'Input Sheet'!AT136</f>
        <v>1761.49</v>
      </c>
      <c r="F6" s="163">
        <f>+C6+D6+E6</f>
        <v>1761.49</v>
      </c>
      <c r="G6" s="164"/>
      <c r="H6" s="152" t="s">
        <v>280</v>
      </c>
      <c r="AE6" s="152" t="s">
        <v>281</v>
      </c>
      <c r="AI6" s="154">
        <f ca="1">+N29</f>
        <v>586.944098993263</v>
      </c>
      <c r="AJ6" s="152">
        <f>+'[2]Production &amp; stock details'!I30</f>
        <v>207.281654438487</v>
      </c>
      <c r="AM6" s="222" t="s">
        <v>282</v>
      </c>
      <c r="AN6" s="154">
        <f>I34</f>
        <v>7136.74758701734</v>
      </c>
    </row>
    <row r="7" spans="2:40">
      <c r="B7" s="159"/>
      <c r="C7" s="160">
        <f>+C5-C6</f>
        <v>24149.58</v>
      </c>
      <c r="D7" s="161">
        <f>+D5-D6</f>
        <v>0</v>
      </c>
      <c r="E7" s="162">
        <f>+E5-E6</f>
        <v>21225.98</v>
      </c>
      <c r="F7" s="163">
        <f>+F5-F6</f>
        <v>45375.56</v>
      </c>
      <c r="G7" s="164"/>
      <c r="AE7" s="214" t="s">
        <v>283</v>
      </c>
      <c r="AF7" s="214"/>
      <c r="AG7" s="223"/>
      <c r="AJ7" s="154">
        <f ca="1">+AJ6-AI6</f>
        <v>-379.662444554775</v>
      </c>
      <c r="AK7" s="165">
        <f ca="1">+AG7*AJ7</f>
        <v>0</v>
      </c>
      <c r="AM7" s="222" t="s">
        <v>284</v>
      </c>
      <c r="AN7" s="165">
        <f>C5</f>
        <v>24149.58</v>
      </c>
    </row>
    <row r="8" spans="1:40">
      <c r="A8" s="165"/>
      <c r="B8" s="159" t="s">
        <v>285</v>
      </c>
      <c r="C8" s="166">
        <f>'Input Sheet'!$AI$136</f>
        <v>-3798.6</v>
      </c>
      <c r="D8" s="161">
        <v>0</v>
      </c>
      <c r="E8" s="162">
        <f>'Input Sheet'!$AJ$136</f>
        <v>1828.41999999999</v>
      </c>
      <c r="F8" s="163">
        <f>+C8+D8+E8</f>
        <v>-1970.18</v>
      </c>
      <c r="G8" s="164"/>
      <c r="H8" s="152" t="s">
        <v>286</v>
      </c>
      <c r="AE8" s="214" t="s">
        <v>261</v>
      </c>
      <c r="AF8" s="214"/>
      <c r="AG8" s="223">
        <f>+F9</f>
        <v>47345.74</v>
      </c>
      <c r="AM8" s="222" t="s">
        <v>261</v>
      </c>
      <c r="AN8" s="165">
        <f>C16+N21</f>
        <v>27948.18</v>
      </c>
    </row>
    <row r="9" spans="1:40">
      <c r="A9" s="165"/>
      <c r="B9" s="159" t="s">
        <v>287</v>
      </c>
      <c r="C9" s="160">
        <f>+C7-C8</f>
        <v>27948.18</v>
      </c>
      <c r="D9" s="161">
        <f>+D7-D8</f>
        <v>0</v>
      </c>
      <c r="E9" s="162">
        <f>+E7-E8</f>
        <v>19397.56</v>
      </c>
      <c r="F9" s="163">
        <f>+F7-F8</f>
        <v>47345.74</v>
      </c>
      <c r="G9" s="164"/>
      <c r="AE9" s="214" t="s">
        <v>59</v>
      </c>
      <c r="AF9" s="214"/>
      <c r="AG9" s="223">
        <f>+F10</f>
        <v>0</v>
      </c>
      <c r="AM9" s="222" t="s">
        <v>166</v>
      </c>
      <c r="AN9" s="165">
        <f>AN6+AN7-AN8</f>
        <v>3338.14758701735</v>
      </c>
    </row>
    <row r="10" spans="1:33">
      <c r="A10" s="165"/>
      <c r="B10" s="159" t="s">
        <v>288</v>
      </c>
      <c r="C10" s="160"/>
      <c r="D10" s="161"/>
      <c r="E10" s="162"/>
      <c r="F10" s="163">
        <f>+C10-D10</f>
        <v>0</v>
      </c>
      <c r="G10" s="164"/>
      <c r="H10" s="152" t="s">
        <v>289</v>
      </c>
      <c r="AE10" s="214"/>
      <c r="AF10" s="214"/>
      <c r="AG10" s="223">
        <f>+AG7+AG8-AG9</f>
        <v>47345.74</v>
      </c>
    </row>
    <row r="11" spans="1:38">
      <c r="A11" s="165"/>
      <c r="B11" s="167" t="s">
        <v>290</v>
      </c>
      <c r="C11" s="168">
        <f>+C9+C10</f>
        <v>27948.18</v>
      </c>
      <c r="D11" s="169">
        <f>+D9-D10</f>
        <v>0</v>
      </c>
      <c r="E11" s="170">
        <f>+E9-E10</f>
        <v>19397.56</v>
      </c>
      <c r="F11" s="171">
        <f>+F9-F10</f>
        <v>47345.74</v>
      </c>
      <c r="G11" s="164"/>
      <c r="H11" s="152" t="s">
        <v>291</v>
      </c>
      <c r="AE11" s="215" t="s">
        <v>61</v>
      </c>
      <c r="AF11" s="215"/>
      <c r="AG11" s="224">
        <f>+F19</f>
        <v>8700.405</v>
      </c>
      <c r="AH11" s="152" t="s">
        <v>292</v>
      </c>
      <c r="AI11" s="225">
        <v>45352</v>
      </c>
      <c r="AJ11" s="154">
        <v>287.66</v>
      </c>
      <c r="AK11" s="152">
        <v>352.583743548086</v>
      </c>
      <c r="AL11" s="165">
        <f>AJ11*AK11</f>
        <v>101424.239669042</v>
      </c>
    </row>
    <row r="12" spans="3:38">
      <c r="C12" s="164"/>
      <c r="D12" s="164"/>
      <c r="E12" s="164"/>
      <c r="F12" s="164"/>
      <c r="G12" s="164"/>
      <c r="AE12" s="214"/>
      <c r="AF12" s="214"/>
      <c r="AG12" s="223">
        <f>+AG10-AG11</f>
        <v>38645.335</v>
      </c>
      <c r="AH12" s="152" t="s">
        <v>292</v>
      </c>
      <c r="AI12" s="225">
        <v>45352</v>
      </c>
      <c r="AJ12" s="154">
        <f>R18-AJ11</f>
        <v>72.34</v>
      </c>
      <c r="AK12" s="154">
        <f>'[1]Cost sheet - summary-Mar'!J24</f>
        <v>0</v>
      </c>
      <c r="AL12" s="165">
        <f>AJ12*AK12</f>
        <v>0</v>
      </c>
    </row>
    <row r="13" spans="2:38">
      <c r="B13" s="155" t="s">
        <v>0</v>
      </c>
      <c r="C13" s="155"/>
      <c r="D13" s="155"/>
      <c r="E13" s="155"/>
      <c r="F13" s="155"/>
      <c r="G13" s="164"/>
      <c r="P13" s="154"/>
      <c r="Q13" s="154"/>
      <c r="S13" s="154"/>
      <c r="Z13" s="154"/>
      <c r="AB13" s="165"/>
      <c r="AC13" s="165"/>
      <c r="AD13" s="165"/>
      <c r="AE13" s="214" t="s">
        <v>107</v>
      </c>
      <c r="AF13" s="214"/>
      <c r="AG13" s="223">
        <f>+AB17</f>
        <v>34940.075</v>
      </c>
      <c r="AH13" s="152" t="s">
        <v>292</v>
      </c>
      <c r="AJ13" s="154">
        <f>SUM(AJ11:AJ12)</f>
        <v>360</v>
      </c>
      <c r="AK13" s="152">
        <f>AL13/AJ13</f>
        <v>281.733999080673</v>
      </c>
      <c r="AL13" s="165">
        <f>SUM(AL11:AL12)</f>
        <v>101424.239669042</v>
      </c>
    </row>
    <row r="14" spans="2:33">
      <c r="B14" s="157" t="s">
        <v>293</v>
      </c>
      <c r="C14" s="157"/>
      <c r="D14" s="157"/>
      <c r="E14" s="157"/>
      <c r="F14" s="157"/>
      <c r="G14" s="164"/>
      <c r="N14" s="154" t="s">
        <v>107</v>
      </c>
      <c r="O14" s="154">
        <v>465</v>
      </c>
      <c r="P14" s="154">
        <v>390</v>
      </c>
      <c r="Q14" s="154"/>
      <c r="R14" s="154"/>
      <c r="S14" s="154"/>
      <c r="T14" s="154"/>
      <c r="U14" s="154"/>
      <c r="V14" s="154"/>
      <c r="W14" s="154" t="s">
        <v>107</v>
      </c>
      <c r="X14" s="154">
        <v>-465</v>
      </c>
      <c r="Y14" s="154">
        <v>-390</v>
      </c>
      <c r="Z14" s="154"/>
      <c r="AA14" s="154"/>
      <c r="AE14" s="214"/>
      <c r="AF14" s="214"/>
      <c r="AG14" s="223">
        <f>+AG12-AG13</f>
        <v>3705.26</v>
      </c>
    </row>
    <row r="15" spans="2:33">
      <c r="B15" s="172" t="s">
        <v>275</v>
      </c>
      <c r="C15" s="172" t="str">
        <f>+C4</f>
        <v>Chetpat</v>
      </c>
      <c r="D15" s="172" t="str">
        <f>+D4</f>
        <v>Veeram</v>
      </c>
      <c r="E15" s="172" t="s">
        <v>3</v>
      </c>
      <c r="F15" s="172" t="s">
        <v>58</v>
      </c>
      <c r="H15" s="156" t="s">
        <v>294</v>
      </c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E15" s="214" t="s">
        <v>295</v>
      </c>
      <c r="AF15" s="214"/>
      <c r="AG15" s="223">
        <f>+(O18+P18+R18-O20-P20-U20-V20)+Q18-Q20+U18+V18-R20+W18-W20+N18-N20</f>
        <v>-706.639999999999</v>
      </c>
    </row>
    <row r="16" ht="42" spans="2:33">
      <c r="B16" s="159" t="s">
        <v>296</v>
      </c>
      <c r="C16" s="173">
        <f>+C11-N21</f>
        <v>24848.18</v>
      </c>
      <c r="D16" s="173">
        <v>0</v>
      </c>
      <c r="E16" s="173">
        <f>+E11+AA20</f>
        <v>22397.56</v>
      </c>
      <c r="F16" s="173">
        <f>C16+D16+E16</f>
        <v>47245.74</v>
      </c>
      <c r="G16" s="174"/>
      <c r="H16" s="175" t="s">
        <v>275</v>
      </c>
      <c r="I16" s="175" t="s">
        <v>297</v>
      </c>
      <c r="J16" s="175"/>
      <c r="K16" s="175" t="s">
        <v>298</v>
      </c>
      <c r="L16" s="175" t="s">
        <v>299</v>
      </c>
      <c r="M16" s="175" t="s">
        <v>300</v>
      </c>
      <c r="N16" s="175" t="s">
        <v>96</v>
      </c>
      <c r="O16" s="175" t="s">
        <v>97</v>
      </c>
      <c r="P16" s="175" t="s">
        <v>98</v>
      </c>
      <c r="Q16" s="175" t="s">
        <v>99</v>
      </c>
      <c r="R16" s="175" t="s">
        <v>100</v>
      </c>
      <c r="S16" s="175" t="s">
        <v>101</v>
      </c>
      <c r="T16" s="175" t="s">
        <v>102</v>
      </c>
      <c r="U16" s="175" t="s">
        <v>104</v>
      </c>
      <c r="V16" s="175" t="s">
        <v>106</v>
      </c>
      <c r="W16" s="175" t="s">
        <v>301</v>
      </c>
      <c r="X16" s="175" t="s">
        <v>125</v>
      </c>
      <c r="Y16" s="175" t="s">
        <v>126</v>
      </c>
      <c r="Z16" s="175" t="s">
        <v>302</v>
      </c>
      <c r="AA16" s="175" t="s">
        <v>128</v>
      </c>
      <c r="AB16" s="175" t="s">
        <v>58</v>
      </c>
      <c r="AE16" s="216" t="s">
        <v>303</v>
      </c>
      <c r="AF16" s="216"/>
      <c r="AG16" s="226">
        <f>+AG14-AG15</f>
        <v>4411.9</v>
      </c>
    </row>
    <row r="17" spans="1:33">
      <c r="A17" s="165"/>
      <c r="B17" s="159" t="s">
        <v>304</v>
      </c>
      <c r="C17" s="173">
        <f>SUM(U21:V21)+N21</f>
        <v>18825.498</v>
      </c>
      <c r="D17" s="173">
        <f>(SUM(O21:R21)+Z21)</f>
        <v>0.946999999999889</v>
      </c>
      <c r="E17" s="173">
        <f>SUM(S21:T21)+SUM(W21:Y21)</f>
        <v>19718.89</v>
      </c>
      <c r="F17" s="173">
        <f>C17+D17+E17</f>
        <v>38545.335</v>
      </c>
      <c r="H17" s="159" t="s">
        <v>107</v>
      </c>
      <c r="I17" s="177"/>
      <c r="J17" s="159"/>
      <c r="K17" s="159"/>
      <c r="L17" s="159"/>
      <c r="M17" s="159"/>
      <c r="N17" s="191"/>
      <c r="O17" s="191">
        <f>'Input Sheet'!H5</f>
        <v>0</v>
      </c>
      <c r="P17" s="191">
        <f>'Input Sheet'!$AH$6</f>
        <v>8.01</v>
      </c>
      <c r="Q17" s="191">
        <f>'Input Sheet'!$AH$10</f>
        <v>558.16</v>
      </c>
      <c r="R17" s="191">
        <f>'Input Sheet'!$AH$11</f>
        <v>132.11</v>
      </c>
      <c r="S17" s="191">
        <f>'Input Sheet'!$AH$12+'Input Sheet'!AH24</f>
        <v>7479.59</v>
      </c>
      <c r="T17" s="191">
        <f>'Input Sheet'!$AH$13</f>
        <v>949.78</v>
      </c>
      <c r="U17" s="191">
        <f>'Input Sheet'!$AH$14</f>
        <v>14857.358</v>
      </c>
      <c r="V17" s="191">
        <f>'Input Sheet'!$AH$15</f>
        <v>1070.56</v>
      </c>
      <c r="W17" s="191">
        <f>'Input Sheet'!$AH$9+'Input Sheet'!AH17</f>
        <v>2906.78</v>
      </c>
      <c r="X17" s="191">
        <f>'Input Sheet'!$AH$7+'Input Sheet'!AH22</f>
        <v>4548.46</v>
      </c>
      <c r="Y17" s="191">
        <f>'Input Sheet'!$AH$8+'Input Sheet'!AH23</f>
        <v>1989.93</v>
      </c>
      <c r="Z17" s="191">
        <f>'Input Sheet'!$AH$16</f>
        <v>439.337</v>
      </c>
      <c r="AA17" s="191">
        <v>0</v>
      </c>
      <c r="AB17" s="177">
        <f>SUM(N17:AA17)</f>
        <v>34940.075</v>
      </c>
      <c r="AC17" s="154"/>
      <c r="AD17" s="154"/>
      <c r="AE17" s="164"/>
      <c r="AF17" s="164"/>
      <c r="AG17" s="154">
        <f>+F16-F19</f>
        <v>38545.335</v>
      </c>
    </row>
    <row r="18" spans="1:32">
      <c r="A18" s="176">
        <f ca="1">D18*P29</f>
        <v>0</v>
      </c>
      <c r="B18" s="159" t="s">
        <v>305</v>
      </c>
      <c r="C18" s="177">
        <v>0</v>
      </c>
      <c r="D18" s="177">
        <v>0</v>
      </c>
      <c r="E18" s="177">
        <v>0</v>
      </c>
      <c r="F18" s="173">
        <f>C18+D18+E18</f>
        <v>0</v>
      </c>
      <c r="H18" s="159" t="s">
        <v>306</v>
      </c>
      <c r="I18" s="177">
        <f>I38</f>
        <v>3338.14758701735</v>
      </c>
      <c r="J18" s="167"/>
      <c r="K18" s="173">
        <f>'Input Sheet'!AF47</f>
        <v>1569.346875</v>
      </c>
      <c r="L18" s="173">
        <f>'Input Sheet'!AF48</f>
        <v>5026</v>
      </c>
      <c r="M18" s="173">
        <f>'Input Sheet'!AF49</f>
        <v>17928.1</v>
      </c>
      <c r="N18" s="191">
        <f>'Input Sheet'!$AC$56</f>
        <v>3100</v>
      </c>
      <c r="O18" s="192">
        <f>'Input Sheet'!$AC$51+550</f>
        <v>1000</v>
      </c>
      <c r="P18" s="192">
        <f>'Input Sheet'!$AC$52+80</f>
        <v>3712</v>
      </c>
      <c r="Q18" s="209">
        <f>'Input Sheet'!$AC$49-279</f>
        <v>2936</v>
      </c>
      <c r="R18" s="192">
        <f>'Input Sheet'!$AC$50+207</f>
        <v>360</v>
      </c>
      <c r="S18" s="210">
        <f>'Input Sheet'!$AC$47</f>
        <v>4920.73</v>
      </c>
      <c r="T18" s="210">
        <f>'Input Sheet'!$AC$48</f>
        <v>1090</v>
      </c>
      <c r="U18" s="210">
        <f>'Input Sheet'!$AC$45</f>
        <v>2791.09</v>
      </c>
      <c r="V18" s="210">
        <f>'Input Sheet'!$AC$46</f>
        <v>709.37</v>
      </c>
      <c r="W18" s="210">
        <f>'Input Sheet'!$AC$55+1646</f>
        <v>24093.45</v>
      </c>
      <c r="X18" s="210">
        <f>'Input Sheet'!$AC$53</f>
        <v>0</v>
      </c>
      <c r="Y18" s="210">
        <f>'Input Sheet'!$AC$54</f>
        <v>60</v>
      </c>
      <c r="Z18" s="209">
        <v>-339</v>
      </c>
      <c r="AA18" s="191">
        <f>'Input Sheet'!$AC$57</f>
        <v>0</v>
      </c>
      <c r="AB18" s="217">
        <f>SUM(N18:AA18)</f>
        <v>44433.64</v>
      </c>
      <c r="AC18" s="218"/>
      <c r="AD18" s="218"/>
      <c r="AE18" s="219" t="s">
        <v>307</v>
      </c>
      <c r="AF18" s="219"/>
    </row>
    <row r="19" spans="1:33">
      <c r="A19" s="176">
        <f ca="1">749988-A18</f>
        <v>749988</v>
      </c>
      <c r="B19" s="178" t="s">
        <v>61</v>
      </c>
      <c r="C19" s="177">
        <f>+C16-C17-C18</f>
        <v>6022.682</v>
      </c>
      <c r="D19" s="177">
        <f>+D16-D17</f>
        <v>-0.946999999999889</v>
      </c>
      <c r="E19" s="177">
        <f>+E16-E17</f>
        <v>2678.67</v>
      </c>
      <c r="F19" s="173">
        <f>C19+D19+E19</f>
        <v>8700.405</v>
      </c>
      <c r="H19" s="159"/>
      <c r="I19" s="173">
        <f>+I17+I18</f>
        <v>3338.14758701735</v>
      </c>
      <c r="J19" s="167"/>
      <c r="K19" s="173">
        <f t="shared" ref="K19:N19" si="0">+K17+K18</f>
        <v>1569.346875</v>
      </c>
      <c r="L19" s="173">
        <f t="shared" si="0"/>
        <v>5026</v>
      </c>
      <c r="M19" s="173">
        <f t="shared" si="0"/>
        <v>17928.1</v>
      </c>
      <c r="N19" s="193">
        <f t="shared" si="0"/>
        <v>3100</v>
      </c>
      <c r="O19" s="173">
        <f t="shared" ref="O19:AA19" si="1">+O17+O18</f>
        <v>1000</v>
      </c>
      <c r="P19" s="173">
        <f t="shared" si="1"/>
        <v>3720.01</v>
      </c>
      <c r="Q19" s="173">
        <f t="shared" si="1"/>
        <v>3494.16</v>
      </c>
      <c r="R19" s="173">
        <f t="shared" si="1"/>
        <v>492.11</v>
      </c>
      <c r="S19" s="173">
        <f t="shared" si="1"/>
        <v>12400.32</v>
      </c>
      <c r="T19" s="173">
        <f t="shared" si="1"/>
        <v>2039.78</v>
      </c>
      <c r="U19" s="173">
        <f t="shared" si="1"/>
        <v>17648.448</v>
      </c>
      <c r="V19" s="173">
        <f t="shared" si="1"/>
        <v>1779.93</v>
      </c>
      <c r="W19" s="173">
        <f t="shared" si="1"/>
        <v>27000.23</v>
      </c>
      <c r="X19" s="173">
        <f t="shared" si="1"/>
        <v>4548.46</v>
      </c>
      <c r="Y19" s="173">
        <f t="shared" si="1"/>
        <v>2049.93</v>
      </c>
      <c r="Z19" s="173">
        <f t="shared" si="1"/>
        <v>100.337</v>
      </c>
      <c r="AA19" s="173">
        <f t="shared" si="1"/>
        <v>0</v>
      </c>
      <c r="AB19" s="177">
        <f>AB17+AB18</f>
        <v>79373.715</v>
      </c>
      <c r="AC19" s="154"/>
      <c r="AD19" s="154"/>
      <c r="AE19" s="164"/>
      <c r="AF19" s="164"/>
      <c r="AG19" s="154">
        <f>+AB21-AG17</f>
        <v>-3000.00000000001</v>
      </c>
    </row>
    <row r="20" spans="2:32">
      <c r="B20" s="178"/>
      <c r="C20" s="177"/>
      <c r="D20" s="177"/>
      <c r="E20" s="177"/>
      <c r="F20" s="177"/>
      <c r="H20" s="159" t="s">
        <v>308</v>
      </c>
      <c r="I20" s="194">
        <f>'[1]Product &amp; stock detail -Dec-24'!I18</f>
        <v>7136.74758701734</v>
      </c>
      <c r="J20" s="167" t="e">
        <f>'[1]Product &amp; stock detail -Dec-24'!J18</f>
        <v>#REF!</v>
      </c>
      <c r="K20" s="195">
        <f>'[1]Product &amp; stock detail -Dec-24'!K18</f>
        <v>1712</v>
      </c>
      <c r="L20" s="196">
        <f>'[1]Product &amp; stock detail -Dec-24'!L18</f>
        <v>5026</v>
      </c>
      <c r="M20" s="159">
        <f>'[1]Product &amp; stock detail -Dec-24'!M18</f>
        <v>20048</v>
      </c>
      <c r="N20" s="194">
        <f>'[1]Product &amp; stock detail -Dec-24'!N18</f>
        <v>0</v>
      </c>
      <c r="O20" s="194">
        <f>'[1]Product &amp; stock detail -Dec-24'!O18</f>
        <v>1000</v>
      </c>
      <c r="P20" s="194">
        <f>'[1]Product &amp; stock detail -Dec-24'!P18</f>
        <v>3720</v>
      </c>
      <c r="Q20" s="194">
        <f>'[1]Product &amp; stock detail -Dec-24'!Q18</f>
        <v>3493.76</v>
      </c>
      <c r="R20" s="194">
        <f>'[1]Product &amp; stock detail -Dec-24'!R18</f>
        <v>491.91</v>
      </c>
      <c r="S20" s="194">
        <f>'[1]Product &amp; stock detail -Dec-24'!S18</f>
        <v>1165</v>
      </c>
      <c r="T20" s="194">
        <f>'[1]Product &amp; stock detail -Dec-24'!T18</f>
        <v>70</v>
      </c>
      <c r="U20" s="194">
        <f>'[1]Product &amp; stock detail -Dec-24'!U18</f>
        <v>2549.9</v>
      </c>
      <c r="V20" s="194">
        <f>'[1]Product &amp; stock detail -Dec-24'!V18</f>
        <v>1152.98</v>
      </c>
      <c r="W20" s="194">
        <f>'[1]Product &amp; stock detail -Dec-24'!W18</f>
        <v>27000</v>
      </c>
      <c r="X20" s="194">
        <f>'[1]Product &amp; stock detail -Dec-24'!X18</f>
        <v>70</v>
      </c>
      <c r="Y20" s="194">
        <f>'[1]Product &amp; stock detail -Dec-24'!Y18</f>
        <v>14.83</v>
      </c>
      <c r="Z20" s="194">
        <f>'[1]Product &amp; stock detail -Dec-24'!Z18</f>
        <v>100</v>
      </c>
      <c r="AA20" s="177">
        <f>'[1]Product &amp; stock detail -Dec-24'!AA18</f>
        <v>3000</v>
      </c>
      <c r="AB20" s="217">
        <f>SUM(N20:AA20)</f>
        <v>43828.38</v>
      </c>
      <c r="AC20" s="220">
        <f>SUM(N20:AA20)-SUM('[1]Product &amp; stock detail - Aug-24'!N28:AA28)</f>
        <v>21156.246</v>
      </c>
      <c r="AD20" s="220"/>
      <c r="AE20" s="164" t="e">
        <f>AB20-#REF!</f>
        <v>#REF!</v>
      </c>
      <c r="AF20" s="164"/>
    </row>
    <row r="21" spans="2:38">
      <c r="B21" s="178"/>
      <c r="C21" s="177"/>
      <c r="D21" s="177"/>
      <c r="E21" s="177"/>
      <c r="F21" s="179"/>
      <c r="H21" s="167" t="s">
        <v>309</v>
      </c>
      <c r="I21" s="197">
        <f>+(I19-I20)*0</f>
        <v>0</v>
      </c>
      <c r="J21" s="167"/>
      <c r="K21" s="197">
        <f>+(K19-K20)*0</f>
        <v>0</v>
      </c>
      <c r="L21" s="197">
        <f>+(L19-L20)*0</f>
        <v>0</v>
      </c>
      <c r="M21" s="197">
        <f>+(M19-M20)*0</f>
        <v>0</v>
      </c>
      <c r="N21" s="197">
        <f>+N19-N20</f>
        <v>3100</v>
      </c>
      <c r="O21" s="197">
        <f>+(O19-O20)</f>
        <v>0</v>
      </c>
      <c r="P21" s="197">
        <f>+(P19-P20)</f>
        <v>0.0100000000002183</v>
      </c>
      <c r="Q21" s="197">
        <f>+Q19-Q20</f>
        <v>0.399999999999636</v>
      </c>
      <c r="R21" s="197">
        <f>+(R19-R20)</f>
        <v>0.200000000000045</v>
      </c>
      <c r="S21" s="197">
        <f t="shared" ref="S21:AB21" si="2">+S19-S20</f>
        <v>11235.32</v>
      </c>
      <c r="T21" s="197">
        <f t="shared" si="2"/>
        <v>1969.78</v>
      </c>
      <c r="U21" s="197">
        <f t="shared" si="2"/>
        <v>15098.548</v>
      </c>
      <c r="V21" s="197">
        <f t="shared" si="2"/>
        <v>626.95</v>
      </c>
      <c r="W21" s="197">
        <f>+(W19-W20)</f>
        <v>0.229999999999563</v>
      </c>
      <c r="X21" s="197">
        <f t="shared" si="2"/>
        <v>4478.46</v>
      </c>
      <c r="Y21" s="197">
        <f t="shared" si="2"/>
        <v>2035.1</v>
      </c>
      <c r="Z21" s="197">
        <f t="shared" si="2"/>
        <v>0.336999999999989</v>
      </c>
      <c r="AA21" s="197">
        <f t="shared" si="2"/>
        <v>-3000</v>
      </c>
      <c r="AB21" s="197">
        <f t="shared" si="2"/>
        <v>35545.335</v>
      </c>
      <c r="AC21" s="200" t="e">
        <f>SUM(I20:M20)-SUM('[1]Product &amp; stock detail - Aug-24'!I28:M28)</f>
        <v>#REF!</v>
      </c>
      <c r="AD21" s="200"/>
      <c r="AE21" s="164"/>
      <c r="AF21" s="164"/>
      <c r="AH21" s="165">
        <f>+C10*100/C9</f>
        <v>0</v>
      </c>
      <c r="AI21" s="165">
        <f>+F22+AH21</f>
        <v>18.415215848032</v>
      </c>
      <c r="AL21" s="154">
        <f>+N20</f>
        <v>0</v>
      </c>
    </row>
    <row r="22" spans="2:40">
      <c r="B22" s="178" t="s">
        <v>310</v>
      </c>
      <c r="C22" s="180">
        <f>+C19*100/C16</f>
        <v>24.2379200408239</v>
      </c>
      <c r="D22" s="180">
        <f>IFERROR(+D19*100/D16,0)</f>
        <v>0</v>
      </c>
      <c r="E22" s="180">
        <f>+E19*100/E16</f>
        <v>11.9596509619798</v>
      </c>
      <c r="F22" s="180">
        <f>+F19*100/F16</f>
        <v>18.415215848032</v>
      </c>
      <c r="J22" s="181"/>
      <c r="K22" s="181"/>
      <c r="L22" s="181"/>
      <c r="M22" s="181"/>
      <c r="N22" s="198"/>
      <c r="O22" s="199">
        <v>550</v>
      </c>
      <c r="P22" s="199">
        <v>80</v>
      </c>
      <c r="Q22" s="198">
        <f>Q21+Z21</f>
        <v>0.736999999999625</v>
      </c>
      <c r="R22" s="164">
        <v>207</v>
      </c>
      <c r="S22" s="164"/>
      <c r="T22" s="164"/>
      <c r="U22" s="164"/>
      <c r="V22" s="164"/>
      <c r="W22" s="164"/>
      <c r="X22" s="164"/>
      <c r="Y22" s="164"/>
      <c r="Z22" s="164">
        <f>26786/188</f>
        <v>142.478723404255</v>
      </c>
      <c r="AA22" s="164"/>
      <c r="AB22" s="164"/>
      <c r="AC22" s="164"/>
      <c r="AD22" s="164"/>
      <c r="AE22" s="164">
        <f>SUM(D17)</f>
        <v>0.946999999999889</v>
      </c>
      <c r="AF22" s="164"/>
      <c r="AL22" s="152" t="s">
        <v>311</v>
      </c>
      <c r="AM22" s="154">
        <f>+O21</f>
        <v>0</v>
      </c>
      <c r="AN22" s="164">
        <f>+$AL$21/$AM$27*AM22</f>
        <v>0</v>
      </c>
    </row>
    <row r="23" ht="14.75" spans="2:40">
      <c r="B23" s="178" t="s">
        <v>312</v>
      </c>
      <c r="C23" s="180">
        <v>0</v>
      </c>
      <c r="D23" s="180">
        <v>0</v>
      </c>
      <c r="E23" s="180">
        <v>0</v>
      </c>
      <c r="F23" s="180">
        <v>0</v>
      </c>
      <c r="H23" s="181" t="s">
        <v>313</v>
      </c>
      <c r="I23" s="200"/>
      <c r="J23" s="181"/>
      <c r="K23" s="181"/>
      <c r="L23" s="181"/>
      <c r="M23" s="181"/>
      <c r="N23" s="201">
        <v>0</v>
      </c>
      <c r="O23" s="199"/>
      <c r="P23" s="199"/>
      <c r="Q23" s="199">
        <f ca="1">Q22*Q29</f>
        <v>138.428668670081</v>
      </c>
      <c r="R23" s="199"/>
      <c r="S23" s="199"/>
      <c r="T23" s="199"/>
      <c r="U23" s="164"/>
      <c r="V23" s="164">
        <f>2907*85</f>
        <v>247095</v>
      </c>
      <c r="W23" s="164">
        <f>-(W19-W20)*'[1]Product &amp; stock detail -Dec-24'!W29</f>
        <v>-19.5812058953843</v>
      </c>
      <c r="X23" s="164"/>
      <c r="Y23" s="164"/>
      <c r="Z23" s="221">
        <v>1316.104</v>
      </c>
      <c r="AE23" s="164">
        <f>SUM(O18:R18)</f>
        <v>8008</v>
      </c>
      <c r="AF23" s="164"/>
      <c r="AG23" s="164">
        <f>+N23-U21-V21-F19</f>
        <v>-24425.903</v>
      </c>
      <c r="AL23" s="152" t="s">
        <v>314</v>
      </c>
      <c r="AM23" s="154">
        <f>+P21</f>
        <v>0.0100000000002183</v>
      </c>
      <c r="AN23" s="164">
        <f>+$AL$21/$AM$27*AM23</f>
        <v>0</v>
      </c>
    </row>
    <row r="24" ht="14.75" spans="2:38">
      <c r="B24" s="178" t="s">
        <v>315</v>
      </c>
      <c r="C24" s="180">
        <f>C22</f>
        <v>24.2379200408239</v>
      </c>
      <c r="D24" s="180">
        <f>D22</f>
        <v>0</v>
      </c>
      <c r="E24" s="180">
        <f>E22</f>
        <v>11.9596509619798</v>
      </c>
      <c r="F24" s="180">
        <f>F22</f>
        <v>18.415215848032</v>
      </c>
      <c r="O24" s="199">
        <f>-(O20+P20+R20-O19-P19-R19)*0+Q22-R22-P22-O22+P17</f>
        <v>-828.253</v>
      </c>
      <c r="P24" s="199">
        <f>O24*188</f>
        <v>-155711.564</v>
      </c>
      <c r="Q24" s="199">
        <f ca="1">Q23+W23</f>
        <v>118.847462774697</v>
      </c>
      <c r="R24" s="199">
        <f ca="1">Q24-'[1]Product &amp; stock detail -Dec-24'!AA30</f>
        <v>-631696.593012778</v>
      </c>
      <c r="S24" s="199"/>
      <c r="T24" s="199"/>
      <c r="U24" s="154"/>
      <c r="V24" s="154"/>
      <c r="W24" s="152">
        <f>4553*'[1]Product &amp; stock detail -Dec-24'!W29</f>
        <v>387622.741051538</v>
      </c>
      <c r="Z24" s="154"/>
      <c r="AA24" s="154">
        <f>146830-126266</f>
        <v>20564</v>
      </c>
      <c r="AD24" s="164"/>
      <c r="AE24" s="164">
        <v>626.844947933825</v>
      </c>
      <c r="AF24" s="164"/>
      <c r="AG24" s="164">
        <f>+F16-AB21-F19</f>
        <v>3000.00000000001</v>
      </c>
      <c r="AL24" s="152" t="s">
        <v>52</v>
      </c>
    </row>
    <row r="25" spans="6:40">
      <c r="F25" s="182"/>
      <c r="H25" s="154"/>
      <c r="AA25" s="154">
        <f ca="1">AA29-Y29</f>
        <v>0</v>
      </c>
      <c r="AB25" s="152">
        <f ca="1">AA25*AA28</f>
        <v>0</v>
      </c>
      <c r="AD25" s="165"/>
      <c r="AE25" s="164"/>
      <c r="AF25" s="164"/>
      <c r="AG25" s="164"/>
      <c r="AH25" s="152" t="s">
        <v>316</v>
      </c>
      <c r="AI25" s="152" t="s">
        <v>317</v>
      </c>
      <c r="AJ25" s="152" t="s">
        <v>318</v>
      </c>
      <c r="AL25" s="152" t="s">
        <v>319</v>
      </c>
      <c r="AM25" s="154"/>
      <c r="AN25" s="164">
        <f>+$AL$21/$AM$27*AM25</f>
        <v>0</v>
      </c>
    </row>
    <row r="26" spans="2:40">
      <c r="B26" s="155" t="s">
        <v>0</v>
      </c>
      <c r="C26" s="155"/>
      <c r="D26" s="155"/>
      <c r="E26" s="155"/>
      <c r="F26" s="155"/>
      <c r="H26" s="183" t="s">
        <v>320</v>
      </c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E26" s="164"/>
      <c r="AF26" s="164"/>
      <c r="AH26" s="227">
        <v>5210</v>
      </c>
      <c r="AI26" s="227">
        <v>1200</v>
      </c>
      <c r="AJ26" s="227">
        <v>5300</v>
      </c>
      <c r="AL26" s="152" t="s">
        <v>321</v>
      </c>
      <c r="AM26" s="154"/>
      <c r="AN26" s="164">
        <f>+$AL$21/$AM$27*AM26</f>
        <v>0</v>
      </c>
    </row>
    <row r="27" ht="42" spans="2:40">
      <c r="B27" s="184" t="s">
        <v>322</v>
      </c>
      <c r="C27" s="184"/>
      <c r="D27" s="185" t="s">
        <v>323</v>
      </c>
      <c r="E27" s="185" t="s">
        <v>324</v>
      </c>
      <c r="F27" s="186" t="s">
        <v>58</v>
      </c>
      <c r="H27" s="175" t="s">
        <v>275</v>
      </c>
      <c r="I27" s="175" t="s">
        <v>94</v>
      </c>
      <c r="J27" s="203"/>
      <c r="K27" s="175" t="s">
        <v>298</v>
      </c>
      <c r="L27" s="175" t="s">
        <v>299</v>
      </c>
      <c r="M27" s="175" t="s">
        <v>300</v>
      </c>
      <c r="N27" s="175" t="s">
        <v>96</v>
      </c>
      <c r="O27" s="175" t="s">
        <v>97</v>
      </c>
      <c r="P27" s="175" t="s">
        <v>98</v>
      </c>
      <c r="Q27" s="175" t="s">
        <v>99</v>
      </c>
      <c r="R27" s="175" t="s">
        <v>100</v>
      </c>
      <c r="S27" s="175" t="s">
        <v>101</v>
      </c>
      <c r="T27" s="175" t="s">
        <v>102</v>
      </c>
      <c r="U27" s="175" t="s">
        <v>104</v>
      </c>
      <c r="V27" s="175" t="s">
        <v>106</v>
      </c>
      <c r="W27" s="175" t="s">
        <v>301</v>
      </c>
      <c r="X27" s="175" t="s">
        <v>125</v>
      </c>
      <c r="Y27" s="175" t="s">
        <v>126</v>
      </c>
      <c r="Z27" s="175" t="s">
        <v>302</v>
      </c>
      <c r="AA27" s="175" t="s">
        <v>128</v>
      </c>
      <c r="AB27" s="175" t="s">
        <v>58</v>
      </c>
      <c r="AD27" s="152" t="s">
        <v>325</v>
      </c>
      <c r="AE27" s="164"/>
      <c r="AF27" s="164"/>
      <c r="AM27" s="154">
        <f>SUM(AM22:AM26)</f>
        <v>0.0100000000002183</v>
      </c>
      <c r="AN27" s="154">
        <f>SUM(AN22:AN26)</f>
        <v>0</v>
      </c>
    </row>
    <row r="28" spans="1:33">
      <c r="A28" s="154"/>
      <c r="B28" s="159" t="s">
        <v>326</v>
      </c>
      <c r="C28" s="187">
        <f>C17+C8</f>
        <v>15026.898</v>
      </c>
      <c r="D28" s="188">
        <f>K18</f>
        <v>1569.346875</v>
      </c>
      <c r="E28" s="188">
        <f>K20</f>
        <v>1712</v>
      </c>
      <c r="F28" s="189">
        <f>C28+D28-E28</f>
        <v>14884.244875</v>
      </c>
      <c r="H28" s="159" t="s">
        <v>327</v>
      </c>
      <c r="I28" s="177">
        <f>+I18</f>
        <v>3338.14758701735</v>
      </c>
      <c r="K28" s="173">
        <f>D28</f>
        <v>1569.346875</v>
      </c>
      <c r="L28" s="173">
        <f>D29</f>
        <v>5026</v>
      </c>
      <c r="M28" s="173">
        <f>D32</f>
        <v>17928.1</v>
      </c>
      <c r="N28" s="177">
        <f t="shared" ref="N28:W28" si="3">+N18</f>
        <v>3100</v>
      </c>
      <c r="O28" s="177">
        <f t="shared" si="3"/>
        <v>1000</v>
      </c>
      <c r="P28" s="177">
        <f t="shared" si="3"/>
        <v>3712</v>
      </c>
      <c r="Q28" s="177">
        <f t="shared" si="3"/>
        <v>2936</v>
      </c>
      <c r="R28" s="177">
        <f t="shared" si="3"/>
        <v>360</v>
      </c>
      <c r="S28" s="177">
        <f t="shared" si="3"/>
        <v>4920.73</v>
      </c>
      <c r="T28" s="177">
        <f t="shared" si="3"/>
        <v>1090</v>
      </c>
      <c r="U28" s="177">
        <f t="shared" si="3"/>
        <v>2791.09</v>
      </c>
      <c r="V28" s="177">
        <f t="shared" si="3"/>
        <v>709.37</v>
      </c>
      <c r="W28" s="177">
        <f t="shared" si="3"/>
        <v>24093.45</v>
      </c>
      <c r="X28" s="177">
        <f>X18</f>
        <v>0</v>
      </c>
      <c r="Y28" s="177">
        <f>Y18</f>
        <v>60</v>
      </c>
      <c r="Z28" s="173">
        <f>Z18</f>
        <v>-339</v>
      </c>
      <c r="AA28" s="177">
        <f>AA18</f>
        <v>0</v>
      </c>
      <c r="AB28" s="177">
        <f>SUM(I28:AA28)</f>
        <v>72295.2344620173</v>
      </c>
      <c r="AC28" s="154">
        <f>SUM(N28:AA28)</f>
        <v>44433.64</v>
      </c>
      <c r="AD28" s="154">
        <f>X20</f>
        <v>70</v>
      </c>
      <c r="AE28" s="164">
        <f>'[1]Product &amp; stock detail -Apr-24'!U29</f>
        <v>232.536311321108</v>
      </c>
      <c r="AF28" s="164">
        <f>AD28*AE28</f>
        <v>16277.5417924775</v>
      </c>
      <c r="AG28" s="164">
        <f>+AB18+I18</f>
        <v>47771.7875870173</v>
      </c>
    </row>
    <row r="29" spans="2:35">
      <c r="B29" s="159" t="s">
        <v>328</v>
      </c>
      <c r="C29" s="187">
        <f>D17+D8</f>
        <v>0.946999999999889</v>
      </c>
      <c r="D29" s="188">
        <f>L18</f>
        <v>5026</v>
      </c>
      <c r="E29" s="188">
        <f>L20</f>
        <v>5026</v>
      </c>
      <c r="F29" s="189">
        <f>C29+D29-E29</f>
        <v>0.947000000000116</v>
      </c>
      <c r="H29" s="159" t="s">
        <v>329</v>
      </c>
      <c r="I29" s="177">
        <v>236.221695783949</v>
      </c>
      <c r="K29" s="204">
        <f ca="1">'Quarry Stock-Val'!$D$9</f>
        <v>87.2073479409382</v>
      </c>
      <c r="L29" s="204">
        <f ca="1">'Quarry Stock-Val'!$G$9</f>
        <v>79.4728292245927</v>
      </c>
      <c r="M29" s="204">
        <f ca="1">'Quarry Stock-Val'!$J$9</f>
        <v>92.2717349376713</v>
      </c>
      <c r="N29" s="177">
        <f ca="1">'Clos Stock op cf val -Jan 25'!$E$22</f>
        <v>586.944098993263</v>
      </c>
      <c r="O29" s="177">
        <f ca="1">'Clos Stock op cf val -Jan 25'!$E$20</f>
        <v>187.827230217302</v>
      </c>
      <c r="P29" s="177">
        <f ca="1">$O$29</f>
        <v>187.827230217302</v>
      </c>
      <c r="Q29" s="177">
        <f ca="1">$O$29</f>
        <v>187.827230217302</v>
      </c>
      <c r="R29" s="177">
        <f ca="1">$O$29</f>
        <v>187.827230217302</v>
      </c>
      <c r="S29" s="177">
        <f ca="1">'Clos Stock op cf val -Jan 25'!E21</f>
        <v>298.923377885993</v>
      </c>
      <c r="T29" s="177">
        <f ca="1">$S$29</f>
        <v>298.923377885993</v>
      </c>
      <c r="U29" s="177">
        <f ca="1">$N$29</f>
        <v>586.944098993263</v>
      </c>
      <c r="V29" s="177">
        <f ca="1">$N$29</f>
        <v>586.944098993263</v>
      </c>
      <c r="W29" s="177">
        <f>'[1]Product &amp; stock detail -Dec-24'!W29</f>
        <v>85.1356778061801</v>
      </c>
      <c r="X29" s="177">
        <f ca="1">$S$29</f>
        <v>298.923377885993</v>
      </c>
      <c r="Y29" s="177">
        <f ca="1">$S$29</f>
        <v>298.923377885993</v>
      </c>
      <c r="Z29" s="173">
        <f ca="1">$O$29</f>
        <v>187.827230217302</v>
      </c>
      <c r="AA29" s="173">
        <f ca="1">$S$29</f>
        <v>298.923377885993</v>
      </c>
      <c r="AB29" s="177"/>
      <c r="AC29" s="211"/>
      <c r="AD29" s="211">
        <f>X28-AD28</f>
        <v>-70</v>
      </c>
      <c r="AE29" s="164">
        <f ca="1">S29</f>
        <v>298.923377885993</v>
      </c>
      <c r="AF29" s="164">
        <f ca="1">AD29*AE29</f>
        <v>-20924.6364520195</v>
      </c>
      <c r="AG29" s="152">
        <v>18954</v>
      </c>
      <c r="AI29" s="227">
        <v>1492166</v>
      </c>
    </row>
    <row r="30" spans="2:35">
      <c r="B30" s="159" t="s">
        <v>330</v>
      </c>
      <c r="C30" s="187">
        <f>+C17+C8</f>
        <v>15026.898</v>
      </c>
      <c r="D30" s="188"/>
      <c r="E30" s="188"/>
      <c r="F30" s="189"/>
      <c r="H30" s="159" t="s">
        <v>9</v>
      </c>
      <c r="I30" s="177">
        <f ca="1">+L38</f>
        <v>907905.217440981</v>
      </c>
      <c r="K30" s="177">
        <f ca="1">K28*K29</f>
        <v>136858.578968149</v>
      </c>
      <c r="L30" s="177">
        <f ca="1">L28*L29</f>
        <v>399430.439682803</v>
      </c>
      <c r="M30" s="177">
        <f ca="1">M28*M29</f>
        <v>1654256.89113606</v>
      </c>
      <c r="N30" s="177">
        <f ca="1">+N28*N29</f>
        <v>1819526.70687911</v>
      </c>
      <c r="O30" s="205">
        <f ca="1">+O28*O29</f>
        <v>187827.230217302</v>
      </c>
      <c r="P30" s="206">
        <f ca="1" t="shared" ref="P30:AA30" si="4">+P28*P29</f>
        <v>697214.678566625</v>
      </c>
      <c r="Q30" s="173">
        <f ca="1" t="shared" si="4"/>
        <v>551460.747917999</v>
      </c>
      <c r="R30" s="173">
        <f ca="1" t="shared" si="4"/>
        <v>67617.8028782287</v>
      </c>
      <c r="S30" s="173">
        <f ca="1" t="shared" si="4"/>
        <v>1470921.23326494</v>
      </c>
      <c r="T30" s="205">
        <f ca="1" t="shared" si="4"/>
        <v>325826.481895733</v>
      </c>
      <c r="U30" s="205">
        <f ca="1" t="shared" si="4"/>
        <v>1638213.80525911</v>
      </c>
      <c r="V30" s="205">
        <f ca="1" t="shared" si="4"/>
        <v>416360.535502851</v>
      </c>
      <c r="W30" s="173">
        <f t="shared" si="4"/>
        <v>2051212.19643931</v>
      </c>
      <c r="X30" s="205">
        <f ca="1" t="shared" si="4"/>
        <v>0</v>
      </c>
      <c r="Y30" s="205">
        <f ca="1" t="shared" si="4"/>
        <v>17935.4026731596</v>
      </c>
      <c r="Z30" s="206">
        <f ca="1" t="shared" si="4"/>
        <v>-63673.4310436654</v>
      </c>
      <c r="AA30" s="173">
        <f ca="1" t="shared" si="4"/>
        <v>0</v>
      </c>
      <c r="AB30" s="173">
        <f ca="1">SUM(I30:AA30)</f>
        <v>12278894.5176787</v>
      </c>
      <c r="AC30" s="154">
        <f ca="1">SUM(N30:AA30)</f>
        <v>9180443.3904507</v>
      </c>
      <c r="AD30" s="154">
        <f>SUM(AD28:AD29)</f>
        <v>0</v>
      </c>
      <c r="AE30" s="164" t="e">
        <f ca="1">AF30/AD30</f>
        <v>#DIV/0!</v>
      </c>
      <c r="AF30" s="164">
        <f ca="1">SUM(AF28:AF29)</f>
        <v>-4647.09465954199</v>
      </c>
      <c r="AG30" s="154">
        <f>+AG28+AG29</f>
        <v>66725.7875870173</v>
      </c>
      <c r="AI30" s="227">
        <v>644087</v>
      </c>
    </row>
    <row r="31" spans="2:37">
      <c r="B31" s="159" t="s">
        <v>331</v>
      </c>
      <c r="C31" s="187">
        <f>+D17+D8</f>
        <v>0.946999999999889</v>
      </c>
      <c r="D31" s="188"/>
      <c r="E31" s="188"/>
      <c r="F31" s="189"/>
      <c r="L31" s="154"/>
      <c r="W31" s="154"/>
      <c r="AE31" s="164"/>
      <c r="AF31" s="164"/>
      <c r="AI31" s="152">
        <v>536422.272934888</v>
      </c>
      <c r="AJ31" s="227">
        <f>AI29-AI30-AI31</f>
        <v>311656.727065112</v>
      </c>
      <c r="AK31" s="227">
        <f>'[1]Product &amp; stock detail - Jan 24'!J30-'Product &amp; stock detail -Jan (2)'!AJ31</f>
        <v>9401.07235977933</v>
      </c>
    </row>
    <row r="32" spans="2:32">
      <c r="B32" s="159" t="s">
        <v>332</v>
      </c>
      <c r="C32" s="187">
        <f>E8+E17</f>
        <v>21547.31</v>
      </c>
      <c r="D32" s="188">
        <f>M18</f>
        <v>17928.1</v>
      </c>
      <c r="E32" s="188">
        <f>M20</f>
        <v>20048</v>
      </c>
      <c r="F32" s="189">
        <f>C32+D32-E32</f>
        <v>19427.41</v>
      </c>
      <c r="H32" s="155" t="s">
        <v>333</v>
      </c>
      <c r="I32" s="155"/>
      <c r="J32" s="155"/>
      <c r="K32" s="155"/>
      <c r="L32" s="155"/>
      <c r="M32" s="155"/>
      <c r="N32" s="155"/>
      <c r="O32" s="155"/>
      <c r="Q32" s="155" t="s">
        <v>334</v>
      </c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D32" s="152" t="s">
        <v>335</v>
      </c>
      <c r="AE32" s="164"/>
      <c r="AF32" s="164"/>
    </row>
    <row r="33" spans="2:32">
      <c r="B33" s="159" t="s">
        <v>336</v>
      </c>
      <c r="C33" s="187">
        <f>E17+E8</f>
        <v>21547.31</v>
      </c>
      <c r="D33" s="188"/>
      <c r="E33" s="188"/>
      <c r="F33" s="189"/>
      <c r="H33" s="190" t="s">
        <v>275</v>
      </c>
      <c r="I33" s="207" t="s">
        <v>139</v>
      </c>
      <c r="K33" s="190" t="s">
        <v>329</v>
      </c>
      <c r="L33" s="190" t="s">
        <v>9</v>
      </c>
      <c r="Q33" s="190" t="s">
        <v>275</v>
      </c>
      <c r="R33" s="207" t="s">
        <v>139</v>
      </c>
      <c r="V33" s="190" t="s">
        <v>329</v>
      </c>
      <c r="W33" s="190"/>
      <c r="X33" s="190"/>
      <c r="Y33" s="190"/>
      <c r="Z33" s="190"/>
      <c r="AA33" s="190" t="s">
        <v>9</v>
      </c>
      <c r="AD33" s="154">
        <f>Y20-Y17</f>
        <v>-1975.1</v>
      </c>
      <c r="AE33" s="164">
        <f>'[1]Product &amp; stock detail -Apr-24'!V29</f>
        <v>232.536311321108</v>
      </c>
      <c r="AF33" s="164">
        <f>AD33*AE33</f>
        <v>-459282.46849032</v>
      </c>
    </row>
    <row r="34" spans="2:45">
      <c r="B34" s="159" t="s">
        <v>337</v>
      </c>
      <c r="C34" s="187">
        <v>0</v>
      </c>
      <c r="D34" s="188"/>
      <c r="E34" s="188"/>
      <c r="F34" s="189"/>
      <c r="H34" s="159" t="s">
        <v>338</v>
      </c>
      <c r="I34" s="177">
        <f>'[1]Product &amp; stock detail -Dec-24'!I38</f>
        <v>7136.74758701734</v>
      </c>
      <c r="K34" s="177">
        <f>'[1]Product &amp; stock detail - Nov-24'!K38</f>
        <v>230.303309878319</v>
      </c>
      <c r="L34" s="177">
        <f>'[1]Product &amp; stock detail -Dec-24'!L38</f>
        <v>1685854.61738724</v>
      </c>
      <c r="N34" s="154"/>
      <c r="O34" s="154"/>
      <c r="Q34" s="159" t="s">
        <v>338</v>
      </c>
      <c r="R34" s="177">
        <v>0</v>
      </c>
      <c r="S34" s="211"/>
      <c r="T34" s="211"/>
      <c r="V34" s="177">
        <v>0</v>
      </c>
      <c r="W34" s="177"/>
      <c r="X34" s="177"/>
      <c r="Y34" s="177"/>
      <c r="Z34" s="177"/>
      <c r="AA34" s="177">
        <f>+R34*V34</f>
        <v>0</v>
      </c>
      <c r="AD34" s="154">
        <f>Y28-AD33</f>
        <v>2035.1</v>
      </c>
      <c r="AE34" s="154">
        <f ca="1">T29</f>
        <v>298.923377885993</v>
      </c>
      <c r="AF34" s="164">
        <f ca="1">AD34*AE34</f>
        <v>608338.966335785</v>
      </c>
      <c r="AH34" s="154"/>
      <c r="AI34" s="154"/>
      <c r="AJ34" s="154"/>
      <c r="AK34" s="154"/>
      <c r="AN34" s="228"/>
      <c r="AR34" s="154"/>
      <c r="AS34" s="165"/>
    </row>
    <row r="35" spans="2:43">
      <c r="B35" s="159" t="s">
        <v>339</v>
      </c>
      <c r="C35" s="187">
        <v>0</v>
      </c>
      <c r="D35" s="188"/>
      <c r="E35" s="188"/>
      <c r="F35" s="189"/>
      <c r="H35" s="159" t="s">
        <v>340</v>
      </c>
      <c r="I35" s="189">
        <f>C5</f>
        <v>24149.58</v>
      </c>
      <c r="K35" s="177">
        <f ca="1">+L35/I35</f>
        <v>282.545772638696</v>
      </c>
      <c r="L35" s="177">
        <f ca="1">'Cost sheet - Detailed'!AG71+'Cost sheet - Detailed'!CW71</f>
        <v>6823361.74</v>
      </c>
      <c r="M35" s="154"/>
      <c r="Q35" s="159" t="s">
        <v>340</v>
      </c>
      <c r="R35" s="177">
        <v>0</v>
      </c>
      <c r="S35" s="211"/>
      <c r="T35" s="211"/>
      <c r="V35" s="177">
        <v>0</v>
      </c>
      <c r="W35" s="177"/>
      <c r="X35" s="177"/>
      <c r="Y35" s="177"/>
      <c r="Z35" s="177"/>
      <c r="AA35" s="177">
        <f>+R35*V35</f>
        <v>0</v>
      </c>
      <c r="AD35" s="154">
        <f>SUM(AD33:AD34)</f>
        <v>60</v>
      </c>
      <c r="AE35" s="152">
        <f ca="1">AF35/AD35</f>
        <v>2484.27496409109</v>
      </c>
      <c r="AF35" s="154">
        <f ca="1">SUM(AF33:AF34)</f>
        <v>149056.497845465</v>
      </c>
      <c r="AG35" s="152" t="s">
        <v>341</v>
      </c>
      <c r="AH35" s="154"/>
      <c r="AI35" s="154" t="s">
        <v>342</v>
      </c>
      <c r="AK35" s="154" t="s">
        <v>343</v>
      </c>
      <c r="AN35" s="228" t="s">
        <v>344</v>
      </c>
      <c r="AQ35" s="152" t="s">
        <v>344</v>
      </c>
    </row>
    <row r="36" spans="2:43">
      <c r="B36" s="159" t="s">
        <v>33</v>
      </c>
      <c r="C36" s="187">
        <f>+F17-N28</f>
        <v>35445.335</v>
      </c>
      <c r="D36" s="188"/>
      <c r="E36" s="188"/>
      <c r="F36" s="189"/>
      <c r="H36" s="159"/>
      <c r="I36" s="177">
        <f>+I34+I35</f>
        <v>31286.3275870173</v>
      </c>
      <c r="K36" s="177">
        <f ca="1">+L36/I36</f>
        <v>271.978752818476</v>
      </c>
      <c r="L36" s="177">
        <f ca="1">+L34+L35</f>
        <v>8509216.35738724</v>
      </c>
      <c r="Q36" s="167" t="s">
        <v>58</v>
      </c>
      <c r="R36" s="212">
        <f>+R34+R35</f>
        <v>0</v>
      </c>
      <c r="S36" s="213"/>
      <c r="T36" s="213"/>
      <c r="U36" s="181"/>
      <c r="V36" s="212">
        <f>+IFERROR((AA36/R36),0)</f>
        <v>0</v>
      </c>
      <c r="W36" s="212"/>
      <c r="X36" s="212"/>
      <c r="Y36" s="212"/>
      <c r="Z36" s="212"/>
      <c r="AA36" s="197">
        <f>SUM(AA34:AA35)</f>
        <v>0</v>
      </c>
      <c r="AE36" s="152" t="s">
        <v>166</v>
      </c>
      <c r="AG36" s="152" t="s">
        <v>345</v>
      </c>
      <c r="AH36" s="154" t="s">
        <v>329</v>
      </c>
      <c r="AI36" s="154" t="s">
        <v>345</v>
      </c>
      <c r="AJ36" s="152" t="s">
        <v>329</v>
      </c>
      <c r="AK36" s="154" t="s">
        <v>345</v>
      </c>
      <c r="AL36" s="152" t="s">
        <v>329</v>
      </c>
      <c r="AN36" s="228" t="s">
        <v>139</v>
      </c>
      <c r="AO36" s="152" t="s">
        <v>346</v>
      </c>
      <c r="AP36" s="154"/>
      <c r="AQ36" s="152" t="s">
        <v>139</v>
      </c>
    </row>
    <row r="37" spans="2:42">
      <c r="B37" s="159" t="s">
        <v>120</v>
      </c>
      <c r="C37" s="187">
        <f>+C36</f>
        <v>35445.335</v>
      </c>
      <c r="D37" s="188"/>
      <c r="E37" s="188"/>
      <c r="F37" s="189"/>
      <c r="H37" s="159" t="s">
        <v>347</v>
      </c>
      <c r="I37" s="177">
        <f>+C11</f>
        <v>27948.18</v>
      </c>
      <c r="K37" s="177">
        <f ca="1">K36</f>
        <v>271.978752818476</v>
      </c>
      <c r="L37" s="177">
        <f ca="1">I37*K37</f>
        <v>7601311.13994626</v>
      </c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H37" s="154"/>
      <c r="AI37" s="154"/>
      <c r="AK37" s="154"/>
      <c r="AN37" s="165">
        <v>0</v>
      </c>
      <c r="AP37" s="154"/>
    </row>
    <row r="38" spans="8:40">
      <c r="H38" s="159" t="s">
        <v>348</v>
      </c>
      <c r="I38" s="177">
        <f>+I36-I37</f>
        <v>3338.14758701735</v>
      </c>
      <c r="K38" s="177">
        <f ca="1">K37</f>
        <v>271.978752818476</v>
      </c>
      <c r="L38" s="173">
        <f ca="1">+I38*K38</f>
        <v>907905.217440981</v>
      </c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 t="s">
        <v>98</v>
      </c>
      <c r="AF38" s="164"/>
      <c r="AG38" s="152">
        <f>'[1]Product &amp; stock detail - Nov 23'!L20</f>
        <v>0</v>
      </c>
      <c r="AH38" s="154">
        <v>0</v>
      </c>
      <c r="AI38" s="154">
        <v>200</v>
      </c>
      <c r="AJ38" s="152">
        <v>331.338114142821</v>
      </c>
      <c r="AK38" s="154">
        <f>P20</f>
        <v>3720</v>
      </c>
      <c r="AL38" s="152">
        <f>'[1]Product &amp; stock detail - Dec 23'!L29</f>
        <v>292.284989949118</v>
      </c>
      <c r="AN38" s="152">
        <v>604</v>
      </c>
    </row>
    <row r="39" spans="13:41">
      <c r="M39" s="154"/>
      <c r="O39" s="15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 t="s">
        <v>99</v>
      </c>
      <c r="AF39" s="164"/>
      <c r="AG39" s="152">
        <f>'[1]Product &amp; stock detail - Nov 23'!M20</f>
        <v>0</v>
      </c>
      <c r="AH39" s="154">
        <v>0</v>
      </c>
      <c r="AI39" s="152">
        <v>70</v>
      </c>
      <c r="AJ39" s="152">
        <v>331.338114142821</v>
      </c>
      <c r="AK39" s="154">
        <f>Q20</f>
        <v>3493.76</v>
      </c>
      <c r="AL39" s="152">
        <f>'[1]Product &amp; stock detail - Dec 23'!M29</f>
        <v>291.800005226341</v>
      </c>
      <c r="AN39" s="152">
        <v>2971.97</v>
      </c>
      <c r="AO39" s="154"/>
    </row>
    <row r="40" spans="14:42">
      <c r="N40" s="164"/>
      <c r="O40" s="164"/>
      <c r="AH40" s="154"/>
      <c r="AK40" s="154"/>
      <c r="AP40" s="154"/>
    </row>
    <row r="41" spans="3:42">
      <c r="C41" s="154"/>
      <c r="D41" s="154"/>
      <c r="E41" s="154"/>
      <c r="H41" s="154" t="s">
        <v>349</v>
      </c>
      <c r="I41" s="154"/>
      <c r="N41" s="164"/>
      <c r="O41" s="164"/>
      <c r="AH41" s="154"/>
      <c r="AK41" s="154"/>
      <c r="AP41" s="154"/>
    </row>
    <row r="42" spans="3:41">
      <c r="C42" s="165"/>
      <c r="D42" s="165"/>
      <c r="E42" s="165"/>
      <c r="H42" s="165"/>
      <c r="I42" s="165"/>
      <c r="K42" s="165"/>
      <c r="N42" s="164"/>
      <c r="O42" s="164"/>
      <c r="AH42" s="154"/>
      <c r="AK42" s="154"/>
      <c r="AO42" s="165"/>
    </row>
    <row r="43" spans="3:34">
      <c r="C43" s="176"/>
      <c r="D43" s="176"/>
      <c r="E43" s="176"/>
      <c r="F43" s="176"/>
      <c r="H43" s="176" t="s">
        <v>350</v>
      </c>
      <c r="I43" s="208">
        <f>'Input Sheet'!AC58</f>
        <v>5501.40758701734</v>
      </c>
      <c r="K43" s="176"/>
      <c r="N43" s="154"/>
      <c r="AH43" s="154"/>
    </row>
    <row r="44" spans="8:22">
      <c r="H44" s="152" t="s">
        <v>351</v>
      </c>
      <c r="I44" s="208">
        <f>I38</f>
        <v>3338.14758701735</v>
      </c>
      <c r="N44" s="165"/>
      <c r="U44" s="154"/>
      <c r="V44" s="154"/>
    </row>
    <row r="45" spans="6:22">
      <c r="F45" s="176"/>
      <c r="H45" s="152" t="s">
        <v>353</v>
      </c>
      <c r="I45" s="208">
        <f>I43-I44</f>
        <v>2163.25999999999</v>
      </c>
      <c r="K45" s="176"/>
      <c r="V45" s="154"/>
    </row>
    <row r="46" spans="31:40">
      <c r="AE46" s="152" t="s">
        <v>107</v>
      </c>
      <c r="AI46" s="152" t="s">
        <v>345</v>
      </c>
      <c r="AJ46" s="152" t="s">
        <v>329</v>
      </c>
      <c r="AK46" s="152" t="s">
        <v>345</v>
      </c>
      <c r="AL46" s="152" t="s">
        <v>329</v>
      </c>
      <c r="AN46" s="152" t="s">
        <v>139</v>
      </c>
    </row>
    <row r="48" spans="31:49">
      <c r="AE48" s="152" t="s">
        <v>98</v>
      </c>
      <c r="AI48" s="152">
        <v>467.63</v>
      </c>
      <c r="AK48" s="152">
        <v>163.18</v>
      </c>
      <c r="AN48" s="152">
        <v>321.61</v>
      </c>
      <c r="AQ48" s="152">
        <v>321.61</v>
      </c>
      <c r="AR48" s="152" t="s">
        <v>355</v>
      </c>
      <c r="AS48" s="154">
        <f>AI38-AK48</f>
        <v>36.82</v>
      </c>
      <c r="AT48" s="152">
        <f>AJ38</f>
        <v>331.338114142821</v>
      </c>
      <c r="AU48" s="154">
        <f>AN48-AS48</f>
        <v>284.79</v>
      </c>
      <c r="AV48" s="152">
        <f>AL38</f>
        <v>292.284989949118</v>
      </c>
      <c r="AW48" s="165">
        <f>(AS48*AT48)+(AU48*AV48)</f>
        <v>95439.7116503481</v>
      </c>
    </row>
    <row r="49" spans="31:49">
      <c r="AE49" s="152" t="s">
        <v>99</v>
      </c>
      <c r="AI49" s="152">
        <v>1771.48</v>
      </c>
      <c r="AK49" s="152">
        <v>587.74</v>
      </c>
      <c r="AN49" s="152">
        <v>2791.65</v>
      </c>
      <c r="AQ49" s="152">
        <v>2791.65</v>
      </c>
      <c r="AR49" s="152" t="s">
        <v>355</v>
      </c>
      <c r="AS49" s="154">
        <f>AK39</f>
        <v>3493.76</v>
      </c>
      <c r="AT49" s="152">
        <f>AL39</f>
        <v>291.800005226341</v>
      </c>
      <c r="AU49" s="154">
        <f>AN49-AS49</f>
        <v>-702.11</v>
      </c>
      <c r="AV49" s="152">
        <f>'[1]Cost sheet - summary-Jan'!J24</f>
        <v>233.59987373776</v>
      </c>
      <c r="AW49" s="165">
        <f>(AS49*AT49)+(AU49*AV49)</f>
        <v>855466.378909564</v>
      </c>
    </row>
    <row r="50" spans="31:49">
      <c r="AE50" s="152" t="s">
        <v>100</v>
      </c>
      <c r="AI50" s="152">
        <v>677.71</v>
      </c>
      <c r="AK50" s="152">
        <v>310.31</v>
      </c>
      <c r="AN50" s="152">
        <v>468.68</v>
      </c>
      <c r="AQ50" s="152">
        <v>468.68</v>
      </c>
      <c r="AR50" s="152" t="s">
        <v>355</v>
      </c>
      <c r="AS50" s="152">
        <f>AQ50</f>
        <v>468.68</v>
      </c>
      <c r="AT50" s="152">
        <f>AL40</f>
        <v>0</v>
      </c>
      <c r="AW50" s="165">
        <f>(AS50*AT50)+(AU50*AV50)</f>
        <v>0</v>
      </c>
    </row>
    <row r="51" spans="31:49">
      <c r="AE51" s="152" t="s">
        <v>104</v>
      </c>
      <c r="AI51" s="152">
        <v>20941.48</v>
      </c>
      <c r="AK51" s="152">
        <v>18569.86</v>
      </c>
      <c r="AN51" s="152">
        <v>22192.67</v>
      </c>
      <c r="AQ51" s="152">
        <v>22192.67</v>
      </c>
      <c r="AS51" s="154">
        <f>AK41</f>
        <v>0</v>
      </c>
      <c r="AT51" s="154">
        <f>AL41</f>
        <v>0</v>
      </c>
      <c r="AU51" s="154">
        <f>AQ51-AS51</f>
        <v>22192.67</v>
      </c>
      <c r="AV51" s="152">
        <f>'[1]Cost sheet - summary-Jan'!J18</f>
        <v>506.261587128721</v>
      </c>
      <c r="AW51" s="165">
        <f>(AS51*AT51)+(AU51*AV51)</f>
        <v>11235296.336824</v>
      </c>
    </row>
    <row r="52" spans="31:49">
      <c r="AE52" s="152" t="s">
        <v>106</v>
      </c>
      <c r="AI52" s="152">
        <v>9884.99</v>
      </c>
      <c r="AK52" s="152">
        <v>8698.83</v>
      </c>
      <c r="AN52" s="152">
        <v>8739.28</v>
      </c>
      <c r="AQ52" s="152">
        <v>8739.28</v>
      </c>
      <c r="AS52" s="154">
        <f>AK42</f>
        <v>0</v>
      </c>
      <c r="AT52" s="154">
        <f>AL42</f>
        <v>0</v>
      </c>
      <c r="AU52" s="154">
        <f>AQ52-AS52</f>
        <v>8739.28</v>
      </c>
      <c r="AV52" s="152">
        <f>AV51</f>
        <v>506.261587128721</v>
      </c>
      <c r="AW52" s="165">
        <f>(AS52*AT52)+(AU52*AV52)</f>
        <v>4424361.76316229</v>
      </c>
    </row>
    <row r="53" spans="31:43">
      <c r="AE53" s="152" t="s">
        <v>50</v>
      </c>
      <c r="AI53" s="152">
        <v>1159.15</v>
      </c>
      <c r="AK53" s="152">
        <v>688.64</v>
      </c>
      <c r="AN53" s="152">
        <v>674.22</v>
      </c>
      <c r="AQ53" s="152">
        <v>674.22</v>
      </c>
    </row>
    <row r="54" spans="49:49">
      <c r="AW54" s="165">
        <f>SUM(AW48:AW53)</f>
        <v>16610564.1905462</v>
      </c>
    </row>
    <row r="55" spans="35:40">
      <c r="AI55" s="152" t="s">
        <v>342</v>
      </c>
      <c r="AK55" s="152" t="s">
        <v>343</v>
      </c>
      <c r="AN55" s="152" t="s">
        <v>344</v>
      </c>
    </row>
    <row r="56" spans="31:40">
      <c r="AE56" s="152" t="s">
        <v>358</v>
      </c>
      <c r="AI56" s="152" t="s">
        <v>345</v>
      </c>
      <c r="AJ56" s="152" t="s">
        <v>329</v>
      </c>
      <c r="AK56" s="152" t="s">
        <v>345</v>
      </c>
      <c r="AL56" s="152" t="s">
        <v>329</v>
      </c>
      <c r="AN56" s="152" t="s">
        <v>139</v>
      </c>
    </row>
    <row r="57" spans="31:41">
      <c r="AE57" s="152" t="s">
        <v>97</v>
      </c>
      <c r="AI57" s="152">
        <v>7.61</v>
      </c>
      <c r="AJ57" s="152">
        <v>0</v>
      </c>
      <c r="AO57" s="152">
        <f>SUM('[1]Traditional P &amp; L'!I38:I44)+'[1]Traditional P &amp; L'!I37-'[1]Traditional P &amp; L'!I31</f>
        <v>20375383.6011321</v>
      </c>
    </row>
    <row r="58" spans="31:41">
      <c r="AE58" s="152" t="s">
        <v>98</v>
      </c>
      <c r="AI58" s="152">
        <v>36.82</v>
      </c>
      <c r="AJ58" s="152">
        <v>331.338114142821</v>
      </c>
      <c r="AK58" s="152">
        <v>284.79</v>
      </c>
      <c r="AL58" s="152">
        <v>292.747072373417</v>
      </c>
      <c r="AO58" s="152">
        <f>SUM('[1]Profit computation-Feb'!J7:J22)+'[1]Profit computation-Feb'!J30</f>
        <v>4348448.56467557</v>
      </c>
    </row>
    <row r="59" spans="31:41">
      <c r="AE59" s="152" t="s">
        <v>99</v>
      </c>
      <c r="AK59" s="152">
        <v>1450</v>
      </c>
      <c r="AL59" s="152">
        <v>292.090205095636</v>
      </c>
      <c r="AM59" s="152">
        <v>1341.65</v>
      </c>
      <c r="AO59" s="152">
        <f>AO57-AO58</f>
        <v>16026935.0364565</v>
      </c>
    </row>
    <row r="60" spans="31:41">
      <c r="AE60" s="152" t="s">
        <v>100</v>
      </c>
      <c r="AK60" s="152">
        <v>468.68</v>
      </c>
      <c r="AL60" s="152">
        <v>292.090205095636</v>
      </c>
      <c r="AO60" s="152">
        <f>'[1]Profit computation-Feb'!E23+'[1]Profit computation-Feb'!E24</f>
        <v>35737.98165</v>
      </c>
    </row>
    <row r="61" spans="31:41">
      <c r="AE61" s="152" t="s">
        <v>104</v>
      </c>
      <c r="AK61" s="152">
        <v>847</v>
      </c>
      <c r="AL61" s="152">
        <v>528.500386018109</v>
      </c>
      <c r="AM61" s="152">
        <v>21345.67</v>
      </c>
      <c r="AO61" s="152">
        <f>AO59/AO60</f>
        <v>448.456636231344</v>
      </c>
    </row>
    <row r="62" spans="31:39">
      <c r="AE62" s="152" t="s">
        <v>106</v>
      </c>
      <c r="AK62" s="152">
        <v>712</v>
      </c>
      <c r="AL62" s="152">
        <v>528.500386018109</v>
      </c>
      <c r="AM62" s="152">
        <v>8027.28</v>
      </c>
    </row>
    <row r="63" spans="31:39">
      <c r="AE63" s="152" t="s">
        <v>50</v>
      </c>
      <c r="AM63" s="152">
        <v>674.22</v>
      </c>
    </row>
    <row r="65" spans="35:39">
      <c r="AI65" s="152">
        <v>44.43</v>
      </c>
      <c r="AK65" s="152">
        <v>3762.47</v>
      </c>
      <c r="AM65" s="152">
        <v>30714.6</v>
      </c>
    </row>
  </sheetData>
  <mergeCells count="11">
    <mergeCell ref="B2:F2"/>
    <mergeCell ref="H2:AA2"/>
    <mergeCell ref="B3:F3"/>
    <mergeCell ref="B13:F13"/>
    <mergeCell ref="B14:F14"/>
    <mergeCell ref="H15:AB15"/>
    <mergeCell ref="B26:F26"/>
    <mergeCell ref="H26:AB26"/>
    <mergeCell ref="B27:C27"/>
    <mergeCell ref="H32:O32"/>
    <mergeCell ref="Q32:AA32"/>
  </mergeCells>
  <pageMargins left="0.236220472440945" right="0.236220472440945" top="0.748031496062992" bottom="0.748031496062992" header="0.31496062992126" footer="0.31496062992126"/>
  <pageSetup paperSize="9" scale="79" orientation="landscape"/>
  <headerFooter/>
  <colBreaks count="1" manualBreakCount="1">
    <brk id="27" max="3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4"/>
  <sheetViews>
    <sheetView workbookViewId="0">
      <selection activeCell="C31" sqref="C31:E33"/>
    </sheetView>
  </sheetViews>
  <sheetFormatPr defaultColWidth="9" defaultRowHeight="14"/>
  <cols>
    <col min="1" max="1" width="52.6363636363636" customWidth="1"/>
    <col min="2" max="2" width="13.4545454545455" customWidth="1"/>
    <col min="3" max="3" width="10.5454545454545" customWidth="1"/>
    <col min="4" max="4" width="11.5454545454545" customWidth="1"/>
    <col min="5" max="5" width="13.9090909090909" customWidth="1"/>
    <col min="9" max="9" width="49.9090909090909" customWidth="1"/>
    <col min="10" max="10" width="12.4545454545455" customWidth="1"/>
    <col min="11" max="11" width="10.5454545454545" customWidth="1"/>
    <col min="12" max="12" width="11.5454545454545" customWidth="1"/>
    <col min="13" max="13" width="13" customWidth="1"/>
  </cols>
  <sheetData>
    <row r="1" ht="15.5" spans="1:13">
      <c r="A1" s="88" t="s">
        <v>84</v>
      </c>
      <c r="B1" s="88"/>
      <c r="C1" s="88"/>
      <c r="D1" s="89"/>
      <c r="E1" s="89"/>
      <c r="I1" s="88" t="s">
        <v>645</v>
      </c>
      <c r="J1" s="88"/>
      <c r="K1" s="88"/>
      <c r="L1" s="89"/>
      <c r="M1" s="89"/>
    </row>
    <row r="2" spans="1:13">
      <c r="A2" s="90" t="s">
        <v>646</v>
      </c>
      <c r="B2" s="90"/>
      <c r="C2" s="90"/>
      <c r="D2" s="89"/>
      <c r="E2" s="89"/>
      <c r="I2" s="90" t="s">
        <v>646</v>
      </c>
      <c r="J2" s="90"/>
      <c r="K2" s="90"/>
      <c r="L2" s="89"/>
      <c r="M2" s="89"/>
    </row>
    <row r="3" spans="1:13">
      <c r="A3" s="90" t="s">
        <v>647</v>
      </c>
      <c r="B3" s="90"/>
      <c r="C3" s="90"/>
      <c r="D3" s="89"/>
      <c r="E3" s="89"/>
      <c r="I3" s="90" t="s">
        <v>648</v>
      </c>
      <c r="J3" s="90"/>
      <c r="K3" s="90"/>
      <c r="L3" s="89"/>
      <c r="M3" s="89"/>
    </row>
    <row r="4" spans="1:13">
      <c r="A4" s="90" t="s">
        <v>649</v>
      </c>
      <c r="B4" s="90"/>
      <c r="C4" s="90"/>
      <c r="D4" s="89"/>
      <c r="E4" s="89"/>
      <c r="I4" s="90" t="s">
        <v>649</v>
      </c>
      <c r="J4" s="90"/>
      <c r="K4" s="90"/>
      <c r="L4" s="89"/>
      <c r="M4" s="89"/>
    </row>
    <row r="5" spans="1:13">
      <c r="A5" s="91" t="s">
        <v>650</v>
      </c>
      <c r="B5" s="91"/>
      <c r="C5" s="91"/>
      <c r="D5" s="89"/>
      <c r="E5" s="89"/>
      <c r="I5" s="91" t="s">
        <v>650</v>
      </c>
      <c r="J5" s="91"/>
      <c r="K5" s="91"/>
      <c r="L5" s="89"/>
      <c r="M5" s="89"/>
    </row>
    <row r="6" ht="15.5" spans="1:13">
      <c r="A6" s="92" t="s">
        <v>651</v>
      </c>
      <c r="B6" s="92"/>
      <c r="C6" s="92"/>
      <c r="D6" s="89"/>
      <c r="E6" s="89"/>
      <c r="I6" s="92" t="s">
        <v>651</v>
      </c>
      <c r="J6" s="92"/>
      <c r="K6" s="92"/>
      <c r="L6" s="89"/>
      <c r="M6" s="89"/>
    </row>
    <row r="7" spans="1:13">
      <c r="A7" s="90" t="s">
        <v>652</v>
      </c>
      <c r="B7" s="90"/>
      <c r="C7" s="90"/>
      <c r="D7" s="89"/>
      <c r="E7" s="89"/>
      <c r="I7" s="90" t="s">
        <v>652</v>
      </c>
      <c r="J7" s="90"/>
      <c r="K7" s="90"/>
      <c r="L7" s="89"/>
      <c r="M7" s="89"/>
    </row>
    <row r="8" spans="1:13">
      <c r="A8" s="93" t="s">
        <v>653</v>
      </c>
      <c r="B8" s="94" t="s">
        <v>654</v>
      </c>
      <c r="C8" s="95"/>
      <c r="D8" s="95"/>
      <c r="E8" s="95"/>
      <c r="I8" s="93" t="s">
        <v>653</v>
      </c>
      <c r="J8" s="94" t="s">
        <v>655</v>
      </c>
      <c r="K8" s="95"/>
      <c r="L8" s="95"/>
      <c r="M8" s="95"/>
    </row>
    <row r="9" spans="1:13">
      <c r="A9" s="96" t="s">
        <v>275</v>
      </c>
      <c r="B9" s="97" t="s">
        <v>652</v>
      </c>
      <c r="C9" s="98"/>
      <c r="D9" s="98"/>
      <c r="E9" s="98"/>
      <c r="I9" s="96" t="s">
        <v>275</v>
      </c>
      <c r="J9" s="97" t="s">
        <v>652</v>
      </c>
      <c r="K9" s="98"/>
      <c r="L9" s="98"/>
      <c r="M9" s="98"/>
    </row>
    <row r="10" spans="1:13">
      <c r="A10" s="96" t="s">
        <v>653</v>
      </c>
      <c r="B10" s="99" t="s">
        <v>338</v>
      </c>
      <c r="C10" s="99" t="s">
        <v>656</v>
      </c>
      <c r="D10" s="100"/>
      <c r="E10" s="99" t="s">
        <v>348</v>
      </c>
      <c r="I10" s="96" t="s">
        <v>653</v>
      </c>
      <c r="J10" s="99" t="s">
        <v>338</v>
      </c>
      <c r="K10" s="99" t="s">
        <v>656</v>
      </c>
      <c r="L10" s="100"/>
      <c r="M10" s="99" t="s">
        <v>348</v>
      </c>
    </row>
    <row r="11" spans="1:13">
      <c r="A11" s="101" t="s">
        <v>653</v>
      </c>
      <c r="B11" s="102" t="s">
        <v>657</v>
      </c>
      <c r="C11" s="103" t="s">
        <v>658</v>
      </c>
      <c r="D11" s="103" t="s">
        <v>659</v>
      </c>
      <c r="E11" s="102" t="s">
        <v>657</v>
      </c>
      <c r="I11" s="101" t="s">
        <v>653</v>
      </c>
      <c r="J11" s="102" t="s">
        <v>657</v>
      </c>
      <c r="K11" s="103" t="s">
        <v>658</v>
      </c>
      <c r="L11" s="103" t="s">
        <v>659</v>
      </c>
      <c r="M11" s="102" t="s">
        <v>657</v>
      </c>
    </row>
    <row r="12" spans="1:14">
      <c r="A12" s="104" t="s">
        <v>660</v>
      </c>
      <c r="B12" s="105"/>
      <c r="C12" s="106"/>
      <c r="D12" s="107">
        <v>11564</v>
      </c>
      <c r="E12" s="108">
        <v>11564</v>
      </c>
      <c r="F12" t="s">
        <v>661</v>
      </c>
      <c r="I12" s="104" t="s">
        <v>662</v>
      </c>
      <c r="J12" s="105"/>
      <c r="K12" s="106"/>
      <c r="L12" s="107">
        <v>39743.5</v>
      </c>
      <c r="M12" s="108">
        <v>-39743.5</v>
      </c>
      <c r="N12" t="s">
        <v>661</v>
      </c>
    </row>
    <row r="13" spans="1:14">
      <c r="A13" s="109" t="s">
        <v>663</v>
      </c>
      <c r="B13" s="110"/>
      <c r="C13" s="111"/>
      <c r="D13" s="112">
        <v>11564</v>
      </c>
      <c r="E13" s="113">
        <v>-11564</v>
      </c>
      <c r="F13" t="s">
        <v>664</v>
      </c>
      <c r="I13" s="109" t="s">
        <v>665</v>
      </c>
      <c r="J13" s="110"/>
      <c r="K13" s="111"/>
      <c r="L13" s="112">
        <v>39743.5</v>
      </c>
      <c r="M13" s="113">
        <v>-39743.5</v>
      </c>
      <c r="N13" t="s">
        <v>664</v>
      </c>
    </row>
    <row r="14" spans="1:14">
      <c r="A14" s="104" t="s">
        <v>666</v>
      </c>
      <c r="B14" s="114"/>
      <c r="C14" s="115">
        <v>3697800.74</v>
      </c>
      <c r="D14" s="115">
        <v>142575</v>
      </c>
      <c r="E14" s="116">
        <v>3555225.74</v>
      </c>
      <c r="F14" t="s">
        <v>661</v>
      </c>
      <c r="I14" s="104" t="s">
        <v>666</v>
      </c>
      <c r="J14" s="114"/>
      <c r="K14" s="115">
        <v>12246798.63</v>
      </c>
      <c r="L14" s="115">
        <v>2198782</v>
      </c>
      <c r="M14" s="116">
        <v>10048016.63</v>
      </c>
      <c r="N14" t="s">
        <v>661</v>
      </c>
    </row>
    <row r="15" spans="1:14">
      <c r="A15" s="117" t="s">
        <v>667</v>
      </c>
      <c r="B15" s="118"/>
      <c r="C15" s="119">
        <v>1242679.54</v>
      </c>
      <c r="D15" s="119">
        <v>142575</v>
      </c>
      <c r="E15" s="120">
        <v>1100104.54</v>
      </c>
      <c r="F15" t="s">
        <v>661</v>
      </c>
      <c r="I15" s="117" t="s">
        <v>667</v>
      </c>
      <c r="J15" s="118"/>
      <c r="K15" s="119">
        <v>8965966.2</v>
      </c>
      <c r="L15" s="119">
        <v>448467</v>
      </c>
      <c r="M15" s="120">
        <v>8517499.2</v>
      </c>
      <c r="N15" t="s">
        <v>661</v>
      </c>
    </row>
    <row r="16" spans="1:14">
      <c r="A16" s="121" t="s">
        <v>668</v>
      </c>
      <c r="B16" s="106"/>
      <c r="C16" s="106"/>
      <c r="D16" s="107">
        <v>142575</v>
      </c>
      <c r="E16" s="122">
        <v>142575</v>
      </c>
      <c r="F16" t="s">
        <v>661</v>
      </c>
      <c r="I16" s="121" t="s">
        <v>668</v>
      </c>
      <c r="J16" s="106"/>
      <c r="K16" s="107">
        <v>352995</v>
      </c>
      <c r="L16" s="106"/>
      <c r="M16" s="128">
        <v>352995</v>
      </c>
      <c r="N16" t="s">
        <v>661</v>
      </c>
    </row>
    <row r="17" spans="1:14">
      <c r="A17" s="123" t="s">
        <v>669</v>
      </c>
      <c r="B17" s="110"/>
      <c r="C17" s="111"/>
      <c r="D17" s="112">
        <v>142575</v>
      </c>
      <c r="E17" s="113">
        <v>-142575</v>
      </c>
      <c r="F17" t="str">
        <f>VLOOKUP(A17,'Working-Jan-25'!$C$5:$C$588,1,0)</f>
        <v>Q1 Explosives - Quarry - 275</v>
      </c>
      <c r="I17" s="123" t="s">
        <v>669</v>
      </c>
      <c r="J17" s="110"/>
      <c r="K17" s="112">
        <v>352995</v>
      </c>
      <c r="L17" s="111"/>
      <c r="M17" s="130">
        <v>352995</v>
      </c>
      <c r="N17" t="str">
        <f>VLOOKUP(I17,'Working-Jan-25'!$C$5:$C$586,1,0)</f>
        <v>Q1 Explosives - Quarry - 275</v>
      </c>
    </row>
    <row r="18" spans="1:14">
      <c r="A18" s="121" t="s">
        <v>670</v>
      </c>
      <c r="B18" s="124"/>
      <c r="C18" s="115">
        <v>521258</v>
      </c>
      <c r="D18" s="124"/>
      <c r="E18" s="125">
        <v>521258</v>
      </c>
      <c r="F18" t="s">
        <v>661</v>
      </c>
      <c r="I18" s="121" t="s">
        <v>670</v>
      </c>
      <c r="J18" s="124"/>
      <c r="K18" s="115">
        <v>278158</v>
      </c>
      <c r="L18" s="115">
        <v>5587</v>
      </c>
      <c r="M18" s="125">
        <v>272571</v>
      </c>
      <c r="N18" t="s">
        <v>661</v>
      </c>
    </row>
    <row r="19" spans="1:14">
      <c r="A19" s="126" t="s">
        <v>671</v>
      </c>
      <c r="B19" s="118"/>
      <c r="C19" s="119">
        <v>24070</v>
      </c>
      <c r="D19" s="118"/>
      <c r="E19" s="120">
        <v>24070</v>
      </c>
      <c r="F19" t="s">
        <v>661</v>
      </c>
      <c r="I19" s="126" t="s">
        <v>671</v>
      </c>
      <c r="J19" s="118"/>
      <c r="K19" s="119">
        <v>172758</v>
      </c>
      <c r="L19" s="118"/>
      <c r="M19" s="120">
        <v>172758</v>
      </c>
      <c r="N19" t="s">
        <v>661</v>
      </c>
    </row>
    <row r="20" spans="1:14">
      <c r="A20" s="127" t="s">
        <v>672</v>
      </c>
      <c r="B20" s="106"/>
      <c r="C20" s="107">
        <v>24070</v>
      </c>
      <c r="D20" s="106"/>
      <c r="E20" s="128">
        <v>24070</v>
      </c>
      <c r="F20" t="s">
        <v>661</v>
      </c>
      <c r="I20" s="127" t="s">
        <v>672</v>
      </c>
      <c r="J20" s="106"/>
      <c r="K20" s="107">
        <v>1610</v>
      </c>
      <c r="L20" s="106"/>
      <c r="M20" s="128">
        <v>1610</v>
      </c>
      <c r="N20" t="s">
        <v>661</v>
      </c>
    </row>
    <row r="21" spans="1:14">
      <c r="A21" s="129" t="s">
        <v>673</v>
      </c>
      <c r="B21" s="110"/>
      <c r="C21" s="112">
        <v>24070</v>
      </c>
      <c r="D21" s="111"/>
      <c r="E21" s="130">
        <v>24070</v>
      </c>
      <c r="F21" t="str">
        <f>VLOOKUP(A21,'Working-Jan-25'!$C$5:$C$588,1,0)</f>
        <v>Q1 Food Expenses - Quarry - 276</v>
      </c>
      <c r="I21" s="129" t="s">
        <v>673</v>
      </c>
      <c r="J21" s="110"/>
      <c r="K21" s="112">
        <v>1610</v>
      </c>
      <c r="L21" s="111"/>
      <c r="M21" s="130">
        <v>1610</v>
      </c>
      <c r="N21" t="str">
        <f>VLOOKUP(I21,'Working-Jan-25'!$C$5:$C$586,1,0)</f>
        <v>Q1 Food Expenses - Quarry - 276</v>
      </c>
    </row>
    <row r="22" spans="1:14">
      <c r="A22" s="126" t="s">
        <v>674</v>
      </c>
      <c r="B22" s="131"/>
      <c r="C22" s="132">
        <v>393838</v>
      </c>
      <c r="D22" s="131"/>
      <c r="E22" s="133">
        <v>393838</v>
      </c>
      <c r="F22" t="s">
        <v>661</v>
      </c>
      <c r="I22" s="134" t="s">
        <v>675</v>
      </c>
      <c r="J22" s="111"/>
      <c r="K22" s="135">
        <v>171148</v>
      </c>
      <c r="L22" s="110"/>
      <c r="M22" s="136">
        <v>171148</v>
      </c>
      <c r="N22" t="str">
        <f>VLOOKUP(I22,'Working-Jan-25'!$C$5:$C$586,1,0)</f>
        <v>Q1 Salary - Quarry - 300</v>
      </c>
    </row>
    <row r="23" spans="1:14">
      <c r="A23" s="134" t="s">
        <v>676</v>
      </c>
      <c r="B23" s="111"/>
      <c r="C23" s="135">
        <v>392238</v>
      </c>
      <c r="D23" s="110"/>
      <c r="E23" s="136">
        <v>392238</v>
      </c>
      <c r="F23" t="str">
        <f>VLOOKUP(A23,'Working-Jan-25'!$C$5:$C$588,1,0)</f>
        <v>Q1 Fuel Cat 6 Quarry-572</v>
      </c>
      <c r="I23" s="126" t="s">
        <v>674</v>
      </c>
      <c r="J23" s="131"/>
      <c r="K23" s="131"/>
      <c r="L23" s="132">
        <v>5587</v>
      </c>
      <c r="M23" s="142">
        <v>-5587</v>
      </c>
      <c r="N23" t="s">
        <v>661</v>
      </c>
    </row>
    <row r="24" spans="1:14">
      <c r="A24" s="137" t="s">
        <v>677</v>
      </c>
      <c r="B24" s="111"/>
      <c r="C24" s="135">
        <v>1600</v>
      </c>
      <c r="D24" s="110"/>
      <c r="E24" s="136">
        <v>1600</v>
      </c>
      <c r="F24" t="str">
        <f>VLOOKUP(A24,'Working-Jan-25'!$C$5:$C$588,1,0)</f>
        <v>Q1 Sathish Bike Petrol - Quarry - 301</v>
      </c>
      <c r="I24" s="134" t="s">
        <v>676</v>
      </c>
      <c r="J24" s="111"/>
      <c r="K24" s="110"/>
      <c r="L24" s="135">
        <v>5587</v>
      </c>
      <c r="M24" s="143">
        <v>-5587</v>
      </c>
      <c r="N24" t="str">
        <f>VLOOKUP(I24,'Working-Jan-25'!$C$5:$C$586,1,0)</f>
        <v>Q1 Fuel Cat 6 Quarry-572</v>
      </c>
    </row>
    <row r="25" spans="1:14">
      <c r="A25" s="126" t="s">
        <v>678</v>
      </c>
      <c r="B25" s="131"/>
      <c r="C25" s="132">
        <v>20000</v>
      </c>
      <c r="D25" s="131"/>
      <c r="E25" s="133">
        <v>20000</v>
      </c>
      <c r="F25" t="s">
        <v>661</v>
      </c>
      <c r="I25" s="126" t="s">
        <v>678</v>
      </c>
      <c r="J25" s="131"/>
      <c r="K25" s="132">
        <v>65500</v>
      </c>
      <c r="L25" s="131"/>
      <c r="M25" s="133">
        <v>65500</v>
      </c>
      <c r="N25" t="s">
        <v>661</v>
      </c>
    </row>
    <row r="26" spans="1:14">
      <c r="A26" s="138" t="s">
        <v>679</v>
      </c>
      <c r="B26" s="111"/>
      <c r="C26" s="135">
        <v>20000</v>
      </c>
      <c r="D26" s="110"/>
      <c r="E26" s="136">
        <v>20000</v>
      </c>
      <c r="F26" t="str">
        <f>VLOOKUP(A26,'Working-Jan-25'!$C$5:$C$588,1,0)</f>
        <v>Hire Charges - (62.5 KVA SP DG Set) - Chetpat - 447</v>
      </c>
      <c r="I26" s="138" t="s">
        <v>680</v>
      </c>
      <c r="J26" s="111"/>
      <c r="K26" s="135">
        <v>65500</v>
      </c>
      <c r="L26" s="110"/>
      <c r="M26" s="136">
        <v>65500</v>
      </c>
      <c r="N26" t="str">
        <f>VLOOKUP(I26,'Working-Jan-25'!$C$5:$C$586,1,0)</f>
        <v>Q1 Transit Pass Expenses - Quarry - 303</v>
      </c>
    </row>
    <row r="27" spans="1:14">
      <c r="A27" s="126" t="s">
        <v>681</v>
      </c>
      <c r="B27" s="131"/>
      <c r="C27" s="132">
        <v>81850</v>
      </c>
      <c r="D27" s="131"/>
      <c r="E27" s="133">
        <v>81850</v>
      </c>
      <c r="F27" t="s">
        <v>661</v>
      </c>
      <c r="I27" s="126" t="s">
        <v>681</v>
      </c>
      <c r="J27" s="131"/>
      <c r="K27" s="132">
        <v>17000</v>
      </c>
      <c r="L27" s="131"/>
      <c r="M27" s="133">
        <v>17000</v>
      </c>
      <c r="N27" t="s">
        <v>661</v>
      </c>
    </row>
    <row r="28" spans="1:14">
      <c r="A28" s="137" t="s">
        <v>682</v>
      </c>
      <c r="B28" s="111"/>
      <c r="C28" s="135">
        <v>150</v>
      </c>
      <c r="D28" s="110"/>
      <c r="E28" s="136">
        <v>150</v>
      </c>
      <c r="F28" t="str">
        <f>VLOOKUP(A28,'Working-Jan-25'!$C$5:$C$588,1,0)</f>
        <v>Q1 Maintenanace - Bike - Quarry - 288</v>
      </c>
      <c r="I28" s="138" t="s">
        <v>683</v>
      </c>
      <c r="J28" s="111"/>
      <c r="K28" s="135">
        <v>17000</v>
      </c>
      <c r="L28" s="110"/>
      <c r="M28" s="136">
        <v>17000</v>
      </c>
      <c r="N28" t="str">
        <f>VLOOKUP(I28,'Working-Jan-25'!$C$5:$C$586,1,0)</f>
        <v>Q1 Repair &amp; Maintenance - Quarry - 294</v>
      </c>
    </row>
    <row r="29" spans="1:14">
      <c r="A29" s="138" t="s">
        <v>683</v>
      </c>
      <c r="B29" s="111"/>
      <c r="C29" s="135">
        <v>81700</v>
      </c>
      <c r="D29" s="110"/>
      <c r="E29" s="136">
        <v>81700</v>
      </c>
      <c r="F29" t="str">
        <f>VLOOKUP(A29,'Working-Jan-25'!$C$5:$C$588,1,0)</f>
        <v>Q1 Repair &amp; Maintenance - Quarry - 294</v>
      </c>
      <c r="I29" s="123" t="s">
        <v>684</v>
      </c>
      <c r="J29" s="110"/>
      <c r="K29" s="112">
        <v>22900</v>
      </c>
      <c r="L29" s="111"/>
      <c r="M29" s="130">
        <v>22900</v>
      </c>
      <c r="N29" t="str">
        <f>VLOOKUP(I29,'Working-Jan-25'!$C$5:$C$586,1,0)</f>
        <v>Q1 Labour - Explosives - 287</v>
      </c>
    </row>
    <row r="30" spans="1:14">
      <c r="A30" s="123" t="s">
        <v>685</v>
      </c>
      <c r="B30" s="110"/>
      <c r="C30" s="112">
        <v>1500</v>
      </c>
      <c r="D30" s="111"/>
      <c r="E30" s="130">
        <v>1500</v>
      </c>
      <c r="F30" t="str">
        <f>VLOOKUP(A30,'Working-Jan-25'!$C$5:$C$588,1,0)</f>
        <v>Q1 Bata - Explosives - 266</v>
      </c>
      <c r="I30" s="121" t="s">
        <v>686</v>
      </c>
      <c r="J30" s="124"/>
      <c r="K30" s="115">
        <v>918700</v>
      </c>
      <c r="L30" s="124"/>
      <c r="M30" s="125">
        <v>918700</v>
      </c>
      <c r="N30" t="s">
        <v>661</v>
      </c>
    </row>
    <row r="31" spans="1:14">
      <c r="A31" s="139" t="s">
        <v>687</v>
      </c>
      <c r="B31" s="111"/>
      <c r="C31" s="135">
        <v>447353.54</v>
      </c>
      <c r="D31" s="110"/>
      <c r="E31" s="136">
        <v>447353.54</v>
      </c>
      <c r="F31" t="str">
        <f>VLOOKUP(A31,'Working-Jan-25'!$C$5:$C$588,1,0)</f>
        <v>Q1 Compressor Rent - Quarry - 270</v>
      </c>
      <c r="I31" s="123" t="s">
        <v>688</v>
      </c>
      <c r="J31" s="110"/>
      <c r="K31" s="112">
        <v>918700</v>
      </c>
      <c r="L31" s="111"/>
      <c r="M31" s="130">
        <v>918700</v>
      </c>
      <c r="N31" t="str">
        <f>VLOOKUP(I31,'Working-Jan-25'!$C$5:$C$586,1,0)</f>
        <v>Q1 Chakkai Pass - 269</v>
      </c>
    </row>
    <row r="32" spans="1:14">
      <c r="A32" s="139" t="s">
        <v>689</v>
      </c>
      <c r="B32" s="111"/>
      <c r="C32" s="135">
        <v>112068</v>
      </c>
      <c r="D32" s="110"/>
      <c r="E32" s="136">
        <v>112068</v>
      </c>
      <c r="F32" t="str">
        <f>VLOOKUP(A32,'Working-Jan-25'!$C$5:$C$588,1,0)</f>
        <v>Q1 Fuel Genset 62.5kva - 543</v>
      </c>
      <c r="I32" s="121" t="s">
        <v>690</v>
      </c>
      <c r="J32" s="124"/>
      <c r="K32" s="115">
        <v>5161807.2</v>
      </c>
      <c r="L32" s="124"/>
      <c r="M32" s="125">
        <v>5161807.2</v>
      </c>
      <c r="N32" t="s">
        <v>661</v>
      </c>
    </row>
    <row r="33" spans="1:14">
      <c r="A33" s="139" t="s">
        <v>691</v>
      </c>
      <c r="B33" s="111"/>
      <c r="C33" s="135">
        <f>162000*0</f>
        <v>0</v>
      </c>
      <c r="D33" s="110"/>
      <c r="E33" s="136">
        <f>162000*0</f>
        <v>0</v>
      </c>
      <c r="F33" t="str">
        <f>VLOOKUP(A33,'Working-Jan-25'!$C$5:$C$588,1,0)</f>
        <v>Q1 Royalty Fee - 299</v>
      </c>
      <c r="I33" s="123" t="s">
        <v>692</v>
      </c>
      <c r="J33" s="110"/>
      <c r="K33" s="112">
        <v>5161807.2</v>
      </c>
      <c r="L33" s="111"/>
      <c r="M33" s="130">
        <v>5161807.2</v>
      </c>
      <c r="N33" t="str">
        <f>VLOOKUP(I33,'Working-Jan-25'!$C$5:$C$586,1,0)</f>
        <v>Q1 Transport Charges Inward - 326</v>
      </c>
    </row>
    <row r="34" spans="1:14">
      <c r="A34" s="117" t="s">
        <v>693</v>
      </c>
      <c r="B34" s="131"/>
      <c r="C34" s="132">
        <v>37534.54</v>
      </c>
      <c r="D34" s="131"/>
      <c r="E34" s="133">
        <v>37534.54</v>
      </c>
      <c r="F34" t="s">
        <v>661</v>
      </c>
      <c r="I34" s="139" t="s">
        <v>687</v>
      </c>
      <c r="J34" s="111"/>
      <c r="K34" s="135">
        <v>442880</v>
      </c>
      <c r="L34" s="135">
        <v>442880</v>
      </c>
      <c r="M34" s="111"/>
      <c r="N34" t="str">
        <f>VLOOKUP(I34,'Working-Jan-25'!$C$5:$C$586,1,0)</f>
        <v>Q1 Compressor Rent - Quarry - 270</v>
      </c>
    </row>
    <row r="35" spans="1:14">
      <c r="A35" s="139" t="s">
        <v>694</v>
      </c>
      <c r="B35" s="111"/>
      <c r="C35" s="135">
        <v>37534.54</v>
      </c>
      <c r="D35" s="110"/>
      <c r="E35" s="136">
        <v>37534.54</v>
      </c>
      <c r="F35" t="str">
        <f>VLOOKUP(A35,'Working-Jan-25'!$C$5:$C$588,1,0)</f>
        <v>Q2 EB Charges - Quarry - 308</v>
      </c>
      <c r="I35" s="139" t="s">
        <v>695</v>
      </c>
      <c r="J35" s="111"/>
      <c r="K35" s="135">
        <v>247242</v>
      </c>
      <c r="L35" s="110"/>
      <c r="M35" s="136">
        <v>247242</v>
      </c>
      <c r="N35" t="str">
        <f>VLOOKUP(I35,'Working-Jan-25'!$C$5:$C$586,1,0)</f>
        <v>Q1-Repairs &amp; Maintenance - CAT 6-571</v>
      </c>
    </row>
    <row r="36" spans="1:14">
      <c r="A36" s="117" t="s">
        <v>696</v>
      </c>
      <c r="B36" s="131"/>
      <c r="C36" s="132">
        <v>2417586.66</v>
      </c>
      <c r="D36" s="131"/>
      <c r="E36" s="133">
        <v>2417586.66</v>
      </c>
      <c r="F36" t="s">
        <v>661</v>
      </c>
      <c r="I36" s="139" t="s">
        <v>691</v>
      </c>
      <c r="J36" s="111"/>
      <c r="K36" s="135">
        <v>1564184</v>
      </c>
      <c r="L36" s="110"/>
      <c r="M36" s="136">
        <v>1564184</v>
      </c>
      <c r="N36" t="str">
        <f>VLOOKUP(I36,'Working-Jan-25'!$C$5:$C$586,1,0)</f>
        <v>Q1 Royalty Fee - 299</v>
      </c>
    </row>
    <row r="37" spans="1:14">
      <c r="A37" s="121" t="s">
        <v>697</v>
      </c>
      <c r="B37" s="106"/>
      <c r="C37" s="107">
        <v>1030094.46</v>
      </c>
      <c r="D37" s="106"/>
      <c r="E37" s="128">
        <v>1030094.46</v>
      </c>
      <c r="F37" t="s">
        <v>661</v>
      </c>
      <c r="I37" s="117" t="s">
        <v>693</v>
      </c>
      <c r="J37" s="131"/>
      <c r="K37" s="132">
        <v>57500</v>
      </c>
      <c r="L37" s="131"/>
      <c r="M37" s="133">
        <v>57500</v>
      </c>
      <c r="N37" t="s">
        <v>661</v>
      </c>
    </row>
    <row r="38" spans="1:14">
      <c r="A38" s="123" t="s">
        <v>698</v>
      </c>
      <c r="B38" s="110"/>
      <c r="C38" s="112">
        <v>448755.75</v>
      </c>
      <c r="D38" s="111"/>
      <c r="E38" s="130">
        <v>448755.75</v>
      </c>
      <c r="F38" t="str">
        <f>VLOOKUP(A38,'Working-Jan-25'!$C$5:$C$588,1,0)</f>
        <v>Q3 Fuel CAT 3 Quarry - 470</v>
      </c>
      <c r="I38" s="121" t="s">
        <v>699</v>
      </c>
      <c r="J38" s="106"/>
      <c r="K38" s="107">
        <v>57500</v>
      </c>
      <c r="L38" s="106"/>
      <c r="M38" s="128">
        <v>57500</v>
      </c>
      <c r="N38" t="s">
        <v>661</v>
      </c>
    </row>
    <row r="39" spans="1:14">
      <c r="A39" s="123" t="s">
        <v>700</v>
      </c>
      <c r="B39" s="110"/>
      <c r="C39" s="112">
        <v>581338.71</v>
      </c>
      <c r="D39" s="111"/>
      <c r="E39" s="130">
        <v>581338.71</v>
      </c>
      <c r="F39" t="str">
        <f>VLOOKUP(A39,'Working-Jan-25'!$C$5:$C$588,1,0)</f>
        <v>Q3 Fuel Cat 5 Quarry - 475</v>
      </c>
      <c r="I39" s="123" t="s">
        <v>701</v>
      </c>
      <c r="J39" s="110"/>
      <c r="K39" s="112">
        <v>57500</v>
      </c>
      <c r="L39" s="111"/>
      <c r="M39" s="130">
        <v>57500</v>
      </c>
      <c r="N39" t="str">
        <f>VLOOKUP(I39,'Working-Jan-25'!$C$5:$C$586,1,0)</f>
        <v>Q2 Salary - Quarry - 322</v>
      </c>
    </row>
    <row r="40" spans="1:14">
      <c r="A40" s="139" t="s">
        <v>702</v>
      </c>
      <c r="B40" s="111"/>
      <c r="C40" s="135">
        <v>635846.46</v>
      </c>
      <c r="D40" s="110"/>
      <c r="E40" s="136">
        <v>635846.46</v>
      </c>
      <c r="F40" t="str">
        <f>VLOOKUP(A40,'Working-Jan-25'!$C$5:$C$588,1,0)</f>
        <v>Q3 Compressor Rent - Quarry - 479</v>
      </c>
      <c r="I40" s="117" t="s">
        <v>696</v>
      </c>
      <c r="J40" s="131"/>
      <c r="K40" s="132">
        <v>3223332.43</v>
      </c>
      <c r="L40" s="132">
        <v>1750315</v>
      </c>
      <c r="M40" s="133">
        <v>1473017.43</v>
      </c>
      <c r="N40" t="s">
        <v>661</v>
      </c>
    </row>
    <row r="41" spans="1:14">
      <c r="A41" s="139" t="s">
        <v>703</v>
      </c>
      <c r="B41" s="111"/>
      <c r="C41" s="135">
        <v>409877.51</v>
      </c>
      <c r="D41" s="110"/>
      <c r="E41" s="136">
        <v>409877.51</v>
      </c>
      <c r="F41" t="str">
        <f>VLOOKUP(A41,'Working-Jan-25'!$C$5:$C$588,1,0)</f>
        <v>Q3 Fuel Cat 4 Quarry - 515</v>
      </c>
      <c r="I41" s="121" t="s">
        <v>704</v>
      </c>
      <c r="J41" s="106"/>
      <c r="K41" s="107">
        <v>142948</v>
      </c>
      <c r="L41" s="106"/>
      <c r="M41" s="128">
        <v>142948</v>
      </c>
      <c r="N41" t="s">
        <v>661</v>
      </c>
    </row>
    <row r="42" spans="1:14">
      <c r="A42" s="139" t="s">
        <v>705</v>
      </c>
      <c r="B42" s="111"/>
      <c r="C42" s="135">
        <v>268143.23</v>
      </c>
      <c r="D42" s="110"/>
      <c r="E42" s="136">
        <v>268143.23</v>
      </c>
      <c r="F42" t="str">
        <f>VLOOKUP(A42,'Working-Jan-25'!$C$5:$C$588,1,0)</f>
        <v>Q3 Fuel Genset 82.5kva - 547</v>
      </c>
      <c r="I42" s="123" t="s">
        <v>706</v>
      </c>
      <c r="J42" s="110"/>
      <c r="K42" s="112">
        <v>142948</v>
      </c>
      <c r="L42" s="111"/>
      <c r="M42" s="130">
        <v>142948</v>
      </c>
      <c r="N42" t="str">
        <f>VLOOKUP(I42,'Working-Jan-25'!$C$5:$C$586,1,0)</f>
        <v>Q3 Salary - Quarry - 513</v>
      </c>
    </row>
    <row r="43" spans="1:14">
      <c r="A43" s="140" t="s">
        <v>707</v>
      </c>
      <c r="B43" s="111"/>
      <c r="C43" s="135">
        <v>73625</v>
      </c>
      <c r="D43" s="110"/>
      <c r="E43" s="136">
        <v>73625</v>
      </c>
      <c r="F43" t="str">
        <f>VLOOKUP(A43,'Working-Jan-25'!$C$5:$C$588,1,0)</f>
        <v>Q3-Hire Charges - (62.5 KVA SP DG Set) -538</v>
      </c>
      <c r="I43" s="121" t="s">
        <v>708</v>
      </c>
      <c r="J43" s="124"/>
      <c r="K43" s="115">
        <v>522633.69</v>
      </c>
      <c r="L43" s="124"/>
      <c r="M43" s="125">
        <v>522633.69</v>
      </c>
      <c r="N43" t="s">
        <v>661</v>
      </c>
    </row>
    <row r="44" spans="1:14">
      <c r="A44" s="104" t="s">
        <v>709</v>
      </c>
      <c r="B44" s="114"/>
      <c r="C44" s="115">
        <v>679851</v>
      </c>
      <c r="D44" s="124"/>
      <c r="E44" s="116">
        <v>679851</v>
      </c>
      <c r="F44" t="s">
        <v>661</v>
      </c>
      <c r="I44" s="123" t="s">
        <v>710</v>
      </c>
      <c r="J44" s="110"/>
      <c r="K44" s="112">
        <v>522633.69</v>
      </c>
      <c r="L44" s="111"/>
      <c r="M44" s="130">
        <v>522633.69</v>
      </c>
      <c r="N44" t="str">
        <f>VLOOKUP(I44,'Working-Jan-25'!$C$5:$C$586,1,0)</f>
        <v>Q3 Explosives - Quarry - 480</v>
      </c>
    </row>
    <row r="45" spans="1:14">
      <c r="A45" s="109" t="s">
        <v>711</v>
      </c>
      <c r="B45" s="110"/>
      <c r="C45" s="112">
        <v>649097</v>
      </c>
      <c r="D45" s="111"/>
      <c r="E45" s="130">
        <v>649097</v>
      </c>
      <c r="F45" t="str">
        <f>VLOOKUP(A45,'Working-Jan-25'!$C$5:$C$588,1,0)</f>
        <v>Gross Salary - 398</v>
      </c>
      <c r="I45" s="121" t="s">
        <v>697</v>
      </c>
      <c r="J45" s="124"/>
      <c r="K45" s="124"/>
      <c r="L45" s="115">
        <v>710949</v>
      </c>
      <c r="M45" s="144">
        <v>-710949</v>
      </c>
      <c r="N45" t="s">
        <v>661</v>
      </c>
    </row>
    <row r="46" spans="1:14">
      <c r="A46" s="109" t="s">
        <v>712</v>
      </c>
      <c r="B46" s="110"/>
      <c r="C46" s="112">
        <v>30754</v>
      </c>
      <c r="D46" s="111"/>
      <c r="E46" s="130">
        <v>30754</v>
      </c>
      <c r="F46" t="str">
        <f>VLOOKUP(A46,'Working-Jan-25'!$C$5:$C$588,1,0)</f>
        <v>PF employer - 400</v>
      </c>
      <c r="I46" s="123" t="s">
        <v>698</v>
      </c>
      <c r="J46" s="110"/>
      <c r="K46" s="111"/>
      <c r="L46" s="112">
        <v>350758</v>
      </c>
      <c r="M46" s="113">
        <v>-350758</v>
      </c>
      <c r="N46" t="str">
        <f>VLOOKUP(I46,'Working-Jan-25'!$C$5:$C$586,1,0)</f>
        <v>Q3 Fuel CAT 3 Quarry - 470</v>
      </c>
    </row>
    <row r="47" spans="1:14">
      <c r="A47" s="104" t="s">
        <v>713</v>
      </c>
      <c r="B47" s="114"/>
      <c r="C47" s="115">
        <v>222381</v>
      </c>
      <c r="D47" s="124"/>
      <c r="E47" s="116">
        <v>222381</v>
      </c>
      <c r="F47" t="s">
        <v>661</v>
      </c>
      <c r="I47" s="123" t="s">
        <v>700</v>
      </c>
      <c r="J47" s="110"/>
      <c r="K47" s="111"/>
      <c r="L47" s="112">
        <v>360191</v>
      </c>
      <c r="M47" s="113">
        <v>-360191</v>
      </c>
      <c r="N47" t="str">
        <f>VLOOKUP(I47,'Working-Jan-25'!$C$5:$C$586,1,0)</f>
        <v>Q3 Fuel Cat 5 Quarry - 475</v>
      </c>
    </row>
    <row r="48" spans="1:14">
      <c r="A48" s="141" t="s">
        <v>714</v>
      </c>
      <c r="B48" s="118"/>
      <c r="C48" s="119">
        <v>21360</v>
      </c>
      <c r="D48" s="118"/>
      <c r="E48" s="120">
        <v>21360</v>
      </c>
      <c r="F48" t="s">
        <v>661</v>
      </c>
      <c r="I48" s="121" t="s">
        <v>715</v>
      </c>
      <c r="J48" s="124"/>
      <c r="K48" s="115">
        <v>33515.36</v>
      </c>
      <c r="L48" s="124"/>
      <c r="M48" s="125">
        <v>33515.36</v>
      </c>
      <c r="N48" t="s">
        <v>661</v>
      </c>
    </row>
    <row r="49" spans="1:14">
      <c r="A49" s="140" t="s">
        <v>716</v>
      </c>
      <c r="B49" s="111"/>
      <c r="C49" s="135">
        <v>21360</v>
      </c>
      <c r="D49" s="110"/>
      <c r="E49" s="136">
        <v>21360</v>
      </c>
      <c r="F49" t="str">
        <f>VLOOKUP(A49,'Working-Jan-25'!$C$5:$C$588,1,0)</f>
        <v>Repairs &amp; Maintenance - Non Operating Crusher - 184</v>
      </c>
      <c r="I49" s="123" t="s">
        <v>717</v>
      </c>
      <c r="J49" s="110"/>
      <c r="K49" s="112">
        <v>3800</v>
      </c>
      <c r="L49" s="111"/>
      <c r="M49" s="130">
        <v>3800</v>
      </c>
      <c r="N49" t="str">
        <f>VLOOKUP(I49,'Working-Jan-25'!$C$5:$C$586,1,0)</f>
        <v>Q3 Bata - Explosives - 511</v>
      </c>
    </row>
    <row r="50" spans="1:14">
      <c r="A50" s="141" t="s">
        <v>718</v>
      </c>
      <c r="B50" s="131"/>
      <c r="C50" s="132">
        <v>6860</v>
      </c>
      <c r="D50" s="131"/>
      <c r="E50" s="133">
        <v>6860</v>
      </c>
      <c r="F50" t="s">
        <v>661</v>
      </c>
      <c r="I50" s="123" t="s">
        <v>719</v>
      </c>
      <c r="J50" s="110"/>
      <c r="K50" s="112">
        <v>29715.36</v>
      </c>
      <c r="L50" s="111"/>
      <c r="M50" s="130">
        <v>29715.36</v>
      </c>
      <c r="N50" t="str">
        <f>VLOOKUP(I50,'Working-Jan-25'!$C$5:$C$586,1,0)</f>
        <v>Q3 Labour - Explosives - 481</v>
      </c>
    </row>
    <row r="51" spans="1:14">
      <c r="A51" s="140" t="s">
        <v>720</v>
      </c>
      <c r="B51" s="111"/>
      <c r="C51" s="135">
        <v>6860</v>
      </c>
      <c r="D51" s="110"/>
      <c r="E51" s="136">
        <v>6860</v>
      </c>
      <c r="F51" t="str">
        <f>VLOOKUP(A51,'Working-Jan-25'!$C$5:$C$588,1,0)</f>
        <v>Q1 Repair &amp; Maintenance - Non Operating - Quarry - 180</v>
      </c>
      <c r="I51" s="139" t="s">
        <v>721</v>
      </c>
      <c r="J51" s="111"/>
      <c r="K51" s="135">
        <v>798567</v>
      </c>
      <c r="L51" s="110"/>
      <c r="M51" s="135">
        <v>798567</v>
      </c>
      <c r="N51" t="str">
        <f>VLOOKUP(I51,'Working-Jan-25'!$C$5:$C$586,1,0)</f>
        <v>Q3 Chakkai Pass - 539</v>
      </c>
    </row>
    <row r="52" spans="1:14">
      <c r="A52" s="109" t="s">
        <v>722</v>
      </c>
      <c r="B52" s="110"/>
      <c r="C52" s="112">
        <v>194161</v>
      </c>
      <c r="D52" s="111"/>
      <c r="E52" s="130">
        <v>194161</v>
      </c>
      <c r="F52" t="str">
        <f>VLOOKUP(A52,'Working-Jan-25'!$C$5:$C$588,1,0)</f>
        <v>EMI - Car GLS - 167</v>
      </c>
      <c r="I52" s="139" t="s">
        <v>702</v>
      </c>
      <c r="J52" s="111"/>
      <c r="K52" s="135">
        <v>629488</v>
      </c>
      <c r="L52" s="135">
        <v>629488</v>
      </c>
      <c r="M52" s="111"/>
      <c r="N52" t="str">
        <f>VLOOKUP(I52,'Working-Jan-25'!$C$5:$C$586,1,0)</f>
        <v>Q3 Compressor Rent - Quarry - 479</v>
      </c>
    </row>
    <row r="53" spans="1:14">
      <c r="A53" s="104" t="s">
        <v>723</v>
      </c>
      <c r="B53" s="114"/>
      <c r="C53" s="115">
        <v>2572221.95</v>
      </c>
      <c r="D53" s="115">
        <v>771.82</v>
      </c>
      <c r="E53" s="116">
        <v>2571450.13</v>
      </c>
      <c r="F53" t="s">
        <v>661</v>
      </c>
      <c r="I53" s="139" t="s">
        <v>703</v>
      </c>
      <c r="J53" s="111"/>
      <c r="K53" s="135">
        <v>162212</v>
      </c>
      <c r="L53" s="135">
        <v>409878</v>
      </c>
      <c r="M53" s="143">
        <v>-247666</v>
      </c>
      <c r="N53" t="str">
        <f>VLOOKUP(I53,'Working-Jan-25'!$C$5:$C$586,1,0)</f>
        <v>Q3 Fuel Cat 4 Quarry - 515</v>
      </c>
    </row>
    <row r="54" spans="1:14">
      <c r="A54" s="141" t="s">
        <v>724</v>
      </c>
      <c r="B54" s="118"/>
      <c r="C54" s="119">
        <v>200000</v>
      </c>
      <c r="D54" s="118"/>
      <c r="E54" s="119">
        <v>200000</v>
      </c>
      <c r="F54" t="s">
        <v>661</v>
      </c>
      <c r="I54" s="139" t="s">
        <v>725</v>
      </c>
      <c r="J54" s="111"/>
      <c r="K54" s="135">
        <v>65872.63</v>
      </c>
      <c r="L54" s="110"/>
      <c r="M54" s="136">
        <v>65872.63</v>
      </c>
      <c r="N54" t="str">
        <f>VLOOKUP(I54,'Working-Jan-25'!$C$5:$C$586,1,0)</f>
        <v>Q3 Fuel Charges (Rmk Lorry)-501</v>
      </c>
    </row>
    <row r="55" spans="1:14">
      <c r="A55" s="139" t="s">
        <v>726</v>
      </c>
      <c r="B55" s="111"/>
      <c r="C55" s="135">
        <v>100000</v>
      </c>
      <c r="D55" s="110"/>
      <c r="E55" s="135">
        <v>100000</v>
      </c>
      <c r="F55" t="str">
        <f>VLOOKUP(A55,'Working-Jan-25'!$C$5:$C$588,1,0)</f>
        <v>Director Remuneration - Sankar - 202</v>
      </c>
      <c r="I55" s="139" t="s">
        <v>727</v>
      </c>
      <c r="J55" s="111"/>
      <c r="K55" s="135">
        <v>42320</v>
      </c>
      <c r="L55" s="110"/>
      <c r="M55" s="136">
        <v>42320</v>
      </c>
      <c r="N55" t="str">
        <f>VLOOKUP(I55,'Working-Jan-25'!$C$5:$C$586,1,0)</f>
        <v>Q3 Gravel Pass - 538</v>
      </c>
    </row>
    <row r="56" spans="1:14">
      <c r="A56" s="140" t="s">
        <v>728</v>
      </c>
      <c r="B56" s="111"/>
      <c r="C56" s="135">
        <v>100000</v>
      </c>
      <c r="D56" s="110"/>
      <c r="E56" s="135">
        <v>100000</v>
      </c>
      <c r="F56" t="str">
        <f>VLOOKUP(A56,'Working-Jan-25'!$C$5:$C$588,1,0)</f>
        <v>Director Remuneration - S.Ramprakash - 201</v>
      </c>
      <c r="I56" s="139" t="s">
        <v>729</v>
      </c>
      <c r="J56" s="111"/>
      <c r="K56" s="135">
        <v>1500</v>
      </c>
      <c r="L56" s="110"/>
      <c r="M56" s="136">
        <v>1500</v>
      </c>
      <c r="N56" t="str">
        <f>VLOOKUP(I56,'Working-Jan-25'!$C$5:$C$586,1,0)</f>
        <v>Q3 Repair &amp; Maintenance - 505</v>
      </c>
    </row>
    <row r="57" spans="1:14">
      <c r="A57" s="141" t="s">
        <v>730</v>
      </c>
      <c r="B57" s="131"/>
      <c r="C57" s="132">
        <v>26711</v>
      </c>
      <c r="D57" s="131"/>
      <c r="E57" s="133">
        <v>26711</v>
      </c>
      <c r="F57" t="s">
        <v>661</v>
      </c>
      <c r="I57" s="139" t="s">
        <v>731</v>
      </c>
      <c r="J57" s="111"/>
      <c r="K57" s="135">
        <v>33583</v>
      </c>
      <c r="L57" s="110"/>
      <c r="M57" s="136">
        <v>33583</v>
      </c>
      <c r="N57" t="str">
        <f>VLOOKUP(I57,'Working-Jan-25'!$C$5:$C$586,1,0)</f>
        <v>Q3-Repairs &amp; Maintenance - CAT 3-523</v>
      </c>
    </row>
    <row r="58" spans="1:14">
      <c r="A58" s="121" t="s">
        <v>732</v>
      </c>
      <c r="B58" s="106"/>
      <c r="C58" s="107">
        <v>26711</v>
      </c>
      <c r="D58" s="106"/>
      <c r="E58" s="128">
        <v>26711</v>
      </c>
      <c r="F58" t="s">
        <v>661</v>
      </c>
      <c r="I58" s="139" t="s">
        <v>733</v>
      </c>
      <c r="J58" s="111"/>
      <c r="K58" s="135">
        <v>162212</v>
      </c>
      <c r="L58" s="110"/>
      <c r="M58" s="136">
        <v>162212</v>
      </c>
      <c r="N58" t="str">
        <f>VLOOKUP(I58,'Working-Jan-25'!$C$5:$C$586,1,0)</f>
        <v>Q3-Repairs &amp; Maintenance - CAT 4 - 520</v>
      </c>
    </row>
    <row r="59" spans="1:14">
      <c r="A59" s="123" t="s">
        <v>734</v>
      </c>
      <c r="B59" s="110"/>
      <c r="C59" s="112">
        <v>26711</v>
      </c>
      <c r="D59" s="111"/>
      <c r="E59" s="130">
        <v>26711</v>
      </c>
      <c r="F59" t="str">
        <f>VLOOKUP(A59,'Working-Jan-25'!$C$5:$C$588,1,0)</f>
        <v>Staff Welfare - Admin - 217</v>
      </c>
      <c r="I59" s="139" t="s">
        <v>735</v>
      </c>
      <c r="J59" s="111"/>
      <c r="K59" s="135">
        <v>18459</v>
      </c>
      <c r="L59" s="110"/>
      <c r="M59" s="136">
        <v>18459</v>
      </c>
      <c r="N59" t="str">
        <f>VLOOKUP(I59,'Working-Jan-25'!$C$5:$C$586,1,0)</f>
        <v>Q3-Repairs &amp; Maintenance - CAT 5-526</v>
      </c>
    </row>
    <row r="60" spans="1:14">
      <c r="A60" s="141" t="s">
        <v>736</v>
      </c>
      <c r="B60" s="131"/>
      <c r="C60" s="132">
        <v>180168.09</v>
      </c>
      <c r="D60" s="131"/>
      <c r="E60" s="133">
        <v>180168.09</v>
      </c>
      <c r="F60" t="s">
        <v>661</v>
      </c>
      <c r="I60" s="139" t="s">
        <v>737</v>
      </c>
      <c r="J60" s="111"/>
      <c r="K60" s="135">
        <v>1492</v>
      </c>
      <c r="L60" s="110"/>
      <c r="M60" s="136">
        <v>1492</v>
      </c>
      <c r="N60" t="str">
        <f>VLOOKUP(I60,'Working-Jan-25'!$C$5:$C$586,1,0)</f>
        <v>Q3 R&amp;M  (Rmk Lorry )-558</v>
      </c>
    </row>
    <row r="61" spans="1:14">
      <c r="A61" s="121" t="s">
        <v>738</v>
      </c>
      <c r="B61" s="106"/>
      <c r="C61" s="107">
        <v>147869.09</v>
      </c>
      <c r="D61" s="106"/>
      <c r="E61" s="128">
        <v>147869.09</v>
      </c>
      <c r="F61" t="s">
        <v>661</v>
      </c>
      <c r="I61" s="139" t="s">
        <v>739</v>
      </c>
      <c r="J61" s="111"/>
      <c r="K61" s="135">
        <v>18102</v>
      </c>
      <c r="L61" s="110"/>
      <c r="M61" s="136">
        <v>18102</v>
      </c>
      <c r="N61" t="str">
        <f>VLOOKUP(I61,'Working-Jan-25'!$C$5:$C$586,1,0)</f>
        <v>Q3 Salary-  (Rmk Lorry )-552</v>
      </c>
    </row>
    <row r="62" spans="1:14">
      <c r="A62" s="123" t="s">
        <v>740</v>
      </c>
      <c r="B62" s="110"/>
      <c r="C62" s="112">
        <v>28037.12</v>
      </c>
      <c r="D62" s="111"/>
      <c r="E62" s="130">
        <v>28037.12</v>
      </c>
      <c r="F62" t="str">
        <f>VLOOKUP(A62,'Working-Jan-25'!$C$5:$C$588,1,0)</f>
        <v>Interest Paid on Caterpillar Loan - 155</v>
      </c>
      <c r="I62" s="139" t="s">
        <v>741</v>
      </c>
      <c r="J62" s="111"/>
      <c r="K62" s="135">
        <v>856794.75</v>
      </c>
      <c r="L62" s="110"/>
      <c r="M62" s="136">
        <v>856794.75</v>
      </c>
      <c r="N62" t="str">
        <f>VLOOKUP(I62,'Working-Jan-25'!$C$5:$C$586,1,0)</f>
        <v>Q3 Transport Charges Inward - 542</v>
      </c>
    </row>
    <row r="63" spans="1:14">
      <c r="A63" s="123" t="s">
        <v>742</v>
      </c>
      <c r="B63" s="110"/>
      <c r="C63" s="112">
        <v>45841.12</v>
      </c>
      <c r="D63" s="111"/>
      <c r="E63" s="130">
        <v>45841.12</v>
      </c>
      <c r="F63" t="s">
        <v>664</v>
      </c>
      <c r="I63" s="139" t="s">
        <v>743</v>
      </c>
      <c r="J63" s="111"/>
      <c r="K63" s="135">
        <v>266000</v>
      </c>
      <c r="L63" s="110"/>
      <c r="M63" s="136">
        <v>266000</v>
      </c>
      <c r="N63" t="str">
        <f>VLOOKUP(I63,'Working-Jan-25'!$C$5:$C$586,1,0)</f>
        <v>Q3 Transport Intercart Charges-491</v>
      </c>
    </row>
    <row r="64" spans="1:14">
      <c r="A64" s="123" t="s">
        <v>744</v>
      </c>
      <c r="B64" s="110"/>
      <c r="C64" s="112">
        <v>15583.85</v>
      </c>
      <c r="D64" s="111"/>
      <c r="E64" s="130">
        <v>15583.85</v>
      </c>
      <c r="F64" t="str">
        <f>VLOOKUP(A64,'Working-Jan-25'!$C$5:$C$588,1,0)</f>
        <v>Interest Paid on Loader Loan - 157</v>
      </c>
      <c r="I64" s="104" t="s">
        <v>709</v>
      </c>
      <c r="J64" s="114"/>
      <c r="K64" s="115">
        <v>1283935</v>
      </c>
      <c r="L64" s="115">
        <v>1765273</v>
      </c>
      <c r="M64" s="145">
        <v>-481338</v>
      </c>
      <c r="N64" t="s">
        <v>661</v>
      </c>
    </row>
    <row r="65" spans="1:14">
      <c r="A65" s="123" t="s">
        <v>745</v>
      </c>
      <c r="B65" s="110"/>
      <c r="C65" s="112">
        <v>218</v>
      </c>
      <c r="D65" s="111"/>
      <c r="E65" s="130">
        <v>218</v>
      </c>
      <c r="F65" t="str">
        <f>VLOOKUP(A65,'Working-Jan-25'!$C$5:$C$588,1,0)</f>
        <v>Interest Paid on Pro Wash Loan - 414</v>
      </c>
      <c r="I65" s="109" t="s">
        <v>711</v>
      </c>
      <c r="J65" s="110"/>
      <c r="K65" s="112">
        <v>1283935</v>
      </c>
      <c r="L65" s="112">
        <v>1765273</v>
      </c>
      <c r="M65" s="113">
        <v>-481338</v>
      </c>
      <c r="N65" t="str">
        <f>VLOOKUP(I65,'Working-Jan-25'!$C$5:$C$586,1,0)</f>
        <v>Gross Salary - 398</v>
      </c>
    </row>
    <row r="66" spans="1:14">
      <c r="A66" s="134" t="s">
        <v>746</v>
      </c>
      <c r="B66" s="110"/>
      <c r="C66" s="112">
        <v>58189</v>
      </c>
      <c r="D66" s="111"/>
      <c r="E66" s="130">
        <v>58189</v>
      </c>
      <c r="F66" t="str">
        <f>VLOOKUP(A66,'Working-Jan-25'!$C$5:$C$588,1,0)</f>
        <v>Interest Paid on Term Loan (MSME) - 160</v>
      </c>
      <c r="I66" s="104" t="s">
        <v>713</v>
      </c>
      <c r="J66" s="114"/>
      <c r="K66" s="115">
        <v>107244</v>
      </c>
      <c r="L66" s="124"/>
      <c r="M66" s="116">
        <v>107244</v>
      </c>
      <c r="N66" t="s">
        <v>661</v>
      </c>
    </row>
    <row r="67" spans="1:14">
      <c r="A67" s="139" t="s">
        <v>747</v>
      </c>
      <c r="B67" s="111"/>
      <c r="C67" s="135">
        <v>2798</v>
      </c>
      <c r="D67" s="110"/>
      <c r="E67" s="136">
        <v>2798</v>
      </c>
      <c r="F67" t="str">
        <f>VLOOKUP(A67,'Working-Jan-25'!$C$5:$C$588,1,0)</f>
        <v>Interest on Thar Car Loan - 459</v>
      </c>
      <c r="I67" s="141" t="s">
        <v>748</v>
      </c>
      <c r="J67" s="118"/>
      <c r="K67" s="119">
        <v>80430</v>
      </c>
      <c r="L67" s="118"/>
      <c r="M67" s="120">
        <v>80430</v>
      </c>
      <c r="N67" t="s">
        <v>661</v>
      </c>
    </row>
    <row r="68" spans="1:14">
      <c r="A68" s="139" t="s">
        <v>749</v>
      </c>
      <c r="B68" s="111"/>
      <c r="C68" s="135">
        <v>29501</v>
      </c>
      <c r="D68" s="110"/>
      <c r="E68" s="136">
        <v>29501</v>
      </c>
      <c r="F68" t="str">
        <f>VLOOKUP(A68,'Working-Jan-25'!$C$5:$C$588,1,0)</f>
        <v>Interest Paid on Bills Discounting</v>
      </c>
      <c r="I68" s="140" t="s">
        <v>750</v>
      </c>
      <c r="J68" s="111"/>
      <c r="K68" s="135">
        <v>80430</v>
      </c>
      <c r="L68" s="110"/>
      <c r="M68" s="136">
        <v>80430</v>
      </c>
      <c r="N68" t="str">
        <f>VLOOKUP(I68,'Working-Jan-25'!$C$5:$C$586,1,0)</f>
        <v>Q1 Site Development - Chetpet Non Operating - 396</v>
      </c>
    </row>
    <row r="69" spans="1:14">
      <c r="A69" s="141" t="s">
        <v>751</v>
      </c>
      <c r="B69" s="131"/>
      <c r="C69" s="132">
        <v>230152.86</v>
      </c>
      <c r="D69" s="132">
        <v>771.82</v>
      </c>
      <c r="E69" s="133">
        <v>229381.04</v>
      </c>
      <c r="F69" t="s">
        <v>661</v>
      </c>
      <c r="I69" s="141" t="s">
        <v>714</v>
      </c>
      <c r="J69" s="131"/>
      <c r="K69" s="132">
        <v>26814</v>
      </c>
      <c r="L69" s="131"/>
      <c r="M69" s="133">
        <v>26814</v>
      </c>
      <c r="N69" t="s">
        <v>661</v>
      </c>
    </row>
    <row r="70" spans="1:14">
      <c r="A70" s="121" t="s">
        <v>752</v>
      </c>
      <c r="B70" s="106"/>
      <c r="C70" s="107">
        <v>7305.38</v>
      </c>
      <c r="D70" s="106"/>
      <c r="E70" s="128">
        <v>7305.38</v>
      </c>
      <c r="F70" t="s">
        <v>661</v>
      </c>
      <c r="I70" s="139" t="s">
        <v>753</v>
      </c>
      <c r="J70" s="111"/>
      <c r="K70" s="135">
        <v>6729</v>
      </c>
      <c r="L70" s="110"/>
      <c r="M70" s="136">
        <v>6729</v>
      </c>
      <c r="N70" t="str">
        <f>VLOOKUP(I70,'Working-Jan-25'!$C$5:$C$586,1,0)</f>
        <v>Bike Service - Non Operating - 164</v>
      </c>
    </row>
    <row r="71" spans="1:14">
      <c r="A71" s="134" t="s">
        <v>754</v>
      </c>
      <c r="B71" s="110"/>
      <c r="C71" s="112">
        <v>7305.38</v>
      </c>
      <c r="D71" s="111"/>
      <c r="E71" s="130">
        <v>7305.38</v>
      </c>
      <c r="F71" t="str">
        <f>VLOOKUP(A71,'Working-Jan-25'!$C$5:$C$588,1,0)</f>
        <v>Telephone/CUG Expenses- Admin - 223</v>
      </c>
      <c r="I71" s="140" t="s">
        <v>755</v>
      </c>
      <c r="J71" s="111"/>
      <c r="K71" s="135">
        <v>18110</v>
      </c>
      <c r="L71" s="110"/>
      <c r="M71" s="136">
        <v>18110</v>
      </c>
      <c r="N71" t="str">
        <f>VLOOKUP(I71,'Working-Jan-25'!$C$5:$C$586,1,0)</f>
        <v>Black Quarry - Non Operating Expenses -489</v>
      </c>
    </row>
    <row r="72" spans="1:14">
      <c r="A72" s="121" t="s">
        <v>756</v>
      </c>
      <c r="B72" s="124"/>
      <c r="C72" s="115">
        <v>1100</v>
      </c>
      <c r="D72" s="124"/>
      <c r="E72" s="125">
        <v>1100</v>
      </c>
      <c r="F72" t="s">
        <v>661</v>
      </c>
      <c r="I72" s="139" t="s">
        <v>757</v>
      </c>
      <c r="J72" s="111"/>
      <c r="K72" s="135">
        <v>90</v>
      </c>
      <c r="L72" s="110"/>
      <c r="M72" s="136">
        <v>90</v>
      </c>
      <c r="N72" t="str">
        <f>VLOOKUP(I72,'Working-Jan-25'!$C$5:$C$586,1,0)</f>
        <v>Pet Expenses - 175</v>
      </c>
    </row>
    <row r="73" spans="1:14">
      <c r="A73" s="123" t="s">
        <v>758</v>
      </c>
      <c r="B73" s="110"/>
      <c r="C73" s="112">
        <v>1100</v>
      </c>
      <c r="D73" s="111"/>
      <c r="E73" s="130">
        <v>1100</v>
      </c>
      <c r="F73" t="str">
        <f>VLOOKUP(A73,'Working-Jan-25'!$C$5:$C$588,1,0)</f>
        <v>Courier Expenses - Admin - 199</v>
      </c>
      <c r="I73" s="140" t="s">
        <v>716</v>
      </c>
      <c r="J73" s="111"/>
      <c r="K73" s="135">
        <v>1885</v>
      </c>
      <c r="L73" s="110"/>
      <c r="M73" s="136">
        <v>1885</v>
      </c>
      <c r="N73" t="str">
        <f>VLOOKUP(I73,'Working-Jan-25'!$C$5:$C$586,1,0)</f>
        <v>Repairs &amp; Maintenance - Non Operating Crusher - 184</v>
      </c>
    </row>
    <row r="74" spans="1:14">
      <c r="A74" s="121" t="s">
        <v>759</v>
      </c>
      <c r="B74" s="124"/>
      <c r="C74" s="115">
        <v>4762</v>
      </c>
      <c r="D74" s="124"/>
      <c r="E74" s="125">
        <v>4762</v>
      </c>
      <c r="F74" t="s">
        <v>661</v>
      </c>
      <c r="I74" s="104" t="s">
        <v>723</v>
      </c>
      <c r="J74" s="114"/>
      <c r="K74" s="115">
        <v>2103660.62</v>
      </c>
      <c r="L74" s="115">
        <v>3384.52</v>
      </c>
      <c r="M74" s="116">
        <v>2100276.1</v>
      </c>
      <c r="N74" t="s">
        <v>661</v>
      </c>
    </row>
    <row r="75" spans="1:14">
      <c r="A75" s="134" t="s">
        <v>760</v>
      </c>
      <c r="B75" s="110"/>
      <c r="C75" s="112">
        <v>4762</v>
      </c>
      <c r="D75" s="111"/>
      <c r="E75" s="130">
        <v>4762</v>
      </c>
      <c r="F75" t="str">
        <f>VLOOKUP(A75,'Working-Jan-25'!$C$5:$C$588,1,0)</f>
        <v>Printing &amp; Stationery Expenses-Admin - 213</v>
      </c>
      <c r="I75" s="141" t="s">
        <v>761</v>
      </c>
      <c r="J75" s="118"/>
      <c r="K75" s="119">
        <v>39171.97</v>
      </c>
      <c r="L75" s="118"/>
      <c r="M75" s="120">
        <v>39171.97</v>
      </c>
      <c r="N75" t="s">
        <v>661</v>
      </c>
    </row>
    <row r="76" spans="1:14">
      <c r="A76" s="121" t="s">
        <v>762</v>
      </c>
      <c r="B76" s="124"/>
      <c r="C76" s="115">
        <v>2470</v>
      </c>
      <c r="D76" s="124"/>
      <c r="E76" s="125">
        <v>2470</v>
      </c>
      <c r="F76" t="s">
        <v>661</v>
      </c>
      <c r="I76" s="139" t="s">
        <v>763</v>
      </c>
      <c r="J76" s="111"/>
      <c r="K76" s="135">
        <v>39171.97</v>
      </c>
      <c r="L76" s="110"/>
      <c r="M76" s="136">
        <v>39171.97</v>
      </c>
      <c r="N76" t="str">
        <f>VLOOKUP(I76,'Working-Jan-25'!$C$5:$C$586,1,0)</f>
        <v>Gift - Admin - 208</v>
      </c>
    </row>
    <row r="77" spans="1:14">
      <c r="A77" s="134" t="s">
        <v>764</v>
      </c>
      <c r="B77" s="110"/>
      <c r="C77" s="112">
        <v>2470</v>
      </c>
      <c r="D77" s="111"/>
      <c r="E77" s="130">
        <v>2470</v>
      </c>
      <c r="F77" t="str">
        <f>VLOOKUP(A77,'Working-Jan-25'!$C$5:$C$588,1,0)</f>
        <v>Travelling &amp; Conveyance - Admin - 226</v>
      </c>
      <c r="I77" s="141" t="s">
        <v>730</v>
      </c>
      <c r="J77" s="131"/>
      <c r="K77" s="132">
        <v>486613</v>
      </c>
      <c r="L77" s="131"/>
      <c r="M77" s="133">
        <v>486613</v>
      </c>
      <c r="N77" t="s">
        <v>661</v>
      </c>
    </row>
    <row r="78" spans="1:14">
      <c r="A78" s="139" t="s">
        <v>765</v>
      </c>
      <c r="B78" s="111"/>
      <c r="C78" s="135">
        <v>42</v>
      </c>
      <c r="D78" s="110"/>
      <c r="E78" s="136">
        <v>42</v>
      </c>
      <c r="F78" t="str">
        <f>VLOOKUP(A78,'Working-Jan-25'!$C$5:$C$588,1,0)</f>
        <v>Bank Charges - 195</v>
      </c>
      <c r="I78" s="146" t="s">
        <v>766</v>
      </c>
      <c r="J78" s="106"/>
      <c r="K78" s="107">
        <v>486613</v>
      </c>
      <c r="L78" s="106"/>
      <c r="M78" s="128">
        <v>486613</v>
      </c>
      <c r="N78" t="s">
        <v>661</v>
      </c>
    </row>
    <row r="79" spans="1:14">
      <c r="A79" s="139" t="s">
        <v>767</v>
      </c>
      <c r="B79" s="111"/>
      <c r="C79" s="135">
        <v>40304.54</v>
      </c>
      <c r="D79" s="110"/>
      <c r="E79" s="136">
        <v>40304.54</v>
      </c>
      <c r="F79" t="str">
        <f>VLOOKUP(A79,'Working-Jan-25'!$C$5:$C$588,1,0)</f>
        <v>EB Charges - Admin - 447</v>
      </c>
      <c r="I79" s="140" t="s">
        <v>768</v>
      </c>
      <c r="J79" s="110"/>
      <c r="K79" s="112">
        <v>486613</v>
      </c>
      <c r="L79" s="111"/>
      <c r="M79" s="130">
        <v>486613</v>
      </c>
      <c r="N79" t="str">
        <f>VLOOKUP(I79,'Working-Jan-25'!$C$5:$C$586,1,0)</f>
        <v>Salary - Admin - 215</v>
      </c>
    </row>
    <row r="80" spans="1:14">
      <c r="A80" s="139" t="s">
        <v>769</v>
      </c>
      <c r="B80" s="111"/>
      <c r="C80" s="135">
        <v>150000</v>
      </c>
      <c r="D80" s="110"/>
      <c r="E80" s="136">
        <v>150000</v>
      </c>
      <c r="F80" t="str">
        <f>VLOOKUP(A80,'Working-Jan-25'!$C$5:$C$588,1,0)</f>
        <v>Office Rent - 424</v>
      </c>
      <c r="I80" s="141" t="s">
        <v>736</v>
      </c>
      <c r="J80" s="131"/>
      <c r="K80" s="132">
        <v>427852</v>
      </c>
      <c r="L80" s="132">
        <v>2798</v>
      </c>
      <c r="M80" s="133">
        <v>425054</v>
      </c>
      <c r="N80" t="s">
        <v>661</v>
      </c>
    </row>
    <row r="81" spans="1:14">
      <c r="A81" s="139" t="s">
        <v>770</v>
      </c>
      <c r="B81" s="111"/>
      <c r="C81" s="135">
        <v>19906</v>
      </c>
      <c r="D81" s="110"/>
      <c r="E81" s="136">
        <v>19906</v>
      </c>
      <c r="F81" t="str">
        <f>VLOOKUP(A81,'Working-Jan-25'!$C$5:$C$588,1,0)</f>
        <v>Other Expenses - Admin - 211</v>
      </c>
      <c r="I81" s="146" t="s">
        <v>771</v>
      </c>
      <c r="J81" s="106"/>
      <c r="K81" s="107">
        <v>427852</v>
      </c>
      <c r="L81" s="106"/>
      <c r="M81" s="128">
        <v>427852</v>
      </c>
      <c r="N81" t="s">
        <v>661</v>
      </c>
    </row>
    <row r="82" spans="1:14">
      <c r="A82" s="139" t="s">
        <v>772</v>
      </c>
      <c r="B82" s="111"/>
      <c r="C82" s="135">
        <v>3750</v>
      </c>
      <c r="D82" s="110"/>
      <c r="E82" s="136">
        <v>3750</v>
      </c>
      <c r="F82" t="str">
        <f>VLOOKUP(A82,'Working-Jan-25'!$C$5:$C$588,1,0)</f>
        <v>Pooja Expenses - Admin - 212</v>
      </c>
      <c r="I82" s="123" t="s">
        <v>773</v>
      </c>
      <c r="J82" s="110"/>
      <c r="K82" s="112">
        <v>278500</v>
      </c>
      <c r="L82" s="111"/>
      <c r="M82" s="130">
        <v>278500</v>
      </c>
      <c r="N82" t="str">
        <f>VLOOKUP(I82,'Working-Jan-25'!$C$5:$C$586,1,0)</f>
        <v>Interest - Kishore - 148</v>
      </c>
    </row>
    <row r="83" spans="1:14">
      <c r="A83" s="139" t="s">
        <v>774</v>
      </c>
      <c r="B83" s="111"/>
      <c r="C83" s="135">
        <v>512.94</v>
      </c>
      <c r="D83" s="135">
        <v>771.82</v>
      </c>
      <c r="E83" s="143">
        <v>-258.88</v>
      </c>
      <c r="F83" t="str">
        <f>VLOOKUP(A83,'Working-Jan-25'!$C$5:$C$588,1,0)</f>
        <v>Rounded Off - 214</v>
      </c>
      <c r="I83" s="123" t="s">
        <v>775</v>
      </c>
      <c r="J83" s="110"/>
      <c r="K83" s="112">
        <v>75000</v>
      </c>
      <c r="L83" s="111"/>
      <c r="M83" s="130">
        <v>75000</v>
      </c>
      <c r="N83" t="str">
        <f>VLOOKUP(I83,'Working-Jan-25'!$C$5:$C$586,1,0)</f>
        <v>Interest - Krishnan - 149</v>
      </c>
    </row>
    <row r="84" spans="1:14">
      <c r="A84" s="109" t="s">
        <v>776</v>
      </c>
      <c r="B84" s="110"/>
      <c r="C84" s="112">
        <v>100000</v>
      </c>
      <c r="D84" s="111"/>
      <c r="E84" s="130">
        <v>100000</v>
      </c>
      <c r="F84" t="str">
        <f>VLOOKUP(A84,'Working-Jan-25'!$C$5:$C$588,1,0)</f>
        <v>Audit Fees - 426</v>
      </c>
      <c r="I84" s="123" t="s">
        <v>777</v>
      </c>
      <c r="J84" s="110"/>
      <c r="K84" s="112">
        <v>74352</v>
      </c>
      <c r="L84" s="111"/>
      <c r="M84" s="130">
        <v>74352</v>
      </c>
      <c r="N84" t="str">
        <f>VLOOKUP(I84,'Working-Jan-25'!$C$5:$C$586,1,0)</f>
        <v>Interest - Ramprakash - 151</v>
      </c>
    </row>
    <row r="85" spans="1:14">
      <c r="A85" s="109" t="s">
        <v>778</v>
      </c>
      <c r="B85" s="110"/>
      <c r="C85" s="112">
        <v>11440</v>
      </c>
      <c r="D85" s="111"/>
      <c r="E85" s="130">
        <v>11440</v>
      </c>
      <c r="F85" t="str">
        <f>VLOOKUP(A85,'Working-Jan-25'!$C$5:$C$588,1,0)</f>
        <v>Business Promotion - Admin - 196</v>
      </c>
      <c r="I85" s="139" t="s">
        <v>747</v>
      </c>
      <c r="J85" s="111"/>
      <c r="K85" s="110"/>
      <c r="L85" s="135">
        <v>2798</v>
      </c>
      <c r="M85" s="143">
        <v>-2798</v>
      </c>
      <c r="N85" t="str">
        <f>VLOOKUP(I85,'Working-Jan-25'!$C$5:$C$586,1,0)</f>
        <v>Interest on Thar Car Loan - 459</v>
      </c>
    </row>
    <row r="86" spans="1:14">
      <c r="A86" s="109" t="s">
        <v>779</v>
      </c>
      <c r="B86" s="110"/>
      <c r="C86" s="112">
        <v>23750</v>
      </c>
      <c r="D86" s="111"/>
      <c r="E86" s="130">
        <v>23750</v>
      </c>
      <c r="F86" t="str">
        <f>VLOOKUP(A86,'Working-Jan-25'!$C$5:$C$588,1,0)</f>
        <v>Professional charges - 445</v>
      </c>
      <c r="I86" s="141" t="s">
        <v>751</v>
      </c>
      <c r="J86" s="131"/>
      <c r="K86" s="132">
        <v>32403.65</v>
      </c>
      <c r="L86" s="132">
        <v>586.52</v>
      </c>
      <c r="M86" s="133">
        <v>31817.13</v>
      </c>
      <c r="N86" t="s">
        <v>661</v>
      </c>
    </row>
    <row r="87" spans="1:14">
      <c r="A87" s="104" t="s">
        <v>780</v>
      </c>
      <c r="B87" s="114"/>
      <c r="C87" s="115">
        <v>9783206.68</v>
      </c>
      <c r="D87" s="115">
        <v>33492.16</v>
      </c>
      <c r="E87" s="116">
        <v>9749714.52</v>
      </c>
      <c r="F87" t="s">
        <v>661</v>
      </c>
      <c r="I87" s="121" t="s">
        <v>756</v>
      </c>
      <c r="J87" s="106"/>
      <c r="K87" s="107">
        <v>530</v>
      </c>
      <c r="L87" s="106"/>
      <c r="M87" s="128">
        <v>530</v>
      </c>
      <c r="N87" t="s">
        <v>661</v>
      </c>
    </row>
    <row r="88" spans="1:14">
      <c r="A88" s="141" t="s">
        <v>781</v>
      </c>
      <c r="B88" s="118"/>
      <c r="C88" s="119">
        <v>344200</v>
      </c>
      <c r="D88" s="118"/>
      <c r="E88" s="120">
        <v>344200</v>
      </c>
      <c r="F88" t="s">
        <v>661</v>
      </c>
      <c r="I88" s="123" t="s">
        <v>758</v>
      </c>
      <c r="J88" s="110"/>
      <c r="K88" s="112">
        <v>530</v>
      </c>
      <c r="L88" s="111"/>
      <c r="M88" s="130">
        <v>530</v>
      </c>
      <c r="N88" t="str">
        <f>VLOOKUP(I88,'Working-Jan-25'!$C$5:$C$586,1,0)</f>
        <v>Courier Expenses - Admin - 199</v>
      </c>
    </row>
    <row r="89" spans="1:14">
      <c r="A89" s="139" t="s">
        <v>782</v>
      </c>
      <c r="B89" s="111"/>
      <c r="C89" s="135">
        <v>344200</v>
      </c>
      <c r="D89" s="110"/>
      <c r="E89" s="136">
        <v>344200</v>
      </c>
      <c r="F89" t="str">
        <f>VLOOKUP(A89,'Working-Jan-25'!$C$5:$C$588,1,0)</f>
        <v>N-Floc - Crusher - 363</v>
      </c>
      <c r="I89" s="121" t="s">
        <v>762</v>
      </c>
      <c r="J89" s="124"/>
      <c r="K89" s="115">
        <v>19431</v>
      </c>
      <c r="L89" s="124"/>
      <c r="M89" s="125">
        <v>19431</v>
      </c>
      <c r="N89" t="s">
        <v>661</v>
      </c>
    </row>
    <row r="90" spans="1:14">
      <c r="A90" s="141" t="s">
        <v>783</v>
      </c>
      <c r="B90" s="131"/>
      <c r="C90" s="132">
        <v>1750000</v>
      </c>
      <c r="D90" s="131"/>
      <c r="E90" s="133">
        <v>1750000</v>
      </c>
      <c r="F90" t="s">
        <v>661</v>
      </c>
      <c r="I90" s="126" t="s">
        <v>784</v>
      </c>
      <c r="J90" s="118"/>
      <c r="K90" s="119">
        <v>19431</v>
      </c>
      <c r="L90" s="118"/>
      <c r="M90" s="120">
        <v>19431</v>
      </c>
      <c r="N90" t="s">
        <v>661</v>
      </c>
    </row>
    <row r="91" spans="1:14">
      <c r="A91" s="139" t="s">
        <v>785</v>
      </c>
      <c r="B91" s="111"/>
      <c r="C91" s="135">
        <v>1750000</v>
      </c>
      <c r="D91" s="110"/>
      <c r="E91" s="136">
        <v>1750000</v>
      </c>
      <c r="F91" t="str">
        <f>VLOOKUP(A91,'Working-Jan-25'!$C$5:$C$588,1,0)</f>
        <v>Electricity Charges HT - Crusher - 027</v>
      </c>
      <c r="I91" s="134" t="s">
        <v>786</v>
      </c>
      <c r="J91" s="111"/>
      <c r="K91" s="135">
        <v>19431</v>
      </c>
      <c r="L91" s="110"/>
      <c r="M91" s="136">
        <v>19431</v>
      </c>
      <c r="N91" t="str">
        <f>VLOOKUP(I91,'Working-Jan-25'!$C$5:$C$586,1,0)</f>
        <v>Fuel - Ramprakash - 361</v>
      </c>
    </row>
    <row r="92" spans="1:14">
      <c r="A92" s="141" t="s">
        <v>787</v>
      </c>
      <c r="B92" s="131"/>
      <c r="C92" s="132">
        <v>307131</v>
      </c>
      <c r="D92" s="131"/>
      <c r="E92" s="133">
        <v>307131</v>
      </c>
      <c r="F92" t="s">
        <v>661</v>
      </c>
      <c r="I92" s="139" t="s">
        <v>788</v>
      </c>
      <c r="J92" s="111"/>
      <c r="K92" s="135">
        <v>11860</v>
      </c>
      <c r="L92" s="110"/>
      <c r="M92" s="136">
        <v>11860</v>
      </c>
      <c r="N92" t="str">
        <f>VLOOKUP(I92,'Working-Jan-25'!$C$5:$C$586,1,0)</f>
        <v>Donation - Admin - 203</v>
      </c>
    </row>
    <row r="93" spans="1:14">
      <c r="A93" s="121" t="s">
        <v>789</v>
      </c>
      <c r="B93" s="106"/>
      <c r="C93" s="107">
        <v>307131</v>
      </c>
      <c r="D93" s="106"/>
      <c r="E93" s="128">
        <v>307131</v>
      </c>
      <c r="F93" t="s">
        <v>661</v>
      </c>
      <c r="I93" s="139" t="s">
        <v>774</v>
      </c>
      <c r="J93" s="111"/>
      <c r="K93" s="135">
        <v>582.65</v>
      </c>
      <c r="L93" s="135">
        <v>586.52</v>
      </c>
      <c r="M93" s="143">
        <v>-3.87</v>
      </c>
      <c r="N93" t="str">
        <f>VLOOKUP(I93,'Working-Jan-25'!$C$5:$C$586,1,0)</f>
        <v>Rounded Off - 214</v>
      </c>
    </row>
    <row r="94" spans="1:14">
      <c r="A94" s="126" t="s">
        <v>790</v>
      </c>
      <c r="B94" s="118"/>
      <c r="C94" s="119">
        <v>307131</v>
      </c>
      <c r="D94" s="118"/>
      <c r="E94" s="120">
        <v>307131</v>
      </c>
      <c r="F94" t="s">
        <v>661</v>
      </c>
      <c r="I94" s="109" t="s">
        <v>778</v>
      </c>
      <c r="J94" s="110"/>
      <c r="K94" s="112">
        <v>500000</v>
      </c>
      <c r="L94" s="111"/>
      <c r="M94" s="130">
        <v>500000</v>
      </c>
      <c r="N94" t="str">
        <f>VLOOKUP(I94,'Working-Jan-25'!$C$5:$C$586,1,0)</f>
        <v>Business Promotion - Admin - 196</v>
      </c>
    </row>
    <row r="95" spans="1:14">
      <c r="A95" s="134" t="s">
        <v>791</v>
      </c>
      <c r="B95" s="111"/>
      <c r="C95" s="135">
        <v>17185</v>
      </c>
      <c r="D95" s="110"/>
      <c r="E95" s="136">
        <v>17185</v>
      </c>
      <c r="F95" t="str">
        <f>VLOOKUP(A95,'Working-Jan-25'!$C$5:$C$588,1,0)</f>
        <v>Chicken - Canteen - 015</v>
      </c>
      <c r="I95" s="104" t="s">
        <v>780</v>
      </c>
      <c r="J95" s="114"/>
      <c r="K95" s="115">
        <v>2690692.68</v>
      </c>
      <c r="L95" s="115">
        <v>2726248.27</v>
      </c>
      <c r="M95" s="145">
        <v>-35555.59</v>
      </c>
      <c r="N95" t="s">
        <v>661</v>
      </c>
    </row>
    <row r="96" spans="1:14">
      <c r="A96" s="134" t="s">
        <v>792</v>
      </c>
      <c r="B96" s="111"/>
      <c r="C96" s="135">
        <v>1050</v>
      </c>
      <c r="D96" s="110"/>
      <c r="E96" s="136">
        <v>1050</v>
      </c>
      <c r="F96" t="str">
        <f>VLOOKUP(A96,'Working-Jan-25'!$C$5:$C$588,1,0)</f>
        <v>Eggs - Canteen - 025</v>
      </c>
      <c r="I96" s="141" t="s">
        <v>787</v>
      </c>
      <c r="J96" s="118"/>
      <c r="K96" s="119">
        <v>1119722</v>
      </c>
      <c r="L96" s="118"/>
      <c r="M96" s="120">
        <v>1119722</v>
      </c>
      <c r="N96" t="s">
        <v>661</v>
      </c>
    </row>
    <row r="97" spans="1:14">
      <c r="A97" s="137" t="s">
        <v>793</v>
      </c>
      <c r="B97" s="111"/>
      <c r="C97" s="135">
        <v>70700</v>
      </c>
      <c r="D97" s="110"/>
      <c r="E97" s="136">
        <v>70700</v>
      </c>
      <c r="F97" t="str">
        <f>VLOOKUP(A97,'Working-Jan-25'!$C$5:$C$588,1,0)</f>
        <v>Gas Cylinder - Canteen - 046</v>
      </c>
      <c r="I97" s="121" t="s">
        <v>794</v>
      </c>
      <c r="J97" s="106"/>
      <c r="K97" s="107">
        <v>508564</v>
      </c>
      <c r="L97" s="106"/>
      <c r="M97" s="128">
        <v>508564</v>
      </c>
      <c r="N97" t="s">
        <v>661</v>
      </c>
    </row>
    <row r="98" spans="1:14">
      <c r="A98" s="134" t="s">
        <v>795</v>
      </c>
      <c r="B98" s="111"/>
      <c r="C98" s="135">
        <v>6894</v>
      </c>
      <c r="D98" s="110"/>
      <c r="E98" s="136">
        <v>6894</v>
      </c>
      <c r="F98" t="str">
        <f>VLOOKUP(A98,'Working-Jan-25'!$C$5:$C$588,1,0)</f>
        <v>Milk - Canteen - 063</v>
      </c>
      <c r="I98" s="123" t="s">
        <v>796</v>
      </c>
      <c r="J98" s="110"/>
      <c r="K98" s="112">
        <v>167016</v>
      </c>
      <c r="L98" s="111"/>
      <c r="M98" s="130">
        <v>167016</v>
      </c>
      <c r="N98" t="str">
        <f>VLOOKUP(I98,'Working-Jan-25'!$C$5:$C$586,1,0)</f>
        <v>Salary - Crusher - 107</v>
      </c>
    </row>
    <row r="99" spans="1:14">
      <c r="A99" s="137" t="s">
        <v>797</v>
      </c>
      <c r="B99" s="111"/>
      <c r="C99" s="135">
        <v>128732</v>
      </c>
      <c r="D99" s="110"/>
      <c r="E99" s="136">
        <v>128732</v>
      </c>
      <c r="F99" t="str">
        <f>VLOOKUP(A99,'Working-Jan-25'!$C$5:$C$588,1,0)</f>
        <v>Provisions/ Groceries - Canteen - 079</v>
      </c>
      <c r="I99" s="123" t="s">
        <v>798</v>
      </c>
      <c r="J99" s="110"/>
      <c r="K99" s="112">
        <v>341548</v>
      </c>
      <c r="L99" s="111"/>
      <c r="M99" s="130">
        <v>341548</v>
      </c>
      <c r="N99" t="str">
        <f>VLOOKUP(I99,'Working-Jan-25'!$C$5:$C$586,1,0)</f>
        <v>Salary O&amp;M - Crusher - 108</v>
      </c>
    </row>
    <row r="100" spans="1:14">
      <c r="A100" s="134" t="s">
        <v>799</v>
      </c>
      <c r="B100" s="111"/>
      <c r="C100" s="135">
        <v>37500</v>
      </c>
      <c r="D100" s="110"/>
      <c r="E100" s="136">
        <v>37500</v>
      </c>
      <c r="F100" t="str">
        <f>VLOOKUP(A100,'Working-Jan-25'!$C$5:$C$588,1,0)</f>
        <v>Rice - Canteen - 105</v>
      </c>
      <c r="I100" s="121" t="s">
        <v>789</v>
      </c>
      <c r="J100" s="124"/>
      <c r="K100" s="115">
        <v>159728</v>
      </c>
      <c r="L100" s="124"/>
      <c r="M100" s="125">
        <v>159728</v>
      </c>
      <c r="N100" t="s">
        <v>661</v>
      </c>
    </row>
    <row r="101" spans="1:14">
      <c r="A101" s="134" t="s">
        <v>800</v>
      </c>
      <c r="B101" s="111"/>
      <c r="C101" s="135">
        <v>45070</v>
      </c>
      <c r="D101" s="110"/>
      <c r="E101" s="136">
        <v>45070</v>
      </c>
      <c r="F101" t="str">
        <f>VLOOKUP(A101,'Working-Jan-25'!$C$5:$C$588,1,0)</f>
        <v>Vegetables - Canteen - 132</v>
      </c>
      <c r="I101" s="126" t="s">
        <v>790</v>
      </c>
      <c r="J101" s="118"/>
      <c r="K101" s="119">
        <v>157871</v>
      </c>
      <c r="L101" s="118"/>
      <c r="M101" s="120">
        <v>157871</v>
      </c>
      <c r="N101" t="s">
        <v>661</v>
      </c>
    </row>
    <row r="102" spans="1:14">
      <c r="A102" s="141" t="s">
        <v>801</v>
      </c>
      <c r="B102" s="131"/>
      <c r="C102" s="132">
        <v>963675.49</v>
      </c>
      <c r="D102" s="132">
        <v>29084.92</v>
      </c>
      <c r="E102" s="133">
        <v>934590.57</v>
      </c>
      <c r="F102" t="s">
        <v>661</v>
      </c>
      <c r="I102" s="123" t="s">
        <v>802</v>
      </c>
      <c r="J102" s="111"/>
      <c r="K102" s="135">
        <v>150000</v>
      </c>
      <c r="L102" s="110"/>
      <c r="M102" s="136">
        <v>150000</v>
      </c>
      <c r="N102" t="str">
        <f>VLOOKUP(I102,'Working-Jan-25'!$C$5:$C$586,1,0)</f>
        <v>Caterers - 011</v>
      </c>
    </row>
    <row r="103" spans="1:14">
      <c r="A103" s="139" t="s">
        <v>803</v>
      </c>
      <c r="B103" s="111"/>
      <c r="C103" s="135">
        <v>28054.35</v>
      </c>
      <c r="D103" s="110"/>
      <c r="E103" s="136">
        <v>28054.35</v>
      </c>
      <c r="F103" t="str">
        <f>VLOOKUP(A103,'Working-Jan-25'!$C$5:$C$588,1,0)</f>
        <v>Fuel Bolero New Crusher - 397</v>
      </c>
      <c r="I103" s="134" t="s">
        <v>791</v>
      </c>
      <c r="J103" s="111"/>
      <c r="K103" s="135">
        <v>400</v>
      </c>
      <c r="L103" s="110"/>
      <c r="M103" s="136">
        <v>400</v>
      </c>
      <c r="N103" t="str">
        <f>VLOOKUP(I103,'Working-Jan-25'!$C$5:$C$586,1,0)</f>
        <v>Chicken - Canteen - 015</v>
      </c>
    </row>
    <row r="104" spans="1:14">
      <c r="A104" s="139" t="s">
        <v>804</v>
      </c>
      <c r="B104" s="111"/>
      <c r="C104" s="135">
        <v>22465.9</v>
      </c>
      <c r="D104" s="110"/>
      <c r="E104" s="136">
        <v>22465.9</v>
      </c>
      <c r="F104" t="str">
        <f>VLOOKUP(A104,'Working-Jan-25'!$C$5:$C$588,1,0)</f>
        <v>Fuel Bolero TN07CT8761 Crusher - 029</v>
      </c>
      <c r="I104" s="134" t="s">
        <v>805</v>
      </c>
      <c r="J104" s="111"/>
      <c r="K104" s="135">
        <v>360</v>
      </c>
      <c r="L104" s="110"/>
      <c r="M104" s="136">
        <v>360</v>
      </c>
      <c r="N104" t="str">
        <f>VLOOKUP(I104,'Working-Jan-25'!$C$5:$C$586,1,0)</f>
        <v>Kadai - Canteen - 055</v>
      </c>
    </row>
    <row r="105" spans="1:14">
      <c r="A105" s="139" t="s">
        <v>806</v>
      </c>
      <c r="B105" s="111"/>
      <c r="C105" s="110"/>
      <c r="D105" s="135">
        <v>29084.92</v>
      </c>
      <c r="E105" s="143">
        <v>-29084.92</v>
      </c>
      <c r="F105" t="str">
        <f>VLOOKUP(A105,'Working-Jan-25'!$C$5:$C$588,1,0)</f>
        <v>Fuel Discount - 034</v>
      </c>
      <c r="I105" s="134" t="s">
        <v>807</v>
      </c>
      <c r="J105" s="111"/>
      <c r="K105" s="135">
        <v>800</v>
      </c>
      <c r="L105" s="110"/>
      <c r="M105" s="136">
        <v>800</v>
      </c>
      <c r="N105" t="str">
        <f>VLOOKUP(I105,'Working-Jan-25'!$C$5:$C$586,1,0)</f>
        <v>Mutton - Canteen - 064</v>
      </c>
    </row>
    <row r="106" spans="1:14">
      <c r="A106" s="139" t="s">
        <v>808</v>
      </c>
      <c r="B106" s="111"/>
      <c r="C106" s="135">
        <v>14008.5</v>
      </c>
      <c r="D106" s="110"/>
      <c r="E106" s="136">
        <v>14008.5</v>
      </c>
      <c r="F106" t="str">
        <f>VLOOKUP(A106,'Working-Jan-25'!$C$5:$C$588,1,0)</f>
        <v>Fuel Genset 75kva Crusher - 036</v>
      </c>
      <c r="I106" s="137" t="s">
        <v>809</v>
      </c>
      <c r="J106" s="111"/>
      <c r="K106" s="135">
        <v>5450</v>
      </c>
      <c r="L106" s="110"/>
      <c r="M106" s="136">
        <v>5450</v>
      </c>
      <c r="N106" t="str">
        <f>VLOOKUP(I106,'Working-Jan-25'!$C$5:$C$586,1,0)</f>
        <v>Packing Materials - Canteen - 071</v>
      </c>
    </row>
    <row r="107" spans="1:14">
      <c r="A107" s="139" t="s">
        <v>810</v>
      </c>
      <c r="B107" s="111"/>
      <c r="C107" s="135">
        <v>296966.16</v>
      </c>
      <c r="D107" s="110"/>
      <c r="E107" s="136">
        <v>296966.16</v>
      </c>
      <c r="F107" t="str">
        <f>VLOOKUP(A107,'Working-Jan-25'!$C$5:$C$588,1,0)</f>
        <v>Fuel Hyundai Crusher - 039</v>
      </c>
      <c r="I107" s="137" t="s">
        <v>797</v>
      </c>
      <c r="J107" s="111"/>
      <c r="K107" s="135">
        <v>376</v>
      </c>
      <c r="L107" s="110"/>
      <c r="M107" s="136">
        <v>376</v>
      </c>
      <c r="N107" t="str">
        <f>VLOOKUP(I107,'Working-Jan-25'!$C$5:$C$586,1,0)</f>
        <v>Provisions/ Groceries - Canteen - 079</v>
      </c>
    </row>
    <row r="108" spans="1:14">
      <c r="A108" s="139" t="s">
        <v>811</v>
      </c>
      <c r="B108" s="111"/>
      <c r="C108" s="135">
        <v>12814.04</v>
      </c>
      <c r="D108" s="110"/>
      <c r="E108" s="136">
        <v>12814.04</v>
      </c>
      <c r="F108" t="str">
        <f>VLOOKUP(A108,'Working-Jan-25'!$C$5:$C$588,1,0)</f>
        <v>Fuel JCB 170 Crusher - 456</v>
      </c>
      <c r="I108" s="137" t="s">
        <v>812</v>
      </c>
      <c r="J108" s="111"/>
      <c r="K108" s="135">
        <v>35</v>
      </c>
      <c r="L108" s="110"/>
      <c r="M108" s="136">
        <v>35</v>
      </c>
      <c r="N108" t="str">
        <f>VLOOKUP(I108,'Working-Jan-25'!$C$5:$C$586,1,0)</f>
        <v>Repairs &amp; Maintenance - Canteen - 080</v>
      </c>
    </row>
    <row r="109" spans="1:14">
      <c r="A109" s="139" t="s">
        <v>813</v>
      </c>
      <c r="B109" s="111"/>
      <c r="C109" s="135">
        <v>33631.61</v>
      </c>
      <c r="D109" s="110"/>
      <c r="E109" s="136">
        <v>33631.61</v>
      </c>
      <c r="F109" t="str">
        <f>VLOOKUP(A109,'Working-Jan-25'!$C$5:$C$588,1,0)</f>
        <v>Fuel JCB Crusher - 040</v>
      </c>
      <c r="I109" s="134" t="s">
        <v>800</v>
      </c>
      <c r="J109" s="111"/>
      <c r="K109" s="135">
        <v>450</v>
      </c>
      <c r="L109" s="110"/>
      <c r="M109" s="136">
        <v>450</v>
      </c>
      <c r="N109" t="str">
        <f>VLOOKUP(I109,'Working-Jan-25'!$C$5:$C$586,1,0)</f>
        <v>Vegetables - Canteen - 132</v>
      </c>
    </row>
    <row r="110" spans="1:14">
      <c r="A110" s="139" t="s">
        <v>814</v>
      </c>
      <c r="B110" s="111"/>
      <c r="C110" s="135">
        <v>263466.25</v>
      </c>
      <c r="D110" s="110"/>
      <c r="E110" s="136">
        <v>263466.25</v>
      </c>
      <c r="F110" t="str">
        <f>VLOOKUP(A110,'Working-Jan-25'!$C$5:$C$588,1,0)</f>
        <v>Fuel Loader 2 Crusher - 451</v>
      </c>
      <c r="I110" s="123" t="s">
        <v>815</v>
      </c>
      <c r="J110" s="110"/>
      <c r="K110" s="112">
        <v>1857</v>
      </c>
      <c r="L110" s="111"/>
      <c r="M110" s="130">
        <v>1857</v>
      </c>
      <c r="N110" t="str">
        <f>VLOOKUP(I110,'Working-Jan-25'!$C$5:$C$586,1,0)</f>
        <v>Food Expenses - Crusher - 028</v>
      </c>
    </row>
    <row r="111" spans="1:14">
      <c r="A111" s="139" t="s">
        <v>816</v>
      </c>
      <c r="B111" s="111"/>
      <c r="C111" s="135">
        <v>292268.68</v>
      </c>
      <c r="D111" s="110"/>
      <c r="E111" s="136">
        <v>292268.68</v>
      </c>
      <c r="F111" t="str">
        <f>VLOOKUP(A111,'Working-Jan-25'!$C$5:$C$588,1,0)</f>
        <v>Fuel Loader Crusher - 368</v>
      </c>
      <c r="I111" s="139" t="s">
        <v>817</v>
      </c>
      <c r="J111" s="111"/>
      <c r="K111" s="135">
        <v>0</v>
      </c>
      <c r="L111" s="110"/>
      <c r="M111" s="136">
        <v>0</v>
      </c>
      <c r="N111" t="str">
        <f>VLOOKUP(I111,'Working-Jan-25'!$C$5:$C$586,1,0)</f>
        <v>Bonus - Crusher - 009</v>
      </c>
    </row>
    <row r="112" spans="1:14">
      <c r="A112" s="141" t="s">
        <v>818</v>
      </c>
      <c r="B112" s="131"/>
      <c r="C112" s="132">
        <v>72127</v>
      </c>
      <c r="D112" s="131"/>
      <c r="E112" s="133">
        <v>72127</v>
      </c>
      <c r="F112" t="s">
        <v>661</v>
      </c>
      <c r="I112" s="141" t="s">
        <v>801</v>
      </c>
      <c r="J112" s="131"/>
      <c r="K112" s="132">
        <v>286085</v>
      </c>
      <c r="L112" s="132">
        <v>677487</v>
      </c>
      <c r="M112" s="142">
        <v>-391402</v>
      </c>
      <c r="N112" t="s">
        <v>661</v>
      </c>
    </row>
    <row r="113" spans="1:14">
      <c r="A113" s="139" t="s">
        <v>490</v>
      </c>
      <c r="B113" s="111"/>
      <c r="C113" s="135">
        <v>72127</v>
      </c>
      <c r="D113" s="110"/>
      <c r="E113" s="136">
        <v>72127</v>
      </c>
      <c r="F113" t="str">
        <f>VLOOKUP(A113,'Working-Jan-25'!$C$5:$C$588,1,0)</f>
        <v>Insurance Propel - Crusher - 054</v>
      </c>
      <c r="I113" s="139" t="s">
        <v>819</v>
      </c>
      <c r="J113" s="111"/>
      <c r="K113" s="135">
        <v>500</v>
      </c>
      <c r="L113" s="110"/>
      <c r="M113" s="136">
        <v>500</v>
      </c>
      <c r="N113" t="str">
        <f>VLOOKUP(I113,'Working-Jan-25'!$C$5:$C$586,1,0)</f>
        <v>Company Bike Petrol - Crusher - 016</v>
      </c>
    </row>
    <row r="114" spans="1:14">
      <c r="A114" s="141" t="s">
        <v>820</v>
      </c>
      <c r="B114" s="131"/>
      <c r="C114" s="132">
        <v>1228082.25</v>
      </c>
      <c r="D114" s="131"/>
      <c r="E114" s="133">
        <v>1228082.25</v>
      </c>
      <c r="F114" t="s">
        <v>661</v>
      </c>
      <c r="I114" s="139" t="s">
        <v>821</v>
      </c>
      <c r="J114" s="111"/>
      <c r="K114" s="135">
        <v>53328</v>
      </c>
      <c r="L114" s="110"/>
      <c r="M114" s="136">
        <v>53328</v>
      </c>
      <c r="N114" t="str">
        <f>VLOOKUP(I114,'Working-Jan-25'!$C$5:$C$586,1,0)</f>
        <v>Fuel CAT3 Crusher - 031</v>
      </c>
    </row>
    <row r="115" spans="1:14">
      <c r="A115" s="121" t="s">
        <v>822</v>
      </c>
      <c r="B115" s="106"/>
      <c r="C115" s="107">
        <v>21362.25</v>
      </c>
      <c r="D115" s="106"/>
      <c r="E115" s="128">
        <v>21362.25</v>
      </c>
      <c r="F115" t="s">
        <v>661</v>
      </c>
      <c r="I115" s="139" t="s">
        <v>823</v>
      </c>
      <c r="J115" s="111"/>
      <c r="K115" s="135">
        <v>168892</v>
      </c>
      <c r="L115" s="110"/>
      <c r="M115" s="136">
        <v>168892</v>
      </c>
      <c r="N115" t="str">
        <f>VLOOKUP(I115,'Working-Jan-25'!$C$5:$C$586,1,0)</f>
        <v>Fuel CAT 4 Crusher - 461</v>
      </c>
    </row>
    <row r="116" spans="1:14">
      <c r="A116" s="126" t="s">
        <v>824</v>
      </c>
      <c r="B116" s="118"/>
      <c r="C116" s="119">
        <v>21362.25</v>
      </c>
      <c r="D116" s="118"/>
      <c r="E116" s="120">
        <v>21362.25</v>
      </c>
      <c r="F116" t="s">
        <v>661</v>
      </c>
      <c r="I116" s="139" t="s">
        <v>825</v>
      </c>
      <c r="J116" s="111"/>
      <c r="K116" s="135">
        <v>61865</v>
      </c>
      <c r="L116" s="110"/>
      <c r="M116" s="136">
        <v>61865</v>
      </c>
      <c r="N116" t="str">
        <f>VLOOKUP(I116,'Working-Jan-25'!$C$5:$C$586,1,0)</f>
        <v>Fuel CAT 5 Crusher - 457</v>
      </c>
    </row>
    <row r="117" spans="1:14">
      <c r="A117" s="137" t="s">
        <v>826</v>
      </c>
      <c r="B117" s="111"/>
      <c r="C117" s="135">
        <v>21362.25</v>
      </c>
      <c r="D117" s="110"/>
      <c r="E117" s="136">
        <v>21362.25</v>
      </c>
      <c r="F117" t="str">
        <f>VLOOKUP(A117,'Working-Jan-25'!$C$5:$C$588,1,0)</f>
        <v>Printing &amp; Stationery - Crusher - 077</v>
      </c>
      <c r="I117" s="139" t="s">
        <v>827</v>
      </c>
      <c r="J117" s="111"/>
      <c r="K117" s="135">
        <v>1500</v>
      </c>
      <c r="L117" s="110"/>
      <c r="M117" s="136">
        <v>1500</v>
      </c>
      <c r="N117" t="str">
        <f>VLOOKUP(I117,'Working-Jan-25'!$C$5:$C$586,1,0)</f>
        <v>Fuel Company Bike - Crusher - 032</v>
      </c>
    </row>
    <row r="118" spans="1:14">
      <c r="A118" s="139" t="s">
        <v>828</v>
      </c>
      <c r="B118" s="111"/>
      <c r="C118" s="135">
        <v>1206720</v>
      </c>
      <c r="D118" s="110"/>
      <c r="E118" s="136">
        <v>1206720</v>
      </c>
      <c r="F118" t="s">
        <v>664</v>
      </c>
      <c r="I118" s="139" t="s">
        <v>810</v>
      </c>
      <c r="J118" s="111"/>
      <c r="K118" s="110"/>
      <c r="L118" s="135">
        <v>115169</v>
      </c>
      <c r="M118" s="143">
        <f>-115169</f>
        <v>-115169</v>
      </c>
      <c r="N118" t="str">
        <f>VLOOKUP(I118,'Working-Jan-25'!$C$5:$C$586,1,0)</f>
        <v>Fuel Hyundai Crusher - 039</v>
      </c>
    </row>
    <row r="119" spans="1:14">
      <c r="A119" s="141" t="s">
        <v>829</v>
      </c>
      <c r="B119" s="131"/>
      <c r="C119" s="132">
        <v>20000</v>
      </c>
      <c r="D119" s="131"/>
      <c r="E119" s="133">
        <v>20000</v>
      </c>
      <c r="F119" t="s">
        <v>661</v>
      </c>
      <c r="I119" s="139" t="s">
        <v>813</v>
      </c>
      <c r="J119" s="111"/>
      <c r="K119" s="110"/>
      <c r="L119" s="135">
        <v>6583</v>
      </c>
      <c r="M119" s="143">
        <v>-6583</v>
      </c>
      <c r="N119" t="str">
        <f>VLOOKUP(I119,'Working-Jan-25'!$C$5:$C$586,1,0)</f>
        <v>Fuel JCB Crusher - 040</v>
      </c>
    </row>
    <row r="120" spans="1:14">
      <c r="A120" s="140" t="s">
        <v>830</v>
      </c>
      <c r="B120" s="111"/>
      <c r="C120" s="135">
        <v>20000</v>
      </c>
      <c r="D120" s="110"/>
      <c r="E120" s="136">
        <v>20000</v>
      </c>
      <c r="F120" t="str">
        <f>VLOOKUP(A120,'Working-Jan-25'!$C$5:$C$588,1,0)</f>
        <v>Hire Charges - (62.5 KVA SP DG Set) - Crusher - 048</v>
      </c>
      <c r="I120" s="139" t="s">
        <v>814</v>
      </c>
      <c r="J120" s="111"/>
      <c r="K120" s="110"/>
      <c r="L120" s="135">
        <v>263466</v>
      </c>
      <c r="M120" s="143">
        <v>-263466</v>
      </c>
      <c r="N120" t="str">
        <f>VLOOKUP(I120,'Working-Jan-25'!$C$5:$C$586,1,0)</f>
        <v>Fuel Loader 2 Crusher - 451</v>
      </c>
    </row>
    <row r="121" spans="1:14">
      <c r="A121" s="141" t="s">
        <v>831</v>
      </c>
      <c r="B121" s="131"/>
      <c r="C121" s="132">
        <v>2999782.11</v>
      </c>
      <c r="D121" s="132">
        <v>4407.24</v>
      </c>
      <c r="E121" s="133">
        <v>2995374.87</v>
      </c>
      <c r="F121" t="s">
        <v>661</v>
      </c>
      <c r="I121" s="139" t="s">
        <v>816</v>
      </c>
      <c r="J121" s="111"/>
      <c r="K121" s="110"/>
      <c r="L121" s="135">
        <v>292269</v>
      </c>
      <c r="M121" s="143">
        <v>-292269</v>
      </c>
      <c r="N121" t="str">
        <f>VLOOKUP(I121,'Working-Jan-25'!$C$5:$C$586,1,0)</f>
        <v>Fuel Loader Crusher - 368</v>
      </c>
    </row>
    <row r="122" spans="1:14">
      <c r="A122" s="121" t="s">
        <v>832</v>
      </c>
      <c r="B122" s="106"/>
      <c r="C122" s="107">
        <v>1334772.48</v>
      </c>
      <c r="D122" s="107">
        <v>4153</v>
      </c>
      <c r="E122" s="128">
        <v>1330619.48</v>
      </c>
      <c r="F122" t="s">
        <v>661</v>
      </c>
      <c r="I122" s="141" t="s">
        <v>833</v>
      </c>
      <c r="J122" s="131"/>
      <c r="K122" s="132">
        <v>344745.8</v>
      </c>
      <c r="L122" s="131"/>
      <c r="M122" s="133">
        <v>344745.8</v>
      </c>
      <c r="N122" t="s">
        <v>661</v>
      </c>
    </row>
    <row r="123" spans="1:14">
      <c r="A123" s="123" t="s">
        <v>576</v>
      </c>
      <c r="B123" s="110"/>
      <c r="C123" s="112">
        <v>194145.32</v>
      </c>
      <c r="D123" s="111"/>
      <c r="E123" s="130">
        <v>194145.32</v>
      </c>
      <c r="F123" t="str">
        <f>VLOOKUP(A123,'Working-Jan-25'!$C$5:$C$588,1,0)</f>
        <v>Repairs &amp; Maintenance - CAT - 081</v>
      </c>
      <c r="I123" s="139" t="s">
        <v>834</v>
      </c>
      <c r="J123" s="111"/>
      <c r="K123" s="135">
        <v>137484.8</v>
      </c>
      <c r="L123" s="110"/>
      <c r="M123" s="136">
        <v>137484.8</v>
      </c>
      <c r="N123" t="str">
        <f>VLOOKUP(I123,'Working-Jan-25'!$C$5:$C$586,1,0)</f>
        <v>Fuel Charges- Crusher (Rmk Lorry )-547</v>
      </c>
    </row>
    <row r="124" spans="1:14">
      <c r="A124" s="123" t="s">
        <v>581</v>
      </c>
      <c r="B124" s="110"/>
      <c r="C124" s="112">
        <v>124318.4</v>
      </c>
      <c r="D124" s="111"/>
      <c r="E124" s="130">
        <v>124318.4</v>
      </c>
      <c r="F124" t="str">
        <f>VLOOKUP(A124,'Working-Jan-25'!$C$5:$C$588,1,0)</f>
        <v>Repairs &amp; Maintenance - CAT 3 - 083</v>
      </c>
      <c r="I124" s="139" t="s">
        <v>835</v>
      </c>
      <c r="J124" s="111"/>
      <c r="K124" s="135">
        <v>5265</v>
      </c>
      <c r="L124" s="110"/>
      <c r="M124" s="136">
        <v>5265</v>
      </c>
      <c r="N124" t="str">
        <f>VLOOKUP(I124,'Working-Jan-25'!$C$5:$C$586,1,0)</f>
        <v>R&amp;M- Crusher  (Rmk Lorry )-559</v>
      </c>
    </row>
    <row r="125" spans="1:14">
      <c r="A125" s="123" t="s">
        <v>584</v>
      </c>
      <c r="B125" s="110"/>
      <c r="C125" s="112">
        <v>774322.33</v>
      </c>
      <c r="D125" s="112">
        <v>4153</v>
      </c>
      <c r="E125" s="130">
        <v>770169.33</v>
      </c>
      <c r="F125" t="str">
        <f>VLOOKUP(A125,'Working-Jan-25'!$C$5:$C$588,1,0)</f>
        <v>Repairs &amp; Maintenance - CAT 4 - 452</v>
      </c>
      <c r="I125" s="139" t="s">
        <v>836</v>
      </c>
      <c r="J125" s="111"/>
      <c r="K125" s="135">
        <v>44496</v>
      </c>
      <c r="L125" s="110"/>
      <c r="M125" s="136">
        <v>44496</v>
      </c>
      <c r="N125" t="str">
        <f>VLOOKUP(I125,'Working-Jan-25'!$C$5:$C$586,1,0)</f>
        <v>Salary -Crusher  (Rmk Lorry )-553</v>
      </c>
    </row>
    <row r="126" spans="1:14">
      <c r="A126" s="123" t="s">
        <v>587</v>
      </c>
      <c r="B126" s="110"/>
      <c r="C126" s="112">
        <v>8200</v>
      </c>
      <c r="D126" s="111"/>
      <c r="E126" s="130">
        <v>8200</v>
      </c>
      <c r="F126" t="str">
        <f>VLOOKUP(A126,'Working-Jan-25'!$C$5:$C$588,1,0)</f>
        <v>Repairs &amp; Maintenance - CAT 5 - 460</v>
      </c>
      <c r="I126" s="139" t="s">
        <v>837</v>
      </c>
      <c r="J126" s="111"/>
      <c r="K126" s="135">
        <v>157500</v>
      </c>
      <c r="L126" s="110"/>
      <c r="M126" s="136">
        <v>157500</v>
      </c>
      <c r="N126" t="str">
        <f>VLOOKUP(I126,'Working-Jan-25'!$C$5:$C$586,1,0)</f>
        <v>Transport Charges - Intercart - 425</v>
      </c>
    </row>
    <row r="127" spans="1:14">
      <c r="A127" s="123" t="s">
        <v>838</v>
      </c>
      <c r="B127" s="110"/>
      <c r="C127" s="112">
        <v>225744.28</v>
      </c>
      <c r="D127" s="111"/>
      <c r="E127" s="130">
        <v>225744.28</v>
      </c>
      <c r="F127" t="str">
        <f>VLOOKUP(A127,'Working-Jan-25'!$C$5:$C$588,1,0)</f>
        <v>Repairs &amp; Maintenance - CAT 6-544</v>
      </c>
      <c r="I127" s="141" t="s">
        <v>820</v>
      </c>
      <c r="J127" s="131"/>
      <c r="K127" s="132">
        <v>446095</v>
      </c>
      <c r="L127" s="132">
        <v>1206720</v>
      </c>
      <c r="M127" s="142">
        <v>-760625</v>
      </c>
      <c r="N127" t="s">
        <v>661</v>
      </c>
    </row>
    <row r="128" spans="1:14">
      <c r="A128" s="134" t="s">
        <v>589</v>
      </c>
      <c r="B128" s="110"/>
      <c r="C128" s="112">
        <v>3392.45</v>
      </c>
      <c r="D128" s="111"/>
      <c r="E128" s="130">
        <v>3392.45</v>
      </c>
      <c r="F128" t="str">
        <f>VLOOKUP(A128,'Working-Jan-25'!$C$5:$C$588,1,0)</f>
        <v>Repairs &amp; Maintenance - Hyundai - 090</v>
      </c>
      <c r="I128" s="121" t="s">
        <v>822</v>
      </c>
      <c r="J128" s="106"/>
      <c r="K128" s="107">
        <v>446095</v>
      </c>
      <c r="L128" s="106"/>
      <c r="M128" s="128">
        <v>446095</v>
      </c>
      <c r="N128" t="s">
        <v>661</v>
      </c>
    </row>
    <row r="129" spans="1:14">
      <c r="A129" s="123" t="s">
        <v>595</v>
      </c>
      <c r="B129" s="110"/>
      <c r="C129" s="112">
        <v>4649.7</v>
      </c>
      <c r="D129" s="111"/>
      <c r="E129" s="130">
        <v>4649.7</v>
      </c>
      <c r="F129" t="str">
        <f>VLOOKUP(A129,'Working-Jan-25'!$C$5:$C$588,1,0)</f>
        <v>Repairs &amp; Maintenance - JCB - 092</v>
      </c>
      <c r="I129" s="127" t="s">
        <v>839</v>
      </c>
      <c r="J129" s="118"/>
      <c r="K129" s="119">
        <v>427000</v>
      </c>
      <c r="L129" s="118"/>
      <c r="M129" s="120">
        <v>427000</v>
      </c>
      <c r="N129" t="s">
        <v>661</v>
      </c>
    </row>
    <row r="130" spans="1:14">
      <c r="A130" s="121" t="s">
        <v>840</v>
      </c>
      <c r="B130" s="124"/>
      <c r="C130" s="115">
        <v>75178.3</v>
      </c>
      <c r="D130" s="124"/>
      <c r="E130" s="125">
        <v>75178.3</v>
      </c>
      <c r="F130" t="s">
        <v>661</v>
      </c>
      <c r="I130" s="123" t="s">
        <v>841</v>
      </c>
      <c r="J130" s="111"/>
      <c r="K130" s="135">
        <v>300000</v>
      </c>
      <c r="L130" s="110"/>
      <c r="M130" s="136">
        <v>300000</v>
      </c>
      <c r="N130" t="str">
        <f>VLOOKUP(I130,'Working-Jan-25'!$C$5:$C$586,1,0)</f>
        <v>AD Mines - 265</v>
      </c>
    </row>
    <row r="131" spans="1:14">
      <c r="A131" s="134" t="s">
        <v>599</v>
      </c>
      <c r="B131" s="110"/>
      <c r="C131" s="112">
        <v>24763</v>
      </c>
      <c r="D131" s="111"/>
      <c r="E131" s="130">
        <v>24763</v>
      </c>
      <c r="F131" t="str">
        <f>VLOOKUP(A131,'Working-Jan-25'!$C$5:$C$588,1,0)</f>
        <v>Repairs &amp; Maintenance - SEM Loader - 096</v>
      </c>
      <c r="I131" s="134" t="s">
        <v>842</v>
      </c>
      <c r="J131" s="111"/>
      <c r="K131" s="135">
        <v>10000</v>
      </c>
      <c r="L131" s="110"/>
      <c r="M131" s="136">
        <v>10000</v>
      </c>
      <c r="N131" t="str">
        <f>VLOOKUP(I131,'Working-Jan-25'!$C$5:$C$586,1,0)</f>
        <v>Cheyyar Thasildhar -</v>
      </c>
    </row>
    <row r="132" spans="1:14">
      <c r="A132" s="134" t="s">
        <v>604</v>
      </c>
      <c r="B132" s="110"/>
      <c r="C132" s="112">
        <v>50415.3</v>
      </c>
      <c r="D132" s="111"/>
      <c r="E132" s="130">
        <v>50415.3</v>
      </c>
      <c r="F132" t="str">
        <f>VLOOKUP(A132,'Working-Jan-25'!$C$5:$C$588,1,0)</f>
        <v>Repairs &amp; Maintenance - SEM Loader 2 - 454</v>
      </c>
      <c r="I132" s="137" t="s">
        <v>843</v>
      </c>
      <c r="J132" s="111"/>
      <c r="K132" s="135">
        <v>3000</v>
      </c>
      <c r="L132" s="110"/>
      <c r="M132" s="136">
        <v>3000</v>
      </c>
      <c r="N132" t="str">
        <f>VLOOKUP(I132,'Working-Jan-25'!$C$5:$C$586,1,0)</f>
        <v>Dy. Thasildhar - Chetpet - 391</v>
      </c>
    </row>
    <row r="133" spans="1:14">
      <c r="A133" s="121" t="s">
        <v>844</v>
      </c>
      <c r="B133" s="124"/>
      <c r="C133" s="115">
        <v>59229.47</v>
      </c>
      <c r="D133" s="124"/>
      <c r="E133" s="125">
        <v>59229.47</v>
      </c>
      <c r="F133" t="s">
        <v>661</v>
      </c>
      <c r="I133" s="134" t="s">
        <v>845</v>
      </c>
      <c r="J133" s="111"/>
      <c r="K133" s="135">
        <v>8000</v>
      </c>
      <c r="L133" s="110"/>
      <c r="M133" s="136">
        <v>8000</v>
      </c>
      <c r="N133" t="str">
        <f>VLOOKUP(I133,'Working-Jan-25'!$C$5:$C$586,1,0)</f>
        <v>EB AE (Reading) - 024</v>
      </c>
    </row>
    <row r="134" spans="1:14">
      <c r="A134" s="123" t="s">
        <v>846</v>
      </c>
      <c r="B134" s="110"/>
      <c r="C134" s="112">
        <v>2617.18</v>
      </c>
      <c r="D134" s="111"/>
      <c r="E134" s="130">
        <v>2617.18</v>
      </c>
      <c r="F134" t="str">
        <f>VLOOKUP(A134,'Working-Jan-25'!$C$5:$C$588,1,0)</f>
        <v>Bike Service - Crusher - 007</v>
      </c>
      <c r="I134" s="134" t="s">
        <v>847</v>
      </c>
      <c r="J134" s="111"/>
      <c r="K134" s="135">
        <v>20000</v>
      </c>
      <c r="L134" s="110"/>
      <c r="M134" s="136">
        <v>20000</v>
      </c>
      <c r="N134" t="str">
        <f>VLOOKUP(I134,'Working-Jan-25'!$C$5:$C$586,1,0)</f>
        <v>Police - Chetpet - 117</v>
      </c>
    </row>
    <row r="135" spans="1:14">
      <c r="A135" s="123" t="s">
        <v>848</v>
      </c>
      <c r="B135" s="110"/>
      <c r="C135" s="112">
        <v>13390</v>
      </c>
      <c r="D135" s="111"/>
      <c r="E135" s="130">
        <v>13390</v>
      </c>
      <c r="F135" t="str">
        <f>VLOOKUP(A135,'Working-Jan-25'!$C$5:$C$588,1,0)</f>
        <v>Maintenance Bolero - Crusher - 060</v>
      </c>
      <c r="I135" s="137" t="s">
        <v>849</v>
      </c>
      <c r="J135" s="111"/>
      <c r="K135" s="135">
        <v>5000</v>
      </c>
      <c r="L135" s="110"/>
      <c r="M135" s="136">
        <v>5000</v>
      </c>
      <c r="N135" t="str">
        <f>VLOOKUP(I135,'Working-Jan-25'!$C$5:$C$586,1,0)</f>
        <v>Police - Highway patrol - 389</v>
      </c>
    </row>
    <row r="136" spans="1:14">
      <c r="A136" s="134" t="s">
        <v>850</v>
      </c>
      <c r="B136" s="110"/>
      <c r="C136" s="112">
        <v>10790.29</v>
      </c>
      <c r="D136" s="111"/>
      <c r="E136" s="130">
        <v>10790.29</v>
      </c>
      <c r="F136" t="str">
        <f>VLOOKUP(A136,'Working-Jan-25'!$C$5:$C$588,1,0)</f>
        <v>Maintenance Bolero TN07CT8761 Crusher - 061</v>
      </c>
      <c r="I136" s="134" t="s">
        <v>851</v>
      </c>
      <c r="J136" s="111"/>
      <c r="K136" s="135">
        <v>5000</v>
      </c>
      <c r="L136" s="110"/>
      <c r="M136" s="136">
        <v>5000</v>
      </c>
      <c r="N136" t="str">
        <f>VLOOKUP(I136,'Working-Jan-25'!$C$5:$C$586,1,0)</f>
        <v>Police - Perunagar - 386</v>
      </c>
    </row>
    <row r="137" spans="1:14">
      <c r="A137" s="134" t="s">
        <v>852</v>
      </c>
      <c r="B137" s="110"/>
      <c r="C137" s="112">
        <v>32432</v>
      </c>
      <c r="D137" s="111"/>
      <c r="E137" s="130">
        <v>32432</v>
      </c>
      <c r="F137" t="str">
        <f>VLOOKUP(A137,'Working-Jan-25'!$C$5:$C$588,1,0)</f>
        <v>Repairs &amp; Maintenance - Electrical Spares (Crusher) - 089</v>
      </c>
      <c r="I137" s="137" t="s">
        <v>853</v>
      </c>
      <c r="J137" s="111"/>
      <c r="K137" s="135">
        <v>5000</v>
      </c>
      <c r="L137" s="110"/>
      <c r="M137" s="136">
        <v>5000</v>
      </c>
      <c r="N137" t="str">
        <f>VLOOKUP(I137,'Working-Jan-25'!$C$5:$C$586,1,0)</f>
        <v>Police - Perunagar- SI - 387</v>
      </c>
    </row>
    <row r="138" spans="1:14">
      <c r="A138" s="121" t="s">
        <v>854</v>
      </c>
      <c r="B138" s="124"/>
      <c r="C138" s="115">
        <v>1530601.86</v>
      </c>
      <c r="D138" s="115">
        <v>254.24</v>
      </c>
      <c r="E138" s="125">
        <v>1530347.62</v>
      </c>
      <c r="F138" t="s">
        <v>661</v>
      </c>
      <c r="I138" s="134" t="s">
        <v>855</v>
      </c>
      <c r="J138" s="111"/>
      <c r="K138" s="135">
        <v>5000</v>
      </c>
      <c r="L138" s="110"/>
      <c r="M138" s="136">
        <v>5000</v>
      </c>
      <c r="N138" t="str">
        <f>VLOOKUP(I138,'Working-Jan-25'!$C$5:$C$586,1,0)</f>
        <v>Police - Ponnur - 384</v>
      </c>
    </row>
    <row r="139" spans="1:14">
      <c r="A139" s="123" t="s">
        <v>500</v>
      </c>
      <c r="B139" s="110"/>
      <c r="C139" s="112">
        <v>407049</v>
      </c>
      <c r="D139" s="111"/>
      <c r="E139" s="130">
        <v>407049</v>
      </c>
      <c r="F139" t="str">
        <f>VLOOKUP(A139,'Working-Jan-25'!$C$5:$C$588,1,0)</f>
        <v>Repairs &amp; Maintenance - Cone - 084</v>
      </c>
      <c r="I139" s="134" t="s">
        <v>856</v>
      </c>
      <c r="J139" s="111"/>
      <c r="K139" s="135">
        <v>5000</v>
      </c>
      <c r="L139" s="110"/>
      <c r="M139" s="136">
        <v>5000</v>
      </c>
      <c r="N139" t="str">
        <f>VLOOKUP(I139,'Working-Jan-25'!$C$5:$C$586,1,0)</f>
        <v>Police - Thesur - 388</v>
      </c>
    </row>
    <row r="140" spans="1:14">
      <c r="A140" s="134" t="s">
        <v>506</v>
      </c>
      <c r="B140" s="110"/>
      <c r="C140" s="112">
        <v>48326.89</v>
      </c>
      <c r="D140" s="111"/>
      <c r="E140" s="130">
        <v>48326.89</v>
      </c>
      <c r="F140" t="str">
        <f>VLOOKUP(A140,'Working-Jan-25'!$C$5:$C$588,1,0)</f>
        <v>Repairs &amp; Maintenance - Conveyor - 085</v>
      </c>
      <c r="I140" s="134" t="s">
        <v>857</v>
      </c>
      <c r="J140" s="111"/>
      <c r="K140" s="135">
        <v>5000</v>
      </c>
      <c r="L140" s="110"/>
      <c r="M140" s="136">
        <v>5000</v>
      </c>
      <c r="N140" t="str">
        <f>VLOOKUP(I140,'Working-Jan-25'!$C$5:$C$586,1,0)</f>
        <v>Police - Uthiramerur - 404</v>
      </c>
    </row>
    <row r="141" spans="1:14">
      <c r="A141" s="134" t="s">
        <v>509</v>
      </c>
      <c r="B141" s="110"/>
      <c r="C141" s="112">
        <v>20897.97</v>
      </c>
      <c r="D141" s="111"/>
      <c r="E141" s="130">
        <v>20897.97</v>
      </c>
      <c r="F141" t="str">
        <f>VLOOKUP(A141,'Working-Jan-25'!$C$5:$C$588,1,0)</f>
        <v>Repairs &amp; Maintenance - Crusher - 086</v>
      </c>
      <c r="I141" s="137" t="s">
        <v>858</v>
      </c>
      <c r="J141" s="111"/>
      <c r="K141" s="135">
        <v>5000</v>
      </c>
      <c r="L141" s="110"/>
      <c r="M141" s="136">
        <v>5000</v>
      </c>
      <c r="N141" t="str">
        <f>VLOOKUP(I141,'Working-Jan-25'!$C$5:$C$586,1,0)</f>
        <v>Police - Vadavanakampadi - 385</v>
      </c>
    </row>
    <row r="142" spans="1:14">
      <c r="A142" s="123" t="s">
        <v>514</v>
      </c>
      <c r="B142" s="110"/>
      <c r="C142" s="112">
        <v>285175</v>
      </c>
      <c r="D142" s="111"/>
      <c r="E142" s="130">
        <v>285175</v>
      </c>
      <c r="F142" t="str">
        <f>VLOOKUP(A142,'Working-Jan-25'!$C$5:$C$588,1,0)</f>
        <v>Repairs &amp; Maintenance - Jaw - 403</v>
      </c>
      <c r="I142" s="137" t="s">
        <v>859</v>
      </c>
      <c r="J142" s="111"/>
      <c r="K142" s="135">
        <v>5000</v>
      </c>
      <c r="L142" s="110"/>
      <c r="M142" s="136">
        <v>5000</v>
      </c>
      <c r="N142" t="str">
        <f>VLOOKUP(I142,'Working-Jan-25'!$C$5:$C$586,1,0)</f>
        <v>Police - Vandavasi Inspector - 406</v>
      </c>
    </row>
    <row r="143" spans="1:14">
      <c r="A143" s="134" t="s">
        <v>531</v>
      </c>
      <c r="B143" s="110"/>
      <c r="C143" s="111"/>
      <c r="D143" s="112">
        <v>254.24</v>
      </c>
      <c r="E143" s="113">
        <v>-254.24</v>
      </c>
      <c r="F143" t="str">
        <f>VLOOKUP(A143,'Working-Jan-25'!$C$5:$C$588,1,0)</f>
        <v>Repairs &amp; Maintenance - Plant Spares - 094</v>
      </c>
      <c r="I143" s="134" t="s">
        <v>860</v>
      </c>
      <c r="J143" s="111"/>
      <c r="K143" s="135">
        <v>2000</v>
      </c>
      <c r="L143" s="110"/>
      <c r="M143" s="136">
        <v>2000</v>
      </c>
      <c r="N143" t="str">
        <f>VLOOKUP(I143,'Working-Jan-25'!$C$5:$C$586,1,0)</f>
        <v>Police - Vandavasi SI - 405</v>
      </c>
    </row>
    <row r="144" spans="1:14">
      <c r="A144" s="134" t="s">
        <v>536</v>
      </c>
      <c r="B144" s="110"/>
      <c r="C144" s="112">
        <v>389349</v>
      </c>
      <c r="D144" s="111"/>
      <c r="E144" s="130">
        <v>389349</v>
      </c>
      <c r="F144" t="str">
        <f>VLOOKUP(A144,'Working-Jan-25'!$C$5:$C$588,1,0)</f>
        <v>Repairs &amp; Maintenance - Pro Wash - 448</v>
      </c>
      <c r="I144" s="137" t="s">
        <v>861</v>
      </c>
      <c r="J144" s="111"/>
      <c r="K144" s="135">
        <v>5000</v>
      </c>
      <c r="L144" s="110"/>
      <c r="M144" s="136">
        <v>5000</v>
      </c>
      <c r="N144" t="str">
        <f>VLOOKUP(I144,'Working-Jan-25'!$C$5:$C$586,1,0)</f>
        <v>Police - Vandavasi South - 383</v>
      </c>
    </row>
    <row r="145" spans="1:14">
      <c r="A145" s="134" t="s">
        <v>541</v>
      </c>
      <c r="B145" s="110"/>
      <c r="C145" s="112">
        <v>238228</v>
      </c>
      <c r="D145" s="111"/>
      <c r="E145" s="130">
        <v>238228</v>
      </c>
      <c r="F145" t="str">
        <f>VLOOKUP(A145,'Working-Jan-25'!$C$5:$C$588,1,0)</f>
        <v>Repairs &amp; Maintenance - Screen Spares - 095</v>
      </c>
      <c r="I145" s="137" t="s">
        <v>862</v>
      </c>
      <c r="J145" s="111"/>
      <c r="K145" s="135">
        <v>5000</v>
      </c>
      <c r="L145" s="110"/>
      <c r="M145" s="136">
        <v>5000</v>
      </c>
      <c r="N145" t="str">
        <f>VLOOKUP(I145,'Working-Jan-25'!$C$5:$C$586,1,0)</f>
        <v>Police - Vandavasi town - 104</v>
      </c>
    </row>
    <row r="146" spans="1:14">
      <c r="A146" s="123" t="s">
        <v>549</v>
      </c>
      <c r="B146" s="110"/>
      <c r="C146" s="112">
        <v>141576</v>
      </c>
      <c r="D146" s="111"/>
      <c r="E146" s="130">
        <v>141576</v>
      </c>
      <c r="F146" t="str">
        <f>VLOOKUP(A146,'Working-Jan-25'!$C$5:$C$588,1,0)</f>
        <v>Repairs &amp; Maintenance - VSI - 102</v>
      </c>
      <c r="I146" s="123" t="s">
        <v>863</v>
      </c>
      <c r="J146" s="111"/>
      <c r="K146" s="135">
        <v>3000</v>
      </c>
      <c r="L146" s="110"/>
      <c r="M146" s="136">
        <v>3000</v>
      </c>
      <c r="N146" t="str">
        <f>VLOOKUP(I146,'Working-Jan-25'!$C$5:$C$586,1,0)</f>
        <v>RI - Cheyyar -</v>
      </c>
    </row>
    <row r="147" spans="1:14">
      <c r="A147" s="141" t="s">
        <v>864</v>
      </c>
      <c r="B147" s="131"/>
      <c r="C147" s="132">
        <v>5900</v>
      </c>
      <c r="D147" s="131"/>
      <c r="E147" s="133">
        <v>5900</v>
      </c>
      <c r="F147" t="s">
        <v>661</v>
      </c>
      <c r="I147" s="134" t="s">
        <v>865</v>
      </c>
      <c r="J147" s="111"/>
      <c r="K147" s="135">
        <v>2000</v>
      </c>
      <c r="L147" s="110"/>
      <c r="M147" s="136">
        <v>2000</v>
      </c>
      <c r="N147" t="str">
        <f>VLOOKUP(I147,'Working-Jan-25'!$C$5:$C$586,1,0)</f>
        <v>RI - Devikapuram - 394</v>
      </c>
    </row>
    <row r="148" spans="1:14">
      <c r="A148" s="140" t="s">
        <v>866</v>
      </c>
      <c r="B148" s="111"/>
      <c r="C148" s="135">
        <v>5900</v>
      </c>
      <c r="D148" s="110"/>
      <c r="E148" s="136">
        <v>5900</v>
      </c>
      <c r="F148" t="str">
        <f>VLOOKUP(A148,'Working-Jan-25'!$C$5:$C$588,1,0)</f>
        <v>Repairs &amp; Maintenance - Tanker (SMK) - 098</v>
      </c>
      <c r="I148" s="137" t="s">
        <v>867</v>
      </c>
      <c r="J148" s="111"/>
      <c r="K148" s="135">
        <v>8000</v>
      </c>
      <c r="L148" s="110"/>
      <c r="M148" s="136">
        <v>8000</v>
      </c>
      <c r="N148" t="str">
        <f>VLOOKUP(I148,'Working-Jan-25'!$C$5:$C$586,1,0)</f>
        <v>RI / VAO - Veerambakkam - 317</v>
      </c>
    </row>
    <row r="149" spans="1:14">
      <c r="A149" s="141" t="s">
        <v>868</v>
      </c>
      <c r="B149" s="131"/>
      <c r="C149" s="132">
        <v>32243.83</v>
      </c>
      <c r="D149" s="131"/>
      <c r="E149" s="133">
        <v>32243.83</v>
      </c>
      <c r="F149" t="s">
        <v>661</v>
      </c>
      <c r="I149" s="137" t="s">
        <v>869</v>
      </c>
      <c r="J149" s="111"/>
      <c r="K149" s="135">
        <v>5000</v>
      </c>
      <c r="L149" s="110"/>
      <c r="M149" s="136">
        <v>5000</v>
      </c>
      <c r="N149" t="str">
        <f>VLOOKUP(I149,'Working-Jan-25'!$C$5:$C$586,1,0)</f>
        <v>Special RI Villupuram JD Mines - 510</v>
      </c>
    </row>
    <row r="150" spans="1:14">
      <c r="A150" s="139" t="s">
        <v>870</v>
      </c>
      <c r="B150" s="111"/>
      <c r="C150" s="135">
        <v>32243.83</v>
      </c>
      <c r="D150" s="110"/>
      <c r="E150" s="136">
        <v>32243.83</v>
      </c>
      <c r="F150" t="str">
        <f>VLOOKUP(A150,'Working-Jan-25'!$C$5:$C$588,1,0)</f>
        <v>Fuel - SMK Water Tanker - 358</v>
      </c>
      <c r="I150" s="134" t="s">
        <v>871</v>
      </c>
      <c r="J150" s="111"/>
      <c r="K150" s="135">
        <v>10000</v>
      </c>
      <c r="L150" s="110"/>
      <c r="M150" s="136">
        <v>10000</v>
      </c>
      <c r="N150" t="str">
        <f>VLOOKUP(I150,'Working-Jan-25'!$C$5:$C$586,1,0)</f>
        <v>Thasildhar - Chetpet - 390</v>
      </c>
    </row>
    <row r="151" spans="1:14">
      <c r="A151" s="109" t="s">
        <v>872</v>
      </c>
      <c r="B151" s="110"/>
      <c r="C151" s="112">
        <v>11500</v>
      </c>
      <c r="D151" s="111"/>
      <c r="E151" s="130">
        <v>11500</v>
      </c>
      <c r="F151" t="str">
        <f>VLOOKUP(A151,'Working-Jan-25'!$C$5:$C$588,1,0)</f>
        <v>Transport Charges - Crusher - 122</v>
      </c>
      <c r="I151" s="137" t="s">
        <v>873</v>
      </c>
      <c r="J151" s="111"/>
      <c r="K151" s="135">
        <v>500</v>
      </c>
      <c r="L151" s="110"/>
      <c r="M151" s="136">
        <v>500</v>
      </c>
      <c r="N151" t="str">
        <f>VLOOKUP(I151,'Working-Jan-25'!$C$5:$C$586,1,0)</f>
        <v>Thasildhar Driver - Chetpet - 392</v>
      </c>
    </row>
    <row r="152" spans="1:14">
      <c r="A152" s="104" t="s">
        <v>874</v>
      </c>
      <c r="B152" s="114"/>
      <c r="C152" s="115">
        <v>275934.34</v>
      </c>
      <c r="D152" s="124"/>
      <c r="E152" s="116">
        <v>275934.34</v>
      </c>
      <c r="F152" t="s">
        <v>661</v>
      </c>
      <c r="I152" s="137" t="s">
        <v>875</v>
      </c>
      <c r="J152" s="111"/>
      <c r="K152" s="135">
        <v>500</v>
      </c>
      <c r="L152" s="110"/>
      <c r="M152" s="136">
        <v>500</v>
      </c>
      <c r="N152" t="str">
        <f>VLOOKUP(I152,'Working-Jan-25'!$C$5:$C$586,1,0)</f>
        <v>Thasildhar OA - Chetpet - 393</v>
      </c>
    </row>
    <row r="153" spans="1:14">
      <c r="A153" s="109" t="s">
        <v>876</v>
      </c>
      <c r="B153" s="110"/>
      <c r="C153" s="112">
        <v>275934.34</v>
      </c>
      <c r="D153" s="111"/>
      <c r="E153" s="130">
        <v>275934.34</v>
      </c>
      <c r="F153" t="str">
        <f>VLOOKUP(A153,'Working-Jan-25'!$C$5:$C$588,1,0)</f>
        <v>Compressor Rent -Black Quarry Development - 483</v>
      </c>
      <c r="I153" s="137" t="s">
        <v>877</v>
      </c>
      <c r="J153" s="111"/>
      <c r="K153" s="135">
        <v>2000</v>
      </c>
      <c r="L153" s="110"/>
      <c r="M153" s="136">
        <v>2000</v>
      </c>
      <c r="N153" t="str">
        <f>VLOOKUP(I153,'Working-Jan-25'!$C$5:$C$586,1,0)</f>
        <v>VAO - Muruganandhal - 395</v>
      </c>
    </row>
    <row r="154" spans="1:14">
      <c r="A154" s="104" t="s">
        <v>878</v>
      </c>
      <c r="B154" s="114"/>
      <c r="C154" s="115">
        <v>291350</v>
      </c>
      <c r="D154" s="124"/>
      <c r="E154" s="116">
        <v>291350</v>
      </c>
      <c r="F154" t="s">
        <v>661</v>
      </c>
      <c r="I154" s="137" t="s">
        <v>879</v>
      </c>
      <c r="J154" s="111"/>
      <c r="K154" s="135">
        <v>3000</v>
      </c>
      <c r="L154" s="110"/>
      <c r="M154" s="136">
        <v>3000</v>
      </c>
      <c r="N154" t="str">
        <f>VLOOKUP(I154,'Working-Jan-25'!$C$5:$C$586,1,0)</f>
        <v>VAO Soundaryapuram - 509</v>
      </c>
    </row>
    <row r="155" spans="1:14">
      <c r="A155" s="109" t="s">
        <v>880</v>
      </c>
      <c r="B155" s="110"/>
      <c r="C155" s="112">
        <v>291350</v>
      </c>
      <c r="D155" s="111"/>
      <c r="E155" s="130">
        <v>291350</v>
      </c>
      <c r="F155" t="str">
        <f>VLOOKUP(A155,'Working-Jan-25'!$C$5:$C$588,1,0)</f>
        <v>Driver Bata - S&amp;D - 330</v>
      </c>
      <c r="I155" s="126" t="s">
        <v>881</v>
      </c>
      <c r="J155" s="131"/>
      <c r="K155" s="132">
        <v>5838</v>
      </c>
      <c r="L155" s="131"/>
      <c r="M155" s="133">
        <v>5838</v>
      </c>
      <c r="N155" t="s">
        <v>661</v>
      </c>
    </row>
    <row r="156" spans="1:14">
      <c r="A156" s="104" t="s">
        <v>882</v>
      </c>
      <c r="B156" s="114"/>
      <c r="C156" s="115">
        <v>2363774.76</v>
      </c>
      <c r="D156" s="124"/>
      <c r="E156" s="116">
        <v>2363774.76</v>
      </c>
      <c r="F156" t="s">
        <v>661</v>
      </c>
      <c r="I156" s="137" t="s">
        <v>883</v>
      </c>
      <c r="J156" s="111"/>
      <c r="K156" s="135">
        <v>5838</v>
      </c>
      <c r="L156" s="110"/>
      <c r="M156" s="136">
        <v>5838</v>
      </c>
      <c r="N156" t="str">
        <f>VLOOKUP(I156,'Working-Jan-25'!$C$5:$C$586,1,0)</f>
        <v>Pooja Expenses - Crusher - 075</v>
      </c>
    </row>
    <row r="157" spans="1:14">
      <c r="A157" s="141" t="s">
        <v>884</v>
      </c>
      <c r="B157" s="118"/>
      <c r="C157" s="119">
        <v>157331.42</v>
      </c>
      <c r="D157" s="118"/>
      <c r="E157" s="120">
        <v>157331.42</v>
      </c>
      <c r="F157" t="s">
        <v>661</v>
      </c>
      <c r="I157" s="126" t="s">
        <v>824</v>
      </c>
      <c r="J157" s="131"/>
      <c r="K157" s="132">
        <v>207</v>
      </c>
      <c r="L157" s="131"/>
      <c r="M157" s="133">
        <v>207</v>
      </c>
      <c r="N157" t="s">
        <v>661</v>
      </c>
    </row>
    <row r="158" spans="1:14">
      <c r="A158" s="139" t="s">
        <v>885</v>
      </c>
      <c r="B158" s="111"/>
      <c r="C158" s="135">
        <v>151791.42</v>
      </c>
      <c r="D158" s="110"/>
      <c r="E158" s="136">
        <v>151791.42</v>
      </c>
      <c r="F158" t="str">
        <f>VLOOKUP(A158,'Working-Jan-25'!$C$5:$C$588,1,0)</f>
        <v>Fuel - CWC 1 - 235</v>
      </c>
      <c r="I158" s="137" t="s">
        <v>826</v>
      </c>
      <c r="J158" s="111"/>
      <c r="K158" s="135">
        <v>207</v>
      </c>
      <c r="L158" s="110"/>
      <c r="M158" s="136">
        <v>207</v>
      </c>
      <c r="N158" t="str">
        <f>VLOOKUP(I158,'Working-Jan-25'!$C$5:$C$586,1,0)</f>
        <v>Printing &amp; Stationery - Crusher - 077</v>
      </c>
    </row>
    <row r="159" spans="1:14">
      <c r="A159" s="139" t="s">
        <v>886</v>
      </c>
      <c r="B159" s="111"/>
      <c r="C159" s="135">
        <v>5540</v>
      </c>
      <c r="D159" s="110"/>
      <c r="E159" s="136">
        <v>5540</v>
      </c>
      <c r="F159" t="str">
        <f>VLOOKUP(A159,'Working-Jan-25'!$C$5:$C$588,1,0)</f>
        <v>Repairs &amp; Maintenance - CWC 1 - 238</v>
      </c>
      <c r="I159" s="126" t="s">
        <v>887</v>
      </c>
      <c r="J159" s="131"/>
      <c r="K159" s="132">
        <v>13050</v>
      </c>
      <c r="L159" s="131"/>
      <c r="M159" s="133">
        <v>13050</v>
      </c>
      <c r="N159" t="s">
        <v>661</v>
      </c>
    </row>
    <row r="160" spans="1:14">
      <c r="A160" s="141" t="s">
        <v>888</v>
      </c>
      <c r="B160" s="131"/>
      <c r="C160" s="132">
        <v>166292.63</v>
      </c>
      <c r="D160" s="131"/>
      <c r="E160" s="133">
        <v>166292.63</v>
      </c>
      <c r="F160" t="s">
        <v>661</v>
      </c>
      <c r="I160" s="137" t="s">
        <v>889</v>
      </c>
      <c r="J160" s="111"/>
      <c r="K160" s="135">
        <v>750</v>
      </c>
      <c r="L160" s="110"/>
      <c r="M160" s="136">
        <v>750</v>
      </c>
      <c r="N160" t="str">
        <f>VLOOKUP(I160,'Working-Jan-25'!$C$5:$C$586,1,0)</f>
        <v>Conveyance - Crusher - 018</v>
      </c>
    </row>
    <row r="161" spans="1:14">
      <c r="A161" s="139" t="s">
        <v>890</v>
      </c>
      <c r="B161" s="111"/>
      <c r="C161" s="135">
        <v>164602.63</v>
      </c>
      <c r="D161" s="110"/>
      <c r="E161" s="136">
        <v>164602.63</v>
      </c>
      <c r="F161" t="str">
        <f>VLOOKUP(A161,'Working-Jan-25'!$C$5:$C$588,1,0)</f>
        <v>Fuel - CWC 2 - 240</v>
      </c>
      <c r="I161" s="138" t="s">
        <v>891</v>
      </c>
      <c r="J161" s="111"/>
      <c r="K161" s="135">
        <v>12300</v>
      </c>
      <c r="L161" s="110"/>
      <c r="M161" s="136">
        <v>12300</v>
      </c>
      <c r="N161" t="str">
        <f>VLOOKUP(I161,'Working-Jan-25'!$C$5:$C$586,1,0)</f>
        <v>Travelling &amp; Conveyance - Crusher - 130</v>
      </c>
    </row>
    <row r="162" spans="1:14">
      <c r="A162" s="139" t="s">
        <v>892</v>
      </c>
      <c r="B162" s="111"/>
      <c r="C162" s="135">
        <v>1690</v>
      </c>
      <c r="D162" s="110"/>
      <c r="E162" s="136">
        <v>1690</v>
      </c>
      <c r="F162" t="str">
        <f>VLOOKUP(A162,'Working-Jan-25'!$C$5:$C$588,1,0)</f>
        <v>Repairs &amp; Maintenance - CWC 2 - 243</v>
      </c>
      <c r="I162" s="139" t="s">
        <v>828</v>
      </c>
      <c r="J162" s="111"/>
      <c r="K162" s="110"/>
      <c r="L162" s="135">
        <v>1206720</v>
      </c>
      <c r="M162" s="143">
        <v>-1206720</v>
      </c>
      <c r="N162" t="s">
        <v>664</v>
      </c>
    </row>
    <row r="163" spans="1:14">
      <c r="A163" s="141" t="s">
        <v>893</v>
      </c>
      <c r="B163" s="131"/>
      <c r="C163" s="132">
        <v>20924.71</v>
      </c>
      <c r="D163" s="131"/>
      <c r="E163" s="133">
        <v>20924.71</v>
      </c>
      <c r="F163" t="s">
        <v>661</v>
      </c>
      <c r="I163" s="141" t="s">
        <v>831</v>
      </c>
      <c r="J163" s="131"/>
      <c r="K163" s="132">
        <v>335948.3</v>
      </c>
      <c r="L163" s="132">
        <v>842041.27</v>
      </c>
      <c r="M163" s="142">
        <v>-506092.97</v>
      </c>
      <c r="N163" t="s">
        <v>661</v>
      </c>
    </row>
    <row r="164" spans="1:14">
      <c r="A164" s="139" t="s">
        <v>894</v>
      </c>
      <c r="B164" s="111"/>
      <c r="C164" s="135">
        <v>7534.71</v>
      </c>
      <c r="D164" s="110"/>
      <c r="E164" s="136">
        <v>7534.71</v>
      </c>
      <c r="F164" t="str">
        <f>VLOOKUP(A164,'Working-Jan-25'!$C$5:$C$588,1,0)</f>
        <v>Fuel - Prudential 6 Wheeler - 250</v>
      </c>
      <c r="I164" s="121" t="s">
        <v>832</v>
      </c>
      <c r="J164" s="106"/>
      <c r="K164" s="107">
        <v>32198.3</v>
      </c>
      <c r="L164" s="107">
        <v>745965.3</v>
      </c>
      <c r="M164" s="122">
        <v>-713767</v>
      </c>
      <c r="N164" t="s">
        <v>661</v>
      </c>
    </row>
    <row r="165" spans="1:14">
      <c r="A165" s="140" t="s">
        <v>895</v>
      </c>
      <c r="B165" s="111"/>
      <c r="C165" s="135">
        <v>13390</v>
      </c>
      <c r="D165" s="110"/>
      <c r="E165" s="136">
        <v>13390</v>
      </c>
      <c r="F165" t="str">
        <f>VLOOKUP(A165,'Working-Jan-25'!$C$5:$C$588,1,0)</f>
        <v>Repairs &amp; Maintenance - Prudential 6 Wheeler - 380</v>
      </c>
      <c r="I165" s="123" t="s">
        <v>576</v>
      </c>
      <c r="J165" s="110"/>
      <c r="K165" s="111"/>
      <c r="L165" s="112">
        <v>194146.3</v>
      </c>
      <c r="M165" s="113">
        <v>-194146.3</v>
      </c>
      <c r="N165" t="str">
        <f>VLOOKUP(I165,'Working-Jan-25'!$C$5:$C$586,1,0)</f>
        <v>Repairs &amp; Maintenance - CAT - 081</v>
      </c>
    </row>
    <row r="166" spans="1:14">
      <c r="A166" s="109" t="s">
        <v>896</v>
      </c>
      <c r="B166" s="110"/>
      <c r="C166" s="112">
        <v>2019226</v>
      </c>
      <c r="D166" s="111"/>
      <c r="E166" s="130">
        <v>2019226</v>
      </c>
      <c r="F166" t="s">
        <v>664</v>
      </c>
      <c r="I166" s="123" t="s">
        <v>581</v>
      </c>
      <c r="J166" s="110"/>
      <c r="K166" s="111"/>
      <c r="L166" s="112">
        <v>106042</v>
      </c>
      <c r="M166" s="113">
        <v>-106042</v>
      </c>
      <c r="N166" t="str">
        <f>VLOOKUP(I166,'Working-Jan-25'!$C$5:$C$586,1,0)</f>
        <v>Repairs &amp; Maintenance - CAT 3 - 083</v>
      </c>
    </row>
    <row r="167" spans="1:14">
      <c r="A167" s="147" t="s">
        <v>897</v>
      </c>
      <c r="B167" s="143">
        <v>280475605.73</v>
      </c>
      <c r="C167" s="110"/>
      <c r="D167" s="110"/>
      <c r="E167" s="143">
        <v>-280475605.73</v>
      </c>
      <c r="I167" s="123" t="s">
        <v>584</v>
      </c>
      <c r="J167" s="110"/>
      <c r="K167" s="112">
        <v>900</v>
      </c>
      <c r="L167" s="112">
        <v>211637</v>
      </c>
      <c r="M167" s="113">
        <f>-210737</f>
        <v>-210737</v>
      </c>
      <c r="N167" t="str">
        <f>VLOOKUP(I167,'Working-Jan-25'!$C$5:$C$586,1,0)</f>
        <v>Repairs &amp; Maintenance - CAT 4 - 452</v>
      </c>
    </row>
    <row r="168" spans="1:14">
      <c r="A168" s="148" t="s">
        <v>898</v>
      </c>
      <c r="B168" s="108">
        <v>280475605.73</v>
      </c>
      <c r="C168" s="149">
        <f>19886520.47-162000</f>
        <v>19724520.47</v>
      </c>
      <c r="D168" s="149">
        <v>188402.98</v>
      </c>
      <c r="E168" s="108">
        <v>260777488.24</v>
      </c>
      <c r="I168" s="123" t="s">
        <v>587</v>
      </c>
      <c r="J168" s="110"/>
      <c r="K168" s="112">
        <v>2500</v>
      </c>
      <c r="L168" s="112">
        <v>5536</v>
      </c>
      <c r="M168" s="113">
        <v>-3036</v>
      </c>
      <c r="N168" t="str">
        <f>VLOOKUP(I168,'Working-Jan-25'!$C$5:$C$586,1,0)</f>
        <v>Repairs &amp; Maintenance - CAT 5 - 460</v>
      </c>
    </row>
    <row r="169" spans="9:14">
      <c r="I169" s="123" t="s">
        <v>838</v>
      </c>
      <c r="J169" s="110"/>
      <c r="K169" s="112">
        <v>360</v>
      </c>
      <c r="L169" s="112">
        <v>226104</v>
      </c>
      <c r="M169" s="113">
        <v>-225744</v>
      </c>
      <c r="N169" t="str">
        <f>VLOOKUP(I169,'Working-Jan-25'!$C$5:$C$586,1,0)</f>
        <v>Repairs &amp; Maintenance - CAT 6-544</v>
      </c>
    </row>
    <row r="170" spans="4:14">
      <c r="D170" s="150">
        <f>C168-D168</f>
        <v>19536117.49</v>
      </c>
      <c r="I170" s="134" t="s">
        <v>589</v>
      </c>
      <c r="J170" s="110"/>
      <c r="K170" s="112">
        <v>19060</v>
      </c>
      <c r="L170" s="111"/>
      <c r="M170" s="130">
        <v>19060</v>
      </c>
      <c r="N170" t="str">
        <f>VLOOKUP(I170,'Working-Jan-25'!$C$5:$C$586,1,0)</f>
        <v>Repairs &amp; Maintenance - Hyundai - 090</v>
      </c>
    </row>
    <row r="171" spans="9:14">
      <c r="I171" s="134" t="s">
        <v>593</v>
      </c>
      <c r="J171" s="110"/>
      <c r="K171" s="112">
        <v>2500</v>
      </c>
      <c r="L171" s="112">
        <v>2500</v>
      </c>
      <c r="M171" s="110"/>
      <c r="N171" t="str">
        <f>VLOOKUP(I171,'Working-Jan-25'!$C$5:$C$586,1,0)</f>
        <v>Repairs &amp; Maintenance - Hyundai/CAT - Crusher - 091</v>
      </c>
    </row>
    <row r="172" spans="9:14">
      <c r="I172" s="123" t="s">
        <v>595</v>
      </c>
      <c r="J172" s="110"/>
      <c r="K172" s="112">
        <v>6878.3</v>
      </c>
      <c r="L172" s="111"/>
      <c r="M172" s="130">
        <v>6878.3</v>
      </c>
      <c r="N172" t="str">
        <f>VLOOKUP(I172,'Working-Jan-25'!$C$5:$C$586,1,0)</f>
        <v>Repairs &amp; Maintenance - JCB - 092</v>
      </c>
    </row>
    <row r="173" spans="9:14">
      <c r="I173" s="121" t="s">
        <v>840</v>
      </c>
      <c r="J173" s="124"/>
      <c r="K173" s="124"/>
      <c r="L173" s="115">
        <v>75178</v>
      </c>
      <c r="M173" s="144">
        <v>-75178</v>
      </c>
      <c r="N173" t="s">
        <v>661</v>
      </c>
    </row>
    <row r="174" spans="9:14">
      <c r="I174" s="134" t="s">
        <v>599</v>
      </c>
      <c r="J174" s="110"/>
      <c r="K174" s="111"/>
      <c r="L174" s="112">
        <v>24763</v>
      </c>
      <c r="M174" s="113">
        <v>-24763</v>
      </c>
      <c r="N174" t="str">
        <f>VLOOKUP(I174,'Working-Jan-25'!$C$5:$C$586,1,0)</f>
        <v>Repairs &amp; Maintenance - SEM Loader - 096</v>
      </c>
    </row>
    <row r="175" spans="9:14">
      <c r="I175" s="134" t="s">
        <v>604</v>
      </c>
      <c r="J175" s="110"/>
      <c r="K175" s="111"/>
      <c r="L175" s="112">
        <v>50415</v>
      </c>
      <c r="M175" s="113">
        <v>-50415</v>
      </c>
      <c r="N175" t="str">
        <f>VLOOKUP(I175,'Working-Jan-25'!$C$5:$C$586,1,0)</f>
        <v>Repairs &amp; Maintenance - SEM Loader 2 - 454</v>
      </c>
    </row>
    <row r="176" spans="9:14">
      <c r="I176" s="121" t="s">
        <v>844</v>
      </c>
      <c r="J176" s="124"/>
      <c r="K176" s="115">
        <v>300000</v>
      </c>
      <c r="L176" s="124"/>
      <c r="M176" s="125">
        <v>300000</v>
      </c>
      <c r="N176" t="s">
        <v>661</v>
      </c>
    </row>
    <row r="177" spans="9:14">
      <c r="I177" s="134" t="s">
        <v>899</v>
      </c>
      <c r="J177" s="110"/>
      <c r="K177" s="112">
        <v>300000</v>
      </c>
      <c r="L177" s="111"/>
      <c r="M177" s="130">
        <v>300000</v>
      </c>
      <c r="N177" t="str">
        <f>VLOOKUP(I177,'Working-Jan-25'!$C$5:$C$586,1,0)</f>
        <v>Electrical Materials/Work - Others Crusher - 026</v>
      </c>
    </row>
    <row r="178" spans="9:14">
      <c r="I178" s="121" t="s">
        <v>854</v>
      </c>
      <c r="J178" s="124"/>
      <c r="K178" s="115">
        <v>3750</v>
      </c>
      <c r="L178" s="115">
        <v>20897.97</v>
      </c>
      <c r="M178" s="144">
        <v>-17147.97</v>
      </c>
      <c r="N178" t="s">
        <v>661</v>
      </c>
    </row>
    <row r="179" spans="9:14">
      <c r="I179" s="123" t="s">
        <v>553</v>
      </c>
      <c r="J179" s="110"/>
      <c r="K179" s="112">
        <v>3000</v>
      </c>
      <c r="L179" s="111"/>
      <c r="M179" s="130">
        <v>3000</v>
      </c>
      <c r="N179" t="str">
        <f>VLOOKUP(I179,'Working-Jan-25'!$C$5:$C$586,1,0)</f>
        <v>Oxygen Cylinder - Crusher - 070</v>
      </c>
    </row>
    <row r="180" spans="9:14">
      <c r="I180" s="123" t="s">
        <v>557</v>
      </c>
      <c r="J180" s="110"/>
      <c r="K180" s="112">
        <v>750</v>
      </c>
      <c r="L180" s="111"/>
      <c r="M180" s="130">
        <v>750</v>
      </c>
      <c r="N180" t="str">
        <f>VLOOKUP(I180,'Working-Jan-25'!$C$5:$C$586,1,0)</f>
        <v>Plant Maintenance - Crusher - 379</v>
      </c>
    </row>
    <row r="181" spans="9:14">
      <c r="I181" s="134" t="s">
        <v>509</v>
      </c>
      <c r="J181" s="110"/>
      <c r="K181" s="111"/>
      <c r="L181" s="112">
        <v>20897.97</v>
      </c>
      <c r="M181" s="113">
        <v>-20897.97</v>
      </c>
      <c r="N181" t="str">
        <f>VLOOKUP(I181,'Working-Jan-25'!$C$5:$C$586,1,0)</f>
        <v>Repairs &amp; Maintenance - Crusher - 086</v>
      </c>
    </row>
    <row r="182" spans="9:14">
      <c r="I182" s="141" t="s">
        <v>900</v>
      </c>
      <c r="J182" s="131"/>
      <c r="K182" s="132">
        <v>147256.58</v>
      </c>
      <c r="L182" s="131"/>
      <c r="M182" s="133">
        <v>147256.58</v>
      </c>
      <c r="N182" t="s">
        <v>661</v>
      </c>
    </row>
    <row r="183" spans="9:14">
      <c r="I183" s="139" t="s">
        <v>901</v>
      </c>
      <c r="J183" s="111"/>
      <c r="K183" s="135">
        <v>799.58</v>
      </c>
      <c r="L183" s="110"/>
      <c r="M183" s="136">
        <v>799.58</v>
      </c>
      <c r="N183" t="str">
        <f>VLOOKUP(I183,'Working-Jan-25'!$C$5:$C$586,1,0)</f>
        <v>Fuel Charges- Slurry (Rmk Lorry )-548</v>
      </c>
    </row>
    <row r="184" spans="9:14">
      <c r="I184" s="139" t="s">
        <v>902</v>
      </c>
      <c r="J184" s="111"/>
      <c r="K184" s="135">
        <v>112919</v>
      </c>
      <c r="L184" s="110"/>
      <c r="M184" s="136">
        <v>112919</v>
      </c>
      <c r="N184" t="str">
        <f>VLOOKUP(I184,'Working-Jan-25'!$C$5:$C$586,1,0)</f>
        <v>Fuel Excavator - Slurry Maintenance - 035</v>
      </c>
    </row>
    <row r="185" spans="9:14">
      <c r="I185" s="139" t="s">
        <v>903</v>
      </c>
      <c r="J185" s="111"/>
      <c r="K185" s="135">
        <v>14240</v>
      </c>
      <c r="L185" s="110"/>
      <c r="M185" s="136">
        <v>14240</v>
      </c>
      <c r="N185" t="str">
        <f>VLOOKUP(I185,'Working-Jan-25'!$C$5:$C$586,1,0)</f>
        <v>Repairs &amp; Maintenance - Slurry - 097</v>
      </c>
    </row>
    <row r="186" spans="9:14">
      <c r="I186" s="139" t="s">
        <v>904</v>
      </c>
      <c r="J186" s="111"/>
      <c r="K186" s="135">
        <v>11</v>
      </c>
      <c r="L186" s="110"/>
      <c r="M186" s="136">
        <v>11</v>
      </c>
      <c r="N186" t="str">
        <f>VLOOKUP(I186,'Working-Jan-25'!$C$5:$C$586,1,0)</f>
        <v>R&amp;M- Slurry (Rmk Lorry )-560</v>
      </c>
    </row>
    <row r="187" spans="9:14">
      <c r="I187" s="139" t="s">
        <v>905</v>
      </c>
      <c r="J187" s="111"/>
      <c r="K187" s="135">
        <v>19073</v>
      </c>
      <c r="L187" s="110"/>
      <c r="M187" s="136">
        <v>19073</v>
      </c>
      <c r="N187" t="str">
        <f>VLOOKUP(I187,'Working-Jan-25'!$C$5:$C$586,1,0)</f>
        <v>Salary Slurry-537</v>
      </c>
    </row>
    <row r="188" spans="9:14">
      <c r="I188" s="139" t="s">
        <v>906</v>
      </c>
      <c r="J188" s="111"/>
      <c r="K188" s="135">
        <v>214</v>
      </c>
      <c r="L188" s="110"/>
      <c r="M188" s="136">
        <v>214</v>
      </c>
      <c r="N188" t="str">
        <f>VLOOKUP(I188,'Working-Jan-25'!$C$5:$C$586,1,0)</f>
        <v>Salary - Slurry (Rmk Lorry )-554</v>
      </c>
    </row>
    <row r="189" spans="9:14">
      <c r="I189" s="109" t="s">
        <v>872</v>
      </c>
      <c r="J189" s="110"/>
      <c r="K189" s="112">
        <v>10840</v>
      </c>
      <c r="L189" s="111"/>
      <c r="M189" s="130">
        <v>10840</v>
      </c>
      <c r="N189" t="str">
        <f>VLOOKUP(I189,'Working-Jan-25'!$C$5:$C$586,1,0)</f>
        <v>Transport Charges - Crusher - 122</v>
      </c>
    </row>
    <row r="190" spans="9:14">
      <c r="I190" s="104" t="s">
        <v>874</v>
      </c>
      <c r="J190" s="114"/>
      <c r="K190" s="115">
        <v>1643144.38</v>
      </c>
      <c r="L190" s="115">
        <v>273175</v>
      </c>
      <c r="M190" s="116">
        <v>1369969.38</v>
      </c>
      <c r="N190" t="s">
        <v>661</v>
      </c>
    </row>
    <row r="191" spans="9:14">
      <c r="I191" s="109" t="s">
        <v>876</v>
      </c>
      <c r="J191" s="110"/>
      <c r="K191" s="112">
        <v>273175</v>
      </c>
      <c r="L191" s="112">
        <v>273175</v>
      </c>
      <c r="M191" s="110"/>
      <c r="N191" t="str">
        <f>VLOOKUP(I191,'Working-Jan-25'!$C$5:$C$586,1,0)</f>
        <v>Compressor Rent -Black Quarry Development - 483</v>
      </c>
    </row>
    <row r="192" spans="9:14">
      <c r="I192" s="109" t="s">
        <v>907</v>
      </c>
      <c r="J192" s="110"/>
      <c r="K192" s="112">
        <v>678847</v>
      </c>
      <c r="L192" s="111"/>
      <c r="M192" s="130">
        <v>678847</v>
      </c>
      <c r="N192" t="str">
        <f>VLOOKUP(I192,'Working-Jan-25'!$C$5:$C$586,1,0)</f>
        <v>Fuel -Development Black Quarry-502</v>
      </c>
    </row>
    <row r="193" spans="9:14">
      <c r="I193" s="109" t="s">
        <v>908</v>
      </c>
      <c r="J193" s="110"/>
      <c r="K193" s="112">
        <v>250971.31</v>
      </c>
      <c r="L193" s="111"/>
      <c r="M193" s="130">
        <v>250971.31</v>
      </c>
      <c r="N193" t="str">
        <f>VLOOKUP(I193,'Working-Jan-25'!$C$5:$C$586,1,0)</f>
        <v>Q3 Explosives - Black Quarry Development - 482</v>
      </c>
    </row>
    <row r="194" spans="9:14">
      <c r="I194" s="109" t="s">
        <v>909</v>
      </c>
      <c r="J194" s="110"/>
      <c r="K194" s="112">
        <v>113456.43</v>
      </c>
      <c r="L194" s="111"/>
      <c r="M194" s="130">
        <v>113456.43</v>
      </c>
      <c r="N194" t="str">
        <f>VLOOKUP(I194,'Working-Jan-25'!$C$5:$C$586,1,0)</f>
        <v>Q3 Fuel Intercart -Development-496</v>
      </c>
    </row>
    <row r="195" spans="9:14">
      <c r="I195" s="109" t="s">
        <v>910</v>
      </c>
      <c r="J195" s="110"/>
      <c r="K195" s="112">
        <v>13684.64</v>
      </c>
      <c r="L195" s="111"/>
      <c r="M195" s="130">
        <v>13684.64</v>
      </c>
      <c r="N195" t="str">
        <f>VLOOKUP(I195,'Working-Jan-25'!$C$5:$C$586,1,0)</f>
        <v>Q3 Labour Explosives - Quarry Development - 484</v>
      </c>
    </row>
    <row r="196" spans="9:14">
      <c r="I196" s="109" t="s">
        <v>911</v>
      </c>
      <c r="J196" s="110"/>
      <c r="K196" s="112">
        <v>212727</v>
      </c>
      <c r="L196" s="111"/>
      <c r="M196" s="130">
        <v>212727</v>
      </c>
      <c r="N196" t="str">
        <f>VLOOKUP(I196,'Working-Jan-25'!$C$5:$C$586,1,0)</f>
        <v>Q3 Repair &amp; Maintenance - Quarry Development-534</v>
      </c>
    </row>
    <row r="197" spans="9:14">
      <c r="I197" s="109" t="s">
        <v>912</v>
      </c>
      <c r="J197" s="110"/>
      <c r="K197" s="112">
        <v>100283</v>
      </c>
      <c r="L197" s="111"/>
      <c r="M197" s="130">
        <v>100283</v>
      </c>
      <c r="N197" t="str">
        <f>VLOOKUP(I197,'Working-Jan-25'!$C$5:$C$586,1,0)</f>
        <v>Q3-Salary-Quarry Development-536</v>
      </c>
    </row>
    <row r="198" spans="9:14">
      <c r="I198" s="104" t="s">
        <v>878</v>
      </c>
      <c r="J198" s="114"/>
      <c r="K198" s="115">
        <v>11326908.11</v>
      </c>
      <c r="L198" s="115">
        <v>206002.15</v>
      </c>
      <c r="M198" s="116">
        <v>11120905.96</v>
      </c>
      <c r="N198" t="s">
        <v>661</v>
      </c>
    </row>
    <row r="199" spans="9:14">
      <c r="I199" s="141" t="s">
        <v>913</v>
      </c>
      <c r="J199" s="118"/>
      <c r="K199" s="119">
        <v>565838</v>
      </c>
      <c r="L199" s="118"/>
      <c r="M199" s="120">
        <v>565838</v>
      </c>
      <c r="N199" t="s">
        <v>661</v>
      </c>
    </row>
    <row r="200" spans="9:14">
      <c r="I200" s="139" t="s">
        <v>914</v>
      </c>
      <c r="J200" s="111"/>
      <c r="K200" s="135">
        <v>565838</v>
      </c>
      <c r="L200" s="110"/>
      <c r="M200" s="136">
        <v>565838</v>
      </c>
      <c r="N200" t="str">
        <f>VLOOKUP(I200,'Working-Jan-25'!$C$5:$C$586,1,0)</f>
        <v>Fuel Excavator - S&amp;D - 331</v>
      </c>
    </row>
    <row r="201" spans="9:14">
      <c r="I201" s="141" t="s">
        <v>915</v>
      </c>
      <c r="J201" s="131"/>
      <c r="K201" s="132">
        <v>10410328.5</v>
      </c>
      <c r="L201" s="132">
        <v>206002.15</v>
      </c>
      <c r="M201" s="133">
        <v>10204326.35</v>
      </c>
      <c r="N201" t="s">
        <v>661</v>
      </c>
    </row>
    <row r="202" spans="9:14">
      <c r="I202" s="139" t="s">
        <v>916</v>
      </c>
      <c r="J202" s="111"/>
      <c r="K202" s="135">
        <v>5781258.2</v>
      </c>
      <c r="L202" s="135">
        <v>76650.75</v>
      </c>
      <c r="M202" s="136">
        <v>5704607.45</v>
      </c>
      <c r="N202" t="str">
        <f>VLOOKUP(I202,'Working-Jan-25'!$C$5:$C$586,1,0)</f>
        <v>Transport Charges - S&amp;D - 333</v>
      </c>
    </row>
    <row r="203" spans="9:14">
      <c r="I203" s="139" t="s">
        <v>917</v>
      </c>
      <c r="J203" s="111"/>
      <c r="K203" s="135">
        <v>4629070.3</v>
      </c>
      <c r="L203" s="135">
        <v>129351.4</v>
      </c>
      <c r="M203" s="136">
        <v>4499718.9</v>
      </c>
      <c r="N203" t="s">
        <v>664</v>
      </c>
    </row>
    <row r="204" spans="9:14">
      <c r="I204" s="109" t="s">
        <v>918</v>
      </c>
      <c r="J204" s="110"/>
      <c r="K204" s="112">
        <v>6315.61</v>
      </c>
      <c r="L204" s="111"/>
      <c r="M204" s="130">
        <v>6315.61</v>
      </c>
      <c r="N204" t="str">
        <f>VLOOKUP(I204,'Working-Jan-25'!$C$5:$C$586,1,0)</f>
        <v>Fuel Charges- Sales (Rmk Lorry )-549</v>
      </c>
    </row>
    <row r="205" spans="9:14">
      <c r="I205" s="109" t="s">
        <v>919</v>
      </c>
      <c r="J205" s="110"/>
      <c r="K205" s="112">
        <v>116871</v>
      </c>
      <c r="L205" s="111"/>
      <c r="M205" s="130">
        <v>116871</v>
      </c>
      <c r="N205" t="str">
        <f>VLOOKUP(I205,'Working-Jan-25'!$C$5:$C$586,1,0)</f>
        <v>Repair &amp; Maintenance - S&amp;D-535</v>
      </c>
    </row>
    <row r="206" spans="9:14">
      <c r="I206" s="109" t="s">
        <v>920</v>
      </c>
      <c r="J206" s="110"/>
      <c r="K206" s="112">
        <v>11223</v>
      </c>
      <c r="L206" s="111"/>
      <c r="M206" s="130">
        <v>11223</v>
      </c>
      <c r="N206" t="str">
        <f>VLOOKUP(I206,'Working-Jan-25'!$C$5:$C$586,1,0)</f>
        <v>R&amp;M- Sales (Rmk Lorry )-561</v>
      </c>
    </row>
    <row r="207" spans="9:14">
      <c r="I207" s="109" t="s">
        <v>921</v>
      </c>
      <c r="J207" s="110"/>
      <c r="K207" s="112">
        <v>14516</v>
      </c>
      <c r="L207" s="111"/>
      <c r="M207" s="130">
        <v>14516</v>
      </c>
      <c r="N207" t="str">
        <f>VLOOKUP(I207,'Working-Jan-25'!$C$5:$C$586,1,0)</f>
        <v>Salary Marketing- 514</v>
      </c>
    </row>
    <row r="208" spans="9:14">
      <c r="I208" s="109" t="s">
        <v>922</v>
      </c>
      <c r="J208" s="110"/>
      <c r="K208" s="112">
        <v>165356</v>
      </c>
      <c r="L208" s="111"/>
      <c r="M208" s="130">
        <v>165356</v>
      </c>
      <c r="N208" t="str">
        <f>VLOOKUP(I208,'Working-Jan-25'!$C$5:$C$586,1,0)</f>
        <v>Salary - Sales - 332</v>
      </c>
    </row>
    <row r="209" spans="9:14">
      <c r="I209" s="109" t="s">
        <v>923</v>
      </c>
      <c r="J209" s="110"/>
      <c r="K209" s="112">
        <v>36460</v>
      </c>
      <c r="L209" s="111"/>
      <c r="M209" s="130">
        <v>36460</v>
      </c>
      <c r="N209" t="str">
        <f>VLOOKUP(I209,'Working-Jan-25'!$C$5:$C$586,1,0)</f>
        <v>Salary - Sales (Rmk Lorry )-555</v>
      </c>
    </row>
    <row r="210" spans="9:14">
      <c r="I210" s="104" t="s">
        <v>882</v>
      </c>
      <c r="J210" s="114"/>
      <c r="K210" s="124"/>
      <c r="L210" s="115">
        <v>2363775.05</v>
      </c>
      <c r="M210" s="145">
        <v>-2363775.05</v>
      </c>
      <c r="N210" t="s">
        <v>661</v>
      </c>
    </row>
    <row r="211" spans="9:14">
      <c r="I211" s="141" t="s">
        <v>884</v>
      </c>
      <c r="J211" s="118"/>
      <c r="K211" s="118"/>
      <c r="L211" s="119">
        <v>157331.42</v>
      </c>
      <c r="M211" s="151">
        <v>-157331.42</v>
      </c>
      <c r="N211" t="s">
        <v>661</v>
      </c>
    </row>
    <row r="212" spans="9:14">
      <c r="I212" s="139" t="s">
        <v>885</v>
      </c>
      <c r="J212" s="111"/>
      <c r="K212" s="110"/>
      <c r="L212" s="135">
        <v>151791.42</v>
      </c>
      <c r="M212" s="143">
        <v>-151791.42</v>
      </c>
      <c r="N212" t="str">
        <f>VLOOKUP(I212,'Working-Jan-25'!$C$5:$C$586,1,0)</f>
        <v>Fuel - CWC 1 - 235</v>
      </c>
    </row>
    <row r="213" spans="9:14">
      <c r="I213" s="139" t="s">
        <v>886</v>
      </c>
      <c r="J213" s="111"/>
      <c r="K213" s="110"/>
      <c r="L213" s="135">
        <v>5540</v>
      </c>
      <c r="M213" s="143">
        <v>-5540</v>
      </c>
      <c r="N213" t="str">
        <f>VLOOKUP(I213,'Working-Jan-25'!$C$5:$C$586,1,0)</f>
        <v>Repairs &amp; Maintenance - CWC 1 - 238</v>
      </c>
    </row>
    <row r="214" spans="9:14">
      <c r="I214" s="141" t="s">
        <v>888</v>
      </c>
      <c r="J214" s="131"/>
      <c r="K214" s="131"/>
      <c r="L214" s="132">
        <v>166292.63</v>
      </c>
      <c r="M214" s="142">
        <v>-166292.63</v>
      </c>
      <c r="N214" t="s">
        <v>661</v>
      </c>
    </row>
    <row r="215" spans="9:14">
      <c r="I215" s="139" t="s">
        <v>890</v>
      </c>
      <c r="J215" s="111"/>
      <c r="K215" s="110"/>
      <c r="L215" s="135">
        <v>164602.63</v>
      </c>
      <c r="M215" s="143">
        <v>-164602.63</v>
      </c>
      <c r="N215" t="str">
        <f>VLOOKUP(I215,'Working-Jan-25'!$C$5:$C$586,1,0)</f>
        <v>Fuel - CWC 2 - 240</v>
      </c>
    </row>
    <row r="216" spans="9:14">
      <c r="I216" s="139" t="s">
        <v>892</v>
      </c>
      <c r="J216" s="111"/>
      <c r="K216" s="110"/>
      <c r="L216" s="135">
        <v>1690</v>
      </c>
      <c r="M216" s="143">
        <v>-1690</v>
      </c>
      <c r="N216" t="str">
        <f>VLOOKUP(I216,'Working-Jan-25'!$C$5:$C$586,1,0)</f>
        <v>Repairs &amp; Maintenance - CWC 2 - 243</v>
      </c>
    </row>
    <row r="217" spans="9:14">
      <c r="I217" s="141" t="s">
        <v>893</v>
      </c>
      <c r="J217" s="131"/>
      <c r="K217" s="131"/>
      <c r="L217" s="132">
        <v>20925</v>
      </c>
      <c r="M217" s="142">
        <v>-20925</v>
      </c>
      <c r="N217" t="s">
        <v>661</v>
      </c>
    </row>
    <row r="218" spans="9:14">
      <c r="I218" s="139" t="s">
        <v>894</v>
      </c>
      <c r="J218" s="111"/>
      <c r="K218" s="110"/>
      <c r="L218" s="135">
        <v>7535</v>
      </c>
      <c r="M218" s="143">
        <v>-7535</v>
      </c>
      <c r="N218" t="str">
        <f>VLOOKUP(I218,'Working-Jan-25'!$C$5:$C$586,1,0)</f>
        <v>Fuel - Prudential 6 Wheeler - 250</v>
      </c>
    </row>
    <row r="219" spans="9:14">
      <c r="I219" s="140" t="s">
        <v>895</v>
      </c>
      <c r="J219" s="111"/>
      <c r="K219" s="110"/>
      <c r="L219" s="135">
        <v>13390</v>
      </c>
      <c r="M219" s="143">
        <v>-13390</v>
      </c>
      <c r="N219" t="str">
        <f>VLOOKUP(I219,'Working-Jan-25'!$C$5:$C$586,1,0)</f>
        <v>Repairs &amp; Maintenance - Prudential 6 Wheeler - 380</v>
      </c>
    </row>
    <row r="220" spans="9:14">
      <c r="I220" s="109" t="s">
        <v>896</v>
      </c>
      <c r="J220" s="110"/>
      <c r="K220" s="111"/>
      <c r="L220" s="112">
        <v>2019226</v>
      </c>
      <c r="M220" s="113">
        <v>-2019226</v>
      </c>
      <c r="N220" t="s">
        <v>664</v>
      </c>
    </row>
    <row r="221" spans="9:13">
      <c r="I221" s="147" t="s">
        <v>897</v>
      </c>
      <c r="J221" s="143">
        <v>24741035.86</v>
      </c>
      <c r="K221" s="110"/>
      <c r="L221" s="110"/>
      <c r="M221" s="143">
        <v>-24741035.86</v>
      </c>
    </row>
    <row r="222" spans="9:13">
      <c r="I222" s="148" t="s">
        <v>898</v>
      </c>
      <c r="J222" s="108">
        <v>24741035.86</v>
      </c>
      <c r="K222" s="149">
        <v>31402383.42</v>
      </c>
      <c r="L222" s="149">
        <v>9576383.49</v>
      </c>
      <c r="M222" s="108">
        <v>2915035.93</v>
      </c>
    </row>
    <row r="224" spans="12:12">
      <c r="L224" s="150">
        <f>K222-L222</f>
        <v>21825999.93</v>
      </c>
    </row>
  </sheetData>
  <autoFilter xmlns:etc="http://www.wps.cn/officeDocument/2017/etCustomData" ref="I11:M222" etc:filterBottomFollowUsedRange="0">
    <extLst/>
  </autoFilter>
  <mergeCells count="20">
    <mergeCell ref="A1:C1"/>
    <mergeCell ref="I1:K1"/>
    <mergeCell ref="A2:C2"/>
    <mergeCell ref="I2:K2"/>
    <mergeCell ref="A3:C3"/>
    <mergeCell ref="I3:K3"/>
    <mergeCell ref="A4:C4"/>
    <mergeCell ref="I4:K4"/>
    <mergeCell ref="A5:C5"/>
    <mergeCell ref="I5:K5"/>
    <mergeCell ref="A6:C6"/>
    <mergeCell ref="I6:K6"/>
    <mergeCell ref="A7:C7"/>
    <mergeCell ref="I7:K7"/>
    <mergeCell ref="B8:E8"/>
    <mergeCell ref="J8:M8"/>
    <mergeCell ref="B9:E9"/>
    <mergeCell ref="J9:M9"/>
    <mergeCell ref="C10:D10"/>
    <mergeCell ref="K10:L10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706"/>
  <sheetViews>
    <sheetView zoomScale="105" zoomScaleNormal="105" topLeftCell="I677" workbookViewId="0">
      <selection activeCell="Q695" sqref="Q695"/>
    </sheetView>
  </sheetViews>
  <sheetFormatPr defaultColWidth="8.81818181818182" defaultRowHeight="14"/>
  <cols>
    <col min="1" max="1" width="12.4545454545455" style="35" customWidth="1"/>
    <col min="2" max="2" width="10.5454545454545" style="35" customWidth="1"/>
    <col min="3" max="3" width="47.5454545454545" style="35" customWidth="1"/>
    <col min="4" max="4" width="15" style="35" customWidth="1"/>
    <col min="5" max="5" width="54.9090909090909" style="35" customWidth="1"/>
    <col min="6" max="6" width="15" style="35" customWidth="1"/>
    <col min="7" max="7" width="15.4545454545455" style="35" customWidth="1"/>
    <col min="8" max="8" width="30.9090909090909" style="35" customWidth="1"/>
    <col min="9" max="9" width="30.0909090909091" style="35" customWidth="1"/>
    <col min="10" max="10" width="12.5454545454545" style="35" customWidth="1"/>
    <col min="11" max="13" width="17.6363636363636" style="36" customWidth="1"/>
    <col min="14" max="14" width="14.5454545454545" style="35" customWidth="1"/>
    <col min="15" max="15" width="14.4545454545455" style="35" customWidth="1"/>
    <col min="16" max="16" width="14.5454545454545" style="35" customWidth="1"/>
    <col min="17" max="18" width="12" style="35" customWidth="1"/>
    <col min="19" max="19" width="13.8181818181818" style="35" customWidth="1"/>
    <col min="20" max="20" width="12.9090909090909" style="35" customWidth="1"/>
    <col min="21" max="21" width="12.5454545454545" style="35" customWidth="1"/>
    <col min="22" max="22" width="15.3636363636364" style="35" customWidth="1"/>
    <col min="23" max="23" width="15.0909090909091" style="35" customWidth="1"/>
    <col min="24" max="16384" width="8.81818181818182" style="35"/>
  </cols>
  <sheetData>
    <row r="1" ht="61" spans="2:17">
      <c r="B1" s="37" t="s">
        <v>121</v>
      </c>
      <c r="C1" s="38"/>
      <c r="E1" s="39" t="s">
        <v>924</v>
      </c>
      <c r="M1" s="36">
        <v>1013299.26</v>
      </c>
      <c r="N1" s="35">
        <v>714387.59</v>
      </c>
      <c r="O1" s="48">
        <f>M1-N1</f>
        <v>298911.670000001</v>
      </c>
      <c r="Q1" s="48"/>
    </row>
    <row r="2" spans="9:13">
      <c r="I2" s="49" t="s">
        <v>925</v>
      </c>
      <c r="J2" s="49"/>
      <c r="M2" s="36">
        <f>SUBTOTAL(9,M5:M589)</f>
        <v>981471.97</v>
      </c>
    </row>
    <row r="3" spans="3:13">
      <c r="C3" s="40" t="s">
        <v>926</v>
      </c>
      <c r="D3" s="41" t="s">
        <v>927</v>
      </c>
      <c r="E3" s="41" t="s">
        <v>928</v>
      </c>
      <c r="F3" s="41" t="s">
        <v>929</v>
      </c>
      <c r="G3" s="40" t="s">
        <v>930</v>
      </c>
      <c r="H3" s="40" t="s">
        <v>931</v>
      </c>
      <c r="I3" s="50" t="s">
        <v>932</v>
      </c>
      <c r="J3" s="50" t="s">
        <v>931</v>
      </c>
      <c r="K3" s="51" t="s">
        <v>58</v>
      </c>
      <c r="L3" s="52"/>
      <c r="M3" s="53"/>
    </row>
    <row r="4" hidden="1" spans="3:13">
      <c r="C4" s="42"/>
      <c r="D4" s="42"/>
      <c r="E4" s="42"/>
      <c r="F4" s="42"/>
      <c r="G4" s="42"/>
      <c r="H4" s="42"/>
      <c r="I4" s="54"/>
      <c r="J4" s="54"/>
      <c r="K4" s="55" t="s">
        <v>933</v>
      </c>
      <c r="L4" s="55" t="s">
        <v>934</v>
      </c>
      <c r="M4" s="55" t="s">
        <v>58</v>
      </c>
    </row>
    <row r="5" hidden="1" spans="2:17">
      <c r="B5" s="35">
        <v>1</v>
      </c>
      <c r="C5" s="43" t="s">
        <v>669</v>
      </c>
      <c r="D5" s="43" t="s">
        <v>935</v>
      </c>
      <c r="E5" s="44" t="s">
        <v>471</v>
      </c>
      <c r="F5" s="44" t="s">
        <v>936</v>
      </c>
      <c r="G5" s="44" t="s">
        <v>471</v>
      </c>
      <c r="H5" s="44" t="s">
        <v>937</v>
      </c>
      <c r="I5" s="44" t="s">
        <v>309</v>
      </c>
      <c r="J5" s="44"/>
      <c r="K5" s="56">
        <f>SUMIF('TB-Jan-25'!$A$12:$A$167,'Working-Jan-25'!C5,'TB-Jan-25'!$E$12:$E$167)</f>
        <v>-142575</v>
      </c>
      <c r="L5" s="56">
        <f>SUMIF('TB-Jan-25'!I:I,C5,'TB-Jan-25'!M:M)</f>
        <v>352995</v>
      </c>
      <c r="M5" s="56">
        <f>K5+L5</f>
        <v>210420</v>
      </c>
      <c r="N5" s="57" t="e">
        <f>SUMIF([6]Final!$B:$B,C5,[6]Final!$F:$F)-M5</f>
        <v>#VALUE!</v>
      </c>
      <c r="O5" s="35">
        <f>IFERROR(VLOOKUP(C5,'[1]TB-Jun-24'!I:N,6,FALSE),0)</f>
        <v>0</v>
      </c>
      <c r="Q5" s="35" t="s">
        <v>937</v>
      </c>
    </row>
    <row r="6" hidden="1" spans="2:17">
      <c r="B6" s="35">
        <f>+B5+1</f>
        <v>2</v>
      </c>
      <c r="C6" s="43" t="s">
        <v>938</v>
      </c>
      <c r="D6" s="43" t="s">
        <v>939</v>
      </c>
      <c r="E6" s="44" t="s">
        <v>940</v>
      </c>
      <c r="F6" s="44" t="s">
        <v>936</v>
      </c>
      <c r="G6" s="44" t="s">
        <v>538</v>
      </c>
      <c r="H6" s="44" t="s">
        <v>937</v>
      </c>
      <c r="I6" s="44" t="s">
        <v>309</v>
      </c>
      <c r="J6" s="44"/>
      <c r="K6" s="56">
        <f>SUMIF('TB-Jan-25'!$A$12:$A$167,'Working-Jan-25'!C6,'TB-Jan-25'!$E$12:$E$167)</f>
        <v>0</v>
      </c>
      <c r="L6" s="56">
        <f>SUMIF('TB-Jan-25'!I:I,C6,'TB-Jan-25'!M:M)</f>
        <v>0</v>
      </c>
      <c r="M6" s="56">
        <f t="shared" ref="M6:M70" si="0">K6+L6</f>
        <v>0</v>
      </c>
      <c r="N6" s="57">
        <f>IFERROR(VLOOKUP(C6,'[1]TB-Jun-24'!A:F,6,FALSE),0)</f>
        <v>0</v>
      </c>
      <c r="O6" s="35">
        <f>IFERROR(VLOOKUP(C6,'[1]TB-Jun-24'!I:N,6,FALSE),0)</f>
        <v>0</v>
      </c>
      <c r="Q6" s="35" t="s">
        <v>937</v>
      </c>
    </row>
    <row r="7" hidden="1" spans="2:17">
      <c r="B7" s="35">
        <f t="shared" ref="B7:B70" si="1">+B6+1</f>
        <v>3</v>
      </c>
      <c r="C7" s="43" t="s">
        <v>673</v>
      </c>
      <c r="D7" s="43" t="s">
        <v>939</v>
      </c>
      <c r="E7" s="44" t="s">
        <v>940</v>
      </c>
      <c r="F7" s="44" t="s">
        <v>936</v>
      </c>
      <c r="G7" s="44" t="s">
        <v>538</v>
      </c>
      <c r="H7" s="44" t="s">
        <v>937</v>
      </c>
      <c r="I7" s="44" t="s">
        <v>309</v>
      </c>
      <c r="J7" s="44"/>
      <c r="K7" s="56">
        <f>SUMIF('TB-Jan-25'!$A$12:$A$167,'Working-Jan-25'!C7,'TB-Jan-25'!$E$12:$E$167)</f>
        <v>24070</v>
      </c>
      <c r="L7" s="56">
        <f>SUMIF('TB-Jan-25'!I:I,C7,'TB-Jan-25'!M:M)</f>
        <v>1610</v>
      </c>
      <c r="M7" s="56">
        <f t="shared" si="0"/>
        <v>25680</v>
      </c>
      <c r="N7" s="57" t="e">
        <f>SUMIF([6]Final!$B:$B,C7,[6]Final!$F:$F)-M7</f>
        <v>#VALUE!</v>
      </c>
      <c r="O7" s="35">
        <f>IFERROR(VLOOKUP(C7,'[1]TB-Jun-24'!I:N,6,FALSE),0)</f>
        <v>0</v>
      </c>
      <c r="Q7" s="35" t="s">
        <v>937</v>
      </c>
    </row>
    <row r="8" hidden="1" spans="2:17">
      <c r="B8" s="35">
        <f t="shared" si="1"/>
        <v>4</v>
      </c>
      <c r="C8" s="43" t="s">
        <v>941</v>
      </c>
      <c r="D8" s="43" t="s">
        <v>939</v>
      </c>
      <c r="E8" s="44" t="s">
        <v>940</v>
      </c>
      <c r="F8" s="44" t="s">
        <v>936</v>
      </c>
      <c r="G8" s="44" t="s">
        <v>538</v>
      </c>
      <c r="H8" s="44" t="s">
        <v>937</v>
      </c>
      <c r="I8" s="44" t="s">
        <v>309</v>
      </c>
      <c r="J8" s="44"/>
      <c r="K8" s="56">
        <f>SUMIF('TB-Jan-25'!$A$12:$A$167,'Working-Jan-25'!C8,'TB-Jan-25'!$E$12:$E$167)</f>
        <v>0</v>
      </c>
      <c r="L8" s="56">
        <f>SUMIF('TB-Jan-25'!I:I,C8,'TB-Jan-25'!M:M)</f>
        <v>0</v>
      </c>
      <c r="M8" s="56">
        <f t="shared" si="0"/>
        <v>0</v>
      </c>
      <c r="N8" s="57">
        <f>IFERROR(VLOOKUP(C8,'[1]TB-Jun-24'!A:F,6,FALSE),0)</f>
        <v>0</v>
      </c>
      <c r="O8" s="35">
        <f>IFERROR(VLOOKUP(C8,'[1]TB-Jun-24'!I:N,6,FALSE),0)</f>
        <v>0</v>
      </c>
      <c r="Q8" s="35" t="s">
        <v>937</v>
      </c>
    </row>
    <row r="9" hidden="1" spans="2:17">
      <c r="B9" s="35">
        <f t="shared" si="1"/>
        <v>5</v>
      </c>
      <c r="C9" s="43" t="s">
        <v>675</v>
      </c>
      <c r="D9" s="43" t="s">
        <v>935</v>
      </c>
      <c r="E9" s="44" t="s">
        <v>942</v>
      </c>
      <c r="F9" s="44" t="s">
        <v>936</v>
      </c>
      <c r="G9" s="44" t="s">
        <v>493</v>
      </c>
      <c r="H9" s="44" t="s">
        <v>120</v>
      </c>
      <c r="I9" s="44" t="s">
        <v>309</v>
      </c>
      <c r="J9" s="44"/>
      <c r="K9" s="56">
        <f>SUMIF('TB-Jan-25'!$A$12:$A$167,'Working-Jan-25'!C9,'TB-Jan-25'!$E$12:$E$167)</f>
        <v>0</v>
      </c>
      <c r="L9" s="56">
        <f>SUMIF('TB-Jan-25'!I:I,C9,'TB-Jan-25'!M:M)</f>
        <v>171148</v>
      </c>
      <c r="M9" s="56">
        <f t="shared" si="0"/>
        <v>171148</v>
      </c>
      <c r="N9" s="57" t="e">
        <f>SUMIF([6]Final!$B:$B,C9,[6]Final!$F:$F)-M9</f>
        <v>#VALUE!</v>
      </c>
      <c r="O9" s="35">
        <f>IFERROR(VLOOKUP(C9,'[1]TB-Jun-24'!I:N,6,FALSE),0)</f>
        <v>131676</v>
      </c>
      <c r="Q9" s="35" t="s">
        <v>937</v>
      </c>
    </row>
    <row r="10" hidden="1" spans="2:17">
      <c r="B10" s="35">
        <f t="shared" si="1"/>
        <v>6</v>
      </c>
      <c r="C10" s="43" t="s">
        <v>943</v>
      </c>
      <c r="D10" s="43" t="s">
        <v>935</v>
      </c>
      <c r="E10" s="44" t="s">
        <v>485</v>
      </c>
      <c r="F10" s="44" t="s">
        <v>936</v>
      </c>
      <c r="G10" s="44" t="s">
        <v>535</v>
      </c>
      <c r="H10" s="44" t="s">
        <v>937</v>
      </c>
      <c r="I10" s="44" t="s">
        <v>309</v>
      </c>
      <c r="J10" s="44"/>
      <c r="K10" s="56">
        <f>SUMIF('TB-Jan-25'!$A$12:$A$167,'Working-Jan-25'!C10,'TB-Jan-25'!$E$12:$E$167)</f>
        <v>0</v>
      </c>
      <c r="L10" s="56">
        <f>SUMIF('TB-Jan-25'!I:I,C10,'TB-Jan-25'!M:M)</f>
        <v>0</v>
      </c>
      <c r="M10" s="56">
        <f t="shared" si="0"/>
        <v>0</v>
      </c>
      <c r="N10" s="57">
        <f>IFERROR(VLOOKUP(C10,'[1]TB-Jun-24'!A:F,6,FALSE),0)</f>
        <v>0</v>
      </c>
      <c r="O10" s="35">
        <f>IFERROR(VLOOKUP(C10,'[1]TB-Jun-24'!I:N,6,FALSE),0)</f>
        <v>0</v>
      </c>
      <c r="Q10" s="35" t="s">
        <v>937</v>
      </c>
    </row>
    <row r="11" hidden="1" spans="2:17">
      <c r="B11" s="35">
        <f t="shared" si="1"/>
        <v>7</v>
      </c>
      <c r="C11" s="43" t="s">
        <v>944</v>
      </c>
      <c r="D11" s="43" t="s">
        <v>935</v>
      </c>
      <c r="E11" s="44" t="s">
        <v>485</v>
      </c>
      <c r="F11" s="44" t="s">
        <v>936</v>
      </c>
      <c r="G11" s="44" t="s">
        <v>473</v>
      </c>
      <c r="H11" s="44" t="s">
        <v>937</v>
      </c>
      <c r="I11" s="44" t="s">
        <v>309</v>
      </c>
      <c r="J11" s="44"/>
      <c r="K11" s="56">
        <f>SUMIF('TB-Jan-25'!$A$12:$A$167,'Working-Jan-25'!C11,'TB-Jan-25'!$E$12:$E$167)</f>
        <v>0</v>
      </c>
      <c r="L11" s="56">
        <f>SUMIF('TB-Jan-25'!I:I,C11,'TB-Jan-25'!M:M)</f>
        <v>0</v>
      </c>
      <c r="M11" s="56">
        <f t="shared" si="0"/>
        <v>0</v>
      </c>
      <c r="N11" s="57">
        <f>IFERROR(VLOOKUP(C11,'[1]TB-Jun-24'!A:F,6,FALSE),0)</f>
        <v>0</v>
      </c>
      <c r="O11" s="35">
        <f>IFERROR(VLOOKUP(C11,'[1]TB-Jun-24'!I:N,6,FALSE),0)</f>
        <v>0</v>
      </c>
      <c r="Q11" s="35" t="s">
        <v>937</v>
      </c>
    </row>
    <row r="12" hidden="1" spans="2:17">
      <c r="B12" s="35">
        <f t="shared" si="1"/>
        <v>8</v>
      </c>
      <c r="C12" s="43" t="s">
        <v>945</v>
      </c>
      <c r="D12" s="43" t="s">
        <v>935</v>
      </c>
      <c r="E12" s="44" t="s">
        <v>485</v>
      </c>
      <c r="F12" s="44" t="s">
        <v>936</v>
      </c>
      <c r="G12" s="44" t="s">
        <v>473</v>
      </c>
      <c r="H12" s="44" t="s">
        <v>937</v>
      </c>
      <c r="I12" s="44" t="s">
        <v>309</v>
      </c>
      <c r="J12" s="44"/>
      <c r="K12" s="56">
        <f>SUMIF('TB-Jan-25'!$A$12:$A$167,'Working-Jan-25'!C12,'TB-Jan-25'!$E$12:$E$167)</f>
        <v>0</v>
      </c>
      <c r="L12" s="56">
        <f>SUMIF('TB-Jan-25'!I:I,C12,'TB-Jan-25'!M:M)</f>
        <v>0</v>
      </c>
      <c r="M12" s="56">
        <f t="shared" si="0"/>
        <v>0</v>
      </c>
      <c r="N12" s="57">
        <f>IFERROR(VLOOKUP(C12,'[1]TB-Jun-24'!A:F,6,FALSE),0)</f>
        <v>0</v>
      </c>
      <c r="O12" s="35">
        <f>IFERROR(VLOOKUP(C12,'[1]TB-Jun-24'!I:N,6,FALSE),0)</f>
        <v>0</v>
      </c>
      <c r="Q12" s="35" t="s">
        <v>937</v>
      </c>
    </row>
    <row r="13" hidden="1" spans="2:17">
      <c r="B13" s="35">
        <f t="shared" si="1"/>
        <v>9</v>
      </c>
      <c r="C13" s="43" t="s">
        <v>946</v>
      </c>
      <c r="D13" s="43" t="s">
        <v>935</v>
      </c>
      <c r="E13" s="44" t="s">
        <v>485</v>
      </c>
      <c r="F13" s="44" t="s">
        <v>936</v>
      </c>
      <c r="G13" s="44" t="s">
        <v>473</v>
      </c>
      <c r="H13" s="44" t="s">
        <v>937</v>
      </c>
      <c r="I13" s="44" t="s">
        <v>309</v>
      </c>
      <c r="J13" s="44"/>
      <c r="K13" s="56">
        <f>SUMIF('TB-Jan-25'!$A$12:$A$167,'Working-Jan-25'!C13,'TB-Jan-25'!$E$12:$E$167)</f>
        <v>0</v>
      </c>
      <c r="L13" s="56">
        <f>SUMIF('TB-Jan-25'!I:I,C13,'TB-Jan-25'!M:M)</f>
        <v>0</v>
      </c>
      <c r="M13" s="56">
        <f t="shared" si="0"/>
        <v>0</v>
      </c>
      <c r="N13" s="57">
        <f>IFERROR(VLOOKUP(C13,'[1]TB-Jun-24'!A:F,6,FALSE),0)</f>
        <v>0</v>
      </c>
      <c r="O13" s="35">
        <f>IFERROR(VLOOKUP(C13,'[1]TB-Jun-24'!I:N,6,FALSE),0)</f>
        <v>0</v>
      </c>
      <c r="Q13" s="35" t="s">
        <v>937</v>
      </c>
    </row>
    <row r="14" hidden="1" spans="2:17">
      <c r="B14" s="35">
        <f t="shared" si="1"/>
        <v>10</v>
      </c>
      <c r="C14" s="43" t="s">
        <v>947</v>
      </c>
      <c r="D14" s="43" t="s">
        <v>935</v>
      </c>
      <c r="E14" s="44" t="s">
        <v>485</v>
      </c>
      <c r="F14" s="44" t="s">
        <v>936</v>
      </c>
      <c r="G14" s="44" t="s">
        <v>473</v>
      </c>
      <c r="H14" s="44" t="s">
        <v>937</v>
      </c>
      <c r="I14" s="44" t="s">
        <v>309</v>
      </c>
      <c r="J14" s="44"/>
      <c r="K14" s="56">
        <f>SUMIF('TB-Jan-25'!$A$12:$A$167,'Working-Jan-25'!C14,'TB-Jan-25'!$E$12:$E$167)</f>
        <v>0</v>
      </c>
      <c r="L14" s="56">
        <f>SUMIF('TB-Jan-25'!I:I,C14,'TB-Jan-25'!M:M)</f>
        <v>0</v>
      </c>
      <c r="M14" s="56">
        <f t="shared" si="0"/>
        <v>0</v>
      </c>
      <c r="N14" s="57">
        <f>IFERROR(VLOOKUP(C14,'[1]TB-Jun-24'!A:F,6,FALSE),0)</f>
        <v>277280.7</v>
      </c>
      <c r="O14" s="35">
        <f>IFERROR(VLOOKUP(C14,'[1]TB-Jun-24'!I:N,6,FALSE),0)</f>
        <v>-102798</v>
      </c>
      <c r="Q14" s="35" t="s">
        <v>937</v>
      </c>
    </row>
    <row r="15" hidden="1" spans="2:17">
      <c r="B15" s="35">
        <f t="shared" si="1"/>
        <v>11</v>
      </c>
      <c r="C15" s="43" t="s">
        <v>948</v>
      </c>
      <c r="D15" s="43" t="s">
        <v>935</v>
      </c>
      <c r="E15" s="44" t="s">
        <v>485</v>
      </c>
      <c r="F15" s="44" t="s">
        <v>936</v>
      </c>
      <c r="G15" s="44" t="s">
        <v>473</v>
      </c>
      <c r="H15" s="44" t="s">
        <v>937</v>
      </c>
      <c r="I15" s="44" t="s">
        <v>309</v>
      </c>
      <c r="J15" s="44"/>
      <c r="K15" s="56">
        <f>SUMIF('TB-Jan-25'!$A$12:$A$167,'Working-Jan-25'!C15,'TB-Jan-25'!$E$12:$E$167)</f>
        <v>0</v>
      </c>
      <c r="L15" s="56">
        <f>SUMIF('TB-Jan-25'!I:I,C15,'TB-Jan-25'!M:M)</f>
        <v>0</v>
      </c>
      <c r="M15" s="56">
        <f t="shared" si="0"/>
        <v>0</v>
      </c>
      <c r="N15" s="57">
        <f>IFERROR(VLOOKUP(C15,'[1]TB-Jun-24'!A:F,6,FALSE),0)</f>
        <v>0</v>
      </c>
      <c r="O15" s="35">
        <f>IFERROR(VLOOKUP(C15,'[1]TB-Jun-24'!I:N,6,FALSE),0)</f>
        <v>0</v>
      </c>
      <c r="Q15" s="35" t="s">
        <v>937</v>
      </c>
    </row>
    <row r="16" hidden="1" spans="2:17">
      <c r="B16" s="35">
        <f t="shared" si="1"/>
        <v>12</v>
      </c>
      <c r="C16" s="43" t="s">
        <v>949</v>
      </c>
      <c r="D16" s="43" t="s">
        <v>935</v>
      </c>
      <c r="E16" s="44" t="s">
        <v>478</v>
      </c>
      <c r="F16" s="44" t="s">
        <v>936</v>
      </c>
      <c r="G16" s="44" t="s">
        <v>478</v>
      </c>
      <c r="H16" s="44" t="s">
        <v>937</v>
      </c>
      <c r="I16" s="44" t="s">
        <v>309</v>
      </c>
      <c r="J16" s="44"/>
      <c r="K16" s="56">
        <f>SUMIF('TB-Jan-25'!$A$12:$A$167,'Working-Jan-25'!C16,'TB-Jan-25'!$E$12:$E$167)</f>
        <v>0</v>
      </c>
      <c r="L16" s="56">
        <f>SUMIF('TB-Jan-25'!I:I,C16,'TB-Jan-25'!M:M)</f>
        <v>0</v>
      </c>
      <c r="M16" s="56">
        <f t="shared" si="0"/>
        <v>0</v>
      </c>
      <c r="N16" s="57">
        <f>IFERROR(VLOOKUP(C16,'[1]TB-Jun-24'!A:F,6,FALSE),0)</f>
        <v>0</v>
      </c>
      <c r="O16" s="35">
        <f>IFERROR(VLOOKUP(C16,'[1]TB-Jun-24'!I:N,6,FALSE),0)</f>
        <v>0</v>
      </c>
      <c r="Q16" s="35" t="s">
        <v>937</v>
      </c>
    </row>
    <row r="17" hidden="1" spans="2:17">
      <c r="B17" s="35">
        <f t="shared" si="1"/>
        <v>13</v>
      </c>
      <c r="C17" s="43" t="s">
        <v>950</v>
      </c>
      <c r="D17" s="43" t="s">
        <v>935</v>
      </c>
      <c r="E17" s="44" t="s">
        <v>478</v>
      </c>
      <c r="F17" s="44" t="s">
        <v>936</v>
      </c>
      <c r="G17" s="44" t="s">
        <v>478</v>
      </c>
      <c r="H17" s="44" t="s">
        <v>937</v>
      </c>
      <c r="I17" s="44" t="s">
        <v>309</v>
      </c>
      <c r="J17" s="44"/>
      <c r="K17" s="56">
        <f>SUMIF('TB-Jan-25'!$A$12:$A$167,'Working-Jan-25'!C17,'TB-Jan-25'!$E$12:$E$167)</f>
        <v>0</v>
      </c>
      <c r="L17" s="56">
        <f>SUMIF('TB-Jan-25'!I:I,C17,'TB-Jan-25'!M:M)</f>
        <v>0</v>
      </c>
      <c r="M17" s="56">
        <f t="shared" si="0"/>
        <v>0</v>
      </c>
      <c r="N17" s="57">
        <f>IFERROR(VLOOKUP(C17,'[1]TB-Jun-24'!A:F,6,FALSE),0)</f>
        <v>0</v>
      </c>
      <c r="O17" s="35">
        <f>IFERROR(VLOOKUP(C17,'[1]TB-Jun-24'!I:N,6,FALSE),0)</f>
        <v>0</v>
      </c>
      <c r="Q17" s="35" t="s">
        <v>937</v>
      </c>
    </row>
    <row r="18" hidden="1" spans="2:17">
      <c r="B18" s="35">
        <f t="shared" si="1"/>
        <v>14</v>
      </c>
      <c r="C18" s="43" t="s">
        <v>951</v>
      </c>
      <c r="D18" s="43" t="s">
        <v>935</v>
      </c>
      <c r="E18" s="44" t="s">
        <v>485</v>
      </c>
      <c r="F18" s="44" t="s">
        <v>936</v>
      </c>
      <c r="G18" s="44" t="s">
        <v>535</v>
      </c>
      <c r="H18" s="44" t="s">
        <v>937</v>
      </c>
      <c r="I18" s="44" t="s">
        <v>309</v>
      </c>
      <c r="J18" s="44"/>
      <c r="K18" s="56">
        <f>SUMIF('TB-Jan-25'!$A$12:$A$167,'Working-Jan-25'!C18,'TB-Jan-25'!$E$12:$E$167)</f>
        <v>0</v>
      </c>
      <c r="L18" s="56">
        <f>SUMIF('TB-Jan-25'!I:I,C18,'TB-Jan-25'!M:M)</f>
        <v>0</v>
      </c>
      <c r="M18" s="56">
        <f t="shared" si="0"/>
        <v>0</v>
      </c>
      <c r="N18" s="57">
        <f>IFERROR(VLOOKUP(C18,'[1]TB-Jun-24'!A:F,6,FALSE),0)</f>
        <v>0</v>
      </c>
      <c r="O18" s="35">
        <f>IFERROR(VLOOKUP(C18,'[1]TB-Jun-24'!I:N,6,FALSE),0)</f>
        <v>0</v>
      </c>
      <c r="Q18" s="35" t="s">
        <v>937</v>
      </c>
    </row>
    <row r="19" hidden="1" spans="2:17">
      <c r="B19" s="35">
        <f t="shared" si="1"/>
        <v>15</v>
      </c>
      <c r="C19" s="43" t="s">
        <v>952</v>
      </c>
      <c r="D19" s="43" t="s">
        <v>935</v>
      </c>
      <c r="E19" s="44" t="s">
        <v>485</v>
      </c>
      <c r="F19" s="44" t="s">
        <v>936</v>
      </c>
      <c r="G19" s="44" t="s">
        <v>535</v>
      </c>
      <c r="H19" s="44" t="s">
        <v>937</v>
      </c>
      <c r="I19" s="44" t="s">
        <v>309</v>
      </c>
      <c r="J19" s="44"/>
      <c r="K19" s="56">
        <f>SUMIF('TB-Jan-25'!$A$12:$A$167,'Working-Jan-25'!C19,'TB-Jan-25'!$E$12:$E$167)</f>
        <v>0</v>
      </c>
      <c r="L19" s="56">
        <f>SUMIF('TB-Jan-25'!I:I,C19,'TB-Jan-25'!M:M)</f>
        <v>0</v>
      </c>
      <c r="M19" s="56">
        <f t="shared" si="0"/>
        <v>0</v>
      </c>
      <c r="N19" s="57">
        <f>IFERROR(VLOOKUP(C19,'[1]TB-Jun-24'!A:F,6,FALSE),0)</f>
        <v>0</v>
      </c>
      <c r="O19" s="35">
        <f>IFERROR(VLOOKUP(C19,'[1]TB-Jun-24'!I:N,6,FALSE),0)</f>
        <v>0</v>
      </c>
      <c r="Q19" s="35" t="s">
        <v>937</v>
      </c>
    </row>
    <row r="20" hidden="1" spans="2:17">
      <c r="B20" s="35">
        <f t="shared" si="1"/>
        <v>16</v>
      </c>
      <c r="C20" s="43" t="s">
        <v>679</v>
      </c>
      <c r="D20" s="43" t="s">
        <v>939</v>
      </c>
      <c r="E20" s="44" t="s">
        <v>953</v>
      </c>
      <c r="F20" s="44" t="s">
        <v>936</v>
      </c>
      <c r="G20" s="44" t="s">
        <v>517</v>
      </c>
      <c r="H20" s="44" t="s">
        <v>937</v>
      </c>
      <c r="I20" s="44" t="s">
        <v>309</v>
      </c>
      <c r="J20" s="44"/>
      <c r="K20" s="56">
        <f>SUMIF('TB-Jan-25'!$A$12:$A$167,'Working-Jan-25'!C20,'TB-Jan-25'!$E$12:$E$167)</f>
        <v>20000</v>
      </c>
      <c r="L20" s="56">
        <f>SUMIF('TB-Jan-25'!I:I,C20,'TB-Jan-25'!M:M)</f>
        <v>0</v>
      </c>
      <c r="M20" s="56">
        <f t="shared" si="0"/>
        <v>20000</v>
      </c>
      <c r="N20" s="57" t="e">
        <f>SUMIF([6]Final!$B:$B,C20,[6]Final!$F:$F)-M20</f>
        <v>#VALUE!</v>
      </c>
      <c r="O20" s="35">
        <f>IFERROR(VLOOKUP(C20,'[1]TB-Jun-24'!I:N,6,FALSE),0)</f>
        <v>0</v>
      </c>
      <c r="Q20" s="35" t="s">
        <v>937</v>
      </c>
    </row>
    <row r="21" hidden="1" spans="2:17">
      <c r="B21" s="35">
        <f t="shared" si="1"/>
        <v>17</v>
      </c>
      <c r="C21" s="43" t="s">
        <v>954</v>
      </c>
      <c r="D21" s="43" t="s">
        <v>939</v>
      </c>
      <c r="E21" s="44" t="s">
        <v>955</v>
      </c>
      <c r="F21" s="44" t="s">
        <v>936</v>
      </c>
      <c r="G21" s="44" t="s">
        <v>585</v>
      </c>
      <c r="H21" s="44" t="s">
        <v>937</v>
      </c>
      <c r="I21" s="44" t="s">
        <v>309</v>
      </c>
      <c r="J21" s="44"/>
      <c r="K21" s="56">
        <f>SUMIF('TB-Jan-25'!$A$12:$A$167,'Working-Jan-25'!C21,'TB-Jan-25'!$E$12:$E$167)</f>
        <v>0</v>
      </c>
      <c r="L21" s="56">
        <f>SUMIF('TB-Jan-25'!I:I,C21,'TB-Jan-25'!M:M)</f>
        <v>0</v>
      </c>
      <c r="M21" s="56">
        <f t="shared" si="0"/>
        <v>0</v>
      </c>
      <c r="N21" s="57">
        <f>IFERROR(VLOOKUP(C21,'[1]TB-Jun-24'!A:F,6,FALSE),0)</f>
        <v>0</v>
      </c>
      <c r="O21" s="35">
        <f>IFERROR(VLOOKUP(C21,'[1]TB-Jun-24'!I:N,6,FALSE),0)</f>
        <v>0</v>
      </c>
      <c r="Q21" s="35" t="s">
        <v>937</v>
      </c>
    </row>
    <row r="22" hidden="1" spans="2:17">
      <c r="B22" s="35">
        <f t="shared" si="1"/>
        <v>18</v>
      </c>
      <c r="C22" s="43" t="s">
        <v>956</v>
      </c>
      <c r="D22" s="43" t="s">
        <v>939</v>
      </c>
      <c r="E22" s="44" t="s">
        <v>957</v>
      </c>
      <c r="F22" s="44" t="s">
        <v>936</v>
      </c>
      <c r="G22" s="44" t="s">
        <v>574</v>
      </c>
      <c r="H22" s="44" t="s">
        <v>120</v>
      </c>
      <c r="I22" s="44" t="s">
        <v>309</v>
      </c>
      <c r="J22" s="44"/>
      <c r="K22" s="56">
        <f>SUMIF('TB-Jan-25'!$A$12:$A$167,'Working-Jan-25'!C22,'TB-Jan-25'!$E$12:$E$167)</f>
        <v>0</v>
      </c>
      <c r="L22" s="56">
        <f>SUMIF('TB-Jan-25'!I:I,C22,'TB-Jan-25'!M:M)</f>
        <v>0</v>
      </c>
      <c r="M22" s="56">
        <f t="shared" si="0"/>
        <v>0</v>
      </c>
      <c r="N22" s="57">
        <f>IFERROR(VLOOKUP(C22,'[1]TB-Jun-24'!A:F,6,FALSE),0)</f>
        <v>0</v>
      </c>
      <c r="O22" s="35">
        <f>IFERROR(VLOOKUP(C22,'[1]TB-Jun-24'!I:N,6,FALSE),0)</f>
        <v>0</v>
      </c>
      <c r="Q22" s="35" t="s">
        <v>937</v>
      </c>
    </row>
    <row r="23" hidden="1" spans="2:17">
      <c r="B23" s="35">
        <f t="shared" si="1"/>
        <v>19</v>
      </c>
      <c r="C23" s="43" t="s">
        <v>680</v>
      </c>
      <c r="D23" s="43" t="s">
        <v>935</v>
      </c>
      <c r="E23" s="44" t="s">
        <v>958</v>
      </c>
      <c r="F23" s="44" t="s">
        <v>936</v>
      </c>
      <c r="G23" s="45" t="s">
        <v>959</v>
      </c>
      <c r="H23" s="44" t="s">
        <v>120</v>
      </c>
      <c r="I23" s="44" t="s">
        <v>309</v>
      </c>
      <c r="J23" s="44" t="s">
        <v>960</v>
      </c>
      <c r="K23" s="56">
        <f>SUMIF('TB-Jan-25'!$A$12:$A$167,'Working-Jan-25'!C23,'TB-Jan-25'!$E$12:$E$167)</f>
        <v>0</v>
      </c>
      <c r="L23" s="56">
        <f>SUMIF('TB-Jan-25'!I:I,C23,'TB-Jan-25'!M:M)</f>
        <v>65500</v>
      </c>
      <c r="M23" s="56">
        <f t="shared" si="0"/>
        <v>65500</v>
      </c>
      <c r="N23" s="57" t="e">
        <f>SUMIF([6]Final!$B:$B,C23,[6]Final!$F:$F)-M23</f>
        <v>#VALUE!</v>
      </c>
      <c r="O23" s="35">
        <f>IFERROR(VLOOKUP(C23,'[1]TB-Jun-24'!I:N,6,FALSE),0)</f>
        <v>0</v>
      </c>
      <c r="Q23" s="35" t="s">
        <v>120</v>
      </c>
    </row>
    <row r="24" hidden="1" spans="2:17">
      <c r="B24" s="35">
        <f t="shared" si="1"/>
        <v>20</v>
      </c>
      <c r="C24" s="43" t="s">
        <v>961</v>
      </c>
      <c r="D24" s="43" t="s">
        <v>939</v>
      </c>
      <c r="E24" s="44" t="s">
        <v>962</v>
      </c>
      <c r="F24" s="44" t="s">
        <v>936</v>
      </c>
      <c r="G24" s="44" t="s">
        <v>520</v>
      </c>
      <c r="H24" s="44" t="s">
        <v>937</v>
      </c>
      <c r="I24" s="44" t="s">
        <v>309</v>
      </c>
      <c r="J24" s="44"/>
      <c r="K24" s="56">
        <f>SUMIF('TB-Jan-25'!$A$12:$A$167,'Working-Jan-25'!C24,'TB-Jan-25'!$E$12:$E$167)</f>
        <v>0</v>
      </c>
      <c r="L24" s="56">
        <f>SUMIF('TB-Jan-25'!I:I,C24,'TB-Jan-25'!M:M)</f>
        <v>0</v>
      </c>
      <c r="M24" s="56">
        <f t="shared" si="0"/>
        <v>0</v>
      </c>
      <c r="N24" s="57">
        <f>IFERROR(VLOOKUP(C24,'[1]TB-Jun-24'!A:F,6,FALSE),0)</f>
        <v>0</v>
      </c>
      <c r="O24" s="35">
        <f>IFERROR(VLOOKUP(C24,'[1]TB-Jun-24'!I:N,6,FALSE),0)</f>
        <v>0</v>
      </c>
      <c r="Q24" s="35" t="s">
        <v>937</v>
      </c>
    </row>
    <row r="25" hidden="1" spans="2:17">
      <c r="B25" s="35">
        <f t="shared" si="1"/>
        <v>21</v>
      </c>
      <c r="C25" s="43" t="s">
        <v>682</v>
      </c>
      <c r="D25" s="43" t="s">
        <v>939</v>
      </c>
      <c r="E25" s="44" t="s">
        <v>963</v>
      </c>
      <c r="F25" s="44" t="s">
        <v>936</v>
      </c>
      <c r="G25" s="44" t="s">
        <v>548</v>
      </c>
      <c r="H25" s="44" t="s">
        <v>937</v>
      </c>
      <c r="I25" s="44" t="s">
        <v>309</v>
      </c>
      <c r="J25" s="44"/>
      <c r="K25" s="56">
        <f>SUMIF('TB-Jan-25'!$A$12:$A$167,'Working-Jan-25'!C25,'TB-Jan-25'!$E$12:$E$167)</f>
        <v>150</v>
      </c>
      <c r="L25" s="56">
        <f>SUMIF('TB-Jan-25'!I:I,C25,'TB-Jan-25'!M:M)</f>
        <v>0</v>
      </c>
      <c r="M25" s="56">
        <f t="shared" si="0"/>
        <v>150</v>
      </c>
      <c r="N25" s="57" t="e">
        <f>SUMIF([6]Final!$B:$B,C25,[6]Final!$F:$F)-M25</f>
        <v>#VALUE!</v>
      </c>
      <c r="O25" s="35">
        <f>IFERROR(VLOOKUP(C25,'[1]TB-Jun-24'!I:N,6,FALSE),0)</f>
        <v>0</v>
      </c>
      <c r="Q25" s="35" t="s">
        <v>937</v>
      </c>
    </row>
    <row r="26" hidden="1" spans="2:17">
      <c r="B26" s="35">
        <f t="shared" si="1"/>
        <v>22</v>
      </c>
      <c r="C26" s="43" t="s">
        <v>683</v>
      </c>
      <c r="D26" s="43" t="s">
        <v>939</v>
      </c>
      <c r="E26" s="44" t="s">
        <v>964</v>
      </c>
      <c r="F26" s="44" t="s">
        <v>936</v>
      </c>
      <c r="G26" s="44" t="s">
        <v>494</v>
      </c>
      <c r="H26" s="44" t="s">
        <v>937</v>
      </c>
      <c r="I26" s="44" t="s">
        <v>309</v>
      </c>
      <c r="J26" s="44"/>
      <c r="K26" s="56">
        <f>SUMIF('TB-Jan-25'!$A$12:$A$167,'Working-Jan-25'!C26,'TB-Jan-25'!$E$12:$E$167)</f>
        <v>81700</v>
      </c>
      <c r="L26" s="56">
        <f>SUMIF('TB-Jan-25'!I:I,C26,'TB-Jan-25'!M:M)</f>
        <v>17000</v>
      </c>
      <c r="M26" s="56">
        <f t="shared" si="0"/>
        <v>98700</v>
      </c>
      <c r="N26" s="57" t="e">
        <f>SUMIF([6]Final!$B:$B,C26,[6]Final!$F:$F)-M26</f>
        <v>#VALUE!</v>
      </c>
      <c r="O26" s="35">
        <f>IFERROR(VLOOKUP(C26,'[1]TB-Jun-24'!I:N,6,FALSE),0)</f>
        <v>0</v>
      </c>
      <c r="Q26" s="35" t="s">
        <v>937</v>
      </c>
    </row>
    <row r="27" hidden="1" spans="2:17">
      <c r="B27" s="35">
        <f t="shared" si="1"/>
        <v>23</v>
      </c>
      <c r="C27" s="43" t="s">
        <v>965</v>
      </c>
      <c r="D27" s="43" t="s">
        <v>939</v>
      </c>
      <c r="E27" s="44" t="s">
        <v>966</v>
      </c>
      <c r="F27" s="44" t="s">
        <v>936</v>
      </c>
      <c r="G27" s="44" t="s">
        <v>483</v>
      </c>
      <c r="H27" s="44" t="s">
        <v>937</v>
      </c>
      <c r="I27" s="44" t="s">
        <v>309</v>
      </c>
      <c r="J27" s="44"/>
      <c r="K27" s="56">
        <f>SUMIF('TB-Jan-25'!$A$12:$A$167,'Working-Jan-25'!C27,'TB-Jan-25'!$E$12:$E$167)</f>
        <v>0</v>
      </c>
      <c r="L27" s="56">
        <f>SUMIF('TB-Jan-25'!I:I,C27,'TB-Jan-25'!M:M)</f>
        <v>0</v>
      </c>
      <c r="M27" s="56">
        <f t="shared" si="0"/>
        <v>0</v>
      </c>
      <c r="N27" s="57">
        <f>IFERROR(VLOOKUP(C27,'[1]TB-Jun-24'!A:F,6,FALSE),0)</f>
        <v>0</v>
      </c>
      <c r="O27" s="35">
        <f>IFERROR(VLOOKUP(C27,'[1]TB-Jun-24'!I:N,6,FALSE),0)</f>
        <v>0</v>
      </c>
      <c r="Q27" s="35" t="s">
        <v>937</v>
      </c>
    </row>
    <row r="28" hidden="1" spans="2:17">
      <c r="B28" s="35">
        <f t="shared" si="1"/>
        <v>24</v>
      </c>
      <c r="C28" s="43" t="s">
        <v>967</v>
      </c>
      <c r="D28" s="43" t="s">
        <v>939</v>
      </c>
      <c r="E28" s="44" t="s">
        <v>966</v>
      </c>
      <c r="F28" s="44" t="s">
        <v>936</v>
      </c>
      <c r="G28" s="44" t="s">
        <v>483</v>
      </c>
      <c r="H28" s="44" t="s">
        <v>937</v>
      </c>
      <c r="I28" s="44" t="s">
        <v>309</v>
      </c>
      <c r="J28" s="44"/>
      <c r="K28" s="56">
        <f>SUMIF('TB-Jan-25'!$A$12:$A$167,'Working-Jan-25'!C28,'TB-Jan-25'!$E$12:$E$167)</f>
        <v>0</v>
      </c>
      <c r="L28" s="56">
        <f>SUMIF('TB-Jan-25'!I:I,C28,'TB-Jan-25'!M:M)</f>
        <v>0</v>
      </c>
      <c r="M28" s="56">
        <f t="shared" si="0"/>
        <v>0</v>
      </c>
      <c r="N28" s="57">
        <f>IFERROR(VLOOKUP(C28,'[1]TB-Jun-24'!A:F,6,FALSE),0)</f>
        <v>0</v>
      </c>
      <c r="O28" s="35">
        <f>IFERROR(VLOOKUP(C28,'[1]TB-Jun-24'!I:N,6,FALSE),0)</f>
        <v>0</v>
      </c>
      <c r="Q28" s="35" t="s">
        <v>937</v>
      </c>
    </row>
    <row r="29" hidden="1" spans="2:14">
      <c r="B29" s="35">
        <f>B28+1</f>
        <v>25</v>
      </c>
      <c r="C29" s="43" t="s">
        <v>695</v>
      </c>
      <c r="D29" s="43" t="s">
        <v>939</v>
      </c>
      <c r="E29" s="44" t="s">
        <v>966</v>
      </c>
      <c r="F29" s="44" t="s">
        <v>936</v>
      </c>
      <c r="G29" s="44" t="s">
        <v>483</v>
      </c>
      <c r="H29" s="44" t="s">
        <v>937</v>
      </c>
      <c r="I29" s="44" t="s">
        <v>309</v>
      </c>
      <c r="J29" s="44"/>
      <c r="K29" s="56">
        <f>SUMIF('TB-Jan-25'!$A$12:$A$167,'Working-Jan-25'!C29,'TB-Jan-25'!$E$12:$E$167)</f>
        <v>0</v>
      </c>
      <c r="L29" s="56">
        <f>SUMIF('TB-Jan-25'!I:I,C29,'TB-Jan-25'!M:M)</f>
        <v>247242</v>
      </c>
      <c r="M29" s="56">
        <f t="shared" si="0"/>
        <v>247242</v>
      </c>
      <c r="N29" s="57" t="e">
        <f>SUMIF([6]Final!$B:$B,C29,[6]Final!$F:$F)-M29</f>
        <v>#VALUE!</v>
      </c>
    </row>
    <row r="30" hidden="1" spans="2:17">
      <c r="B30" s="35">
        <f>B29+1</f>
        <v>26</v>
      </c>
      <c r="C30" s="43" t="s">
        <v>968</v>
      </c>
      <c r="D30" s="43" t="s">
        <v>939</v>
      </c>
      <c r="E30" s="44" t="s">
        <v>966</v>
      </c>
      <c r="F30" s="44" t="s">
        <v>936</v>
      </c>
      <c r="G30" s="44" t="s">
        <v>483</v>
      </c>
      <c r="H30" s="44" t="s">
        <v>937</v>
      </c>
      <c r="I30" s="44" t="s">
        <v>309</v>
      </c>
      <c r="J30" s="44"/>
      <c r="K30" s="56">
        <f>SUMIF('TB-Jan-25'!$A$12:$A$167,'Working-Jan-25'!C30,'TB-Jan-25'!$E$12:$E$167)</f>
        <v>0</v>
      </c>
      <c r="L30" s="56">
        <f>SUMIF('TB-Jan-25'!I:I,C30,'TB-Jan-25'!M:M)</f>
        <v>0</v>
      </c>
      <c r="M30" s="56">
        <f t="shared" si="0"/>
        <v>0</v>
      </c>
      <c r="N30" s="57">
        <f>IFERROR(VLOOKUP(C30,'[1]TB-Jun-24'!A:F,6,FALSE),0)</f>
        <v>0</v>
      </c>
      <c r="O30" s="35">
        <f>IFERROR(VLOOKUP(C30,'[1]TB-Jun-24'!I:N,6,FALSE),0)</f>
        <v>0</v>
      </c>
      <c r="Q30" s="35" t="s">
        <v>937</v>
      </c>
    </row>
    <row r="31" hidden="1" spans="2:17">
      <c r="B31" s="35">
        <f t="shared" si="1"/>
        <v>27</v>
      </c>
      <c r="C31" s="43" t="s">
        <v>969</v>
      </c>
      <c r="D31" s="43" t="s">
        <v>939</v>
      </c>
      <c r="E31" s="44" t="s">
        <v>970</v>
      </c>
      <c r="F31" s="44" t="s">
        <v>936</v>
      </c>
      <c r="G31" s="44" t="s">
        <v>502</v>
      </c>
      <c r="H31" s="44" t="s">
        <v>937</v>
      </c>
      <c r="I31" s="44" t="s">
        <v>309</v>
      </c>
      <c r="J31" s="44"/>
      <c r="K31" s="56">
        <f>SUMIF('TB-Jan-25'!$A$12:$A$167,'Working-Jan-25'!C31,'TB-Jan-25'!$E$12:$E$167)</f>
        <v>0</v>
      </c>
      <c r="L31" s="56">
        <f>SUMIF('TB-Jan-25'!I:I,C31,'TB-Jan-25'!M:M)</f>
        <v>0</v>
      </c>
      <c r="M31" s="56">
        <f t="shared" si="0"/>
        <v>0</v>
      </c>
      <c r="N31" s="57">
        <f>IFERROR(VLOOKUP(C31,'[1]TB-Jun-24'!A:F,6,FALSE),0)</f>
        <v>0</v>
      </c>
      <c r="O31" s="35">
        <f>IFERROR(VLOOKUP(C31,'[1]TB-Jun-24'!I:N,6,FALSE),0)</f>
        <v>0</v>
      </c>
      <c r="Q31" s="35" t="s">
        <v>937</v>
      </c>
    </row>
    <row r="32" hidden="1" spans="2:17">
      <c r="B32" s="35">
        <f t="shared" si="1"/>
        <v>28</v>
      </c>
      <c r="C32" s="43" t="s">
        <v>971</v>
      </c>
      <c r="D32" s="43" t="s">
        <v>939</v>
      </c>
      <c r="E32" s="44" t="s">
        <v>970</v>
      </c>
      <c r="F32" s="44" t="s">
        <v>936</v>
      </c>
      <c r="G32" s="44" t="s">
        <v>502</v>
      </c>
      <c r="H32" s="44" t="s">
        <v>937</v>
      </c>
      <c r="I32" s="44" t="s">
        <v>309</v>
      </c>
      <c r="J32" s="44"/>
      <c r="K32" s="56">
        <f>SUMIF('TB-Jan-25'!$A$12:$A$167,'Working-Jan-25'!C32,'TB-Jan-25'!$E$12:$E$167)</f>
        <v>0</v>
      </c>
      <c r="L32" s="56">
        <f>SUMIF('TB-Jan-25'!I:I,C32,'TB-Jan-25'!M:M)</f>
        <v>0</v>
      </c>
      <c r="M32" s="56">
        <f t="shared" si="0"/>
        <v>0</v>
      </c>
      <c r="N32" s="57">
        <f>IFERROR(VLOOKUP(C32,'[1]TB-Jun-24'!A:F,6,FALSE),0)</f>
        <v>0</v>
      </c>
      <c r="O32" s="35">
        <f>IFERROR(VLOOKUP(C32,'[1]TB-Jun-24'!I:N,6,FALSE),0)</f>
        <v>0</v>
      </c>
      <c r="Q32" s="35" t="s">
        <v>937</v>
      </c>
    </row>
    <row r="33" hidden="1" spans="2:17">
      <c r="B33" s="35">
        <f t="shared" si="1"/>
        <v>29</v>
      </c>
      <c r="C33" s="43" t="s">
        <v>685</v>
      </c>
      <c r="D33" s="43" t="s">
        <v>939</v>
      </c>
      <c r="E33" s="44" t="s">
        <v>972</v>
      </c>
      <c r="F33" s="44" t="s">
        <v>936</v>
      </c>
      <c r="G33" s="45" t="s">
        <v>512</v>
      </c>
      <c r="H33" s="44" t="s">
        <v>937</v>
      </c>
      <c r="I33" s="44" t="s">
        <v>309</v>
      </c>
      <c r="J33" s="44"/>
      <c r="K33" s="56">
        <f>SUMIF('TB-Jan-25'!$A$12:$A$167,'Working-Jan-25'!C33,'TB-Jan-25'!$E$12:$E$167)</f>
        <v>1500</v>
      </c>
      <c r="L33" s="56">
        <f>SUMIF('TB-Jan-25'!I:I,C33,'TB-Jan-25'!M:M)</f>
        <v>0</v>
      </c>
      <c r="M33" s="56">
        <f t="shared" si="0"/>
        <v>1500</v>
      </c>
      <c r="N33" s="57" t="e">
        <f>SUMIF([6]Final!$B:$B,C33,[6]Final!$F:$F)-M33</f>
        <v>#VALUE!</v>
      </c>
      <c r="O33" s="35">
        <f>IFERROR(VLOOKUP(C33,'[1]TB-Jun-24'!I:N,6,FALSE),0)</f>
        <v>0</v>
      </c>
      <c r="Q33" s="35" t="s">
        <v>937</v>
      </c>
    </row>
    <row r="34" hidden="1" spans="2:17">
      <c r="B34" s="35">
        <f t="shared" si="1"/>
        <v>30</v>
      </c>
      <c r="C34" s="43" t="s">
        <v>973</v>
      </c>
      <c r="D34" s="43" t="s">
        <v>939</v>
      </c>
      <c r="E34" s="44" t="s">
        <v>972</v>
      </c>
      <c r="F34" s="44" t="s">
        <v>936</v>
      </c>
      <c r="G34" s="45" t="s">
        <v>526</v>
      </c>
      <c r="H34" s="44" t="s">
        <v>937</v>
      </c>
      <c r="I34" s="44" t="s">
        <v>309</v>
      </c>
      <c r="J34" s="44"/>
      <c r="K34" s="56">
        <f>SUMIF('TB-Jan-25'!$A$12:$A$167,'Working-Jan-25'!C34,'TB-Jan-25'!$E$12:$E$167)</f>
        <v>0</v>
      </c>
      <c r="L34" s="56">
        <f>SUMIF('TB-Jan-25'!I:I,C34,'TB-Jan-25'!M:M)</f>
        <v>0</v>
      </c>
      <c r="M34" s="56">
        <f t="shared" si="0"/>
        <v>0</v>
      </c>
      <c r="N34" s="57">
        <f>IFERROR(VLOOKUP(C34,'[1]TB-Jun-24'!A:F,6,FALSE),0)</f>
        <v>0</v>
      </c>
      <c r="O34" s="35">
        <f>IFERROR(VLOOKUP(C34,'[1]TB-Jun-24'!I:N,6,FALSE),0)</f>
        <v>0</v>
      </c>
      <c r="Q34" s="35" t="s">
        <v>937</v>
      </c>
    </row>
    <row r="35" hidden="1" spans="2:17">
      <c r="B35" s="35">
        <f t="shared" si="1"/>
        <v>31</v>
      </c>
      <c r="C35" s="43" t="s">
        <v>974</v>
      </c>
      <c r="D35" s="43" t="s">
        <v>935</v>
      </c>
      <c r="E35" s="44" t="s">
        <v>975</v>
      </c>
      <c r="F35" s="44" t="s">
        <v>936</v>
      </c>
      <c r="G35" s="44" t="s">
        <v>474</v>
      </c>
      <c r="H35" s="44" t="s">
        <v>937</v>
      </c>
      <c r="I35" s="44" t="s">
        <v>309</v>
      </c>
      <c r="J35" s="44"/>
      <c r="K35" s="56">
        <f>SUMIF('TB-Jan-25'!$A$12:$A$167,'Working-Jan-25'!C35,'TB-Jan-25'!$E$12:$E$167)</f>
        <v>0</v>
      </c>
      <c r="L35" s="56">
        <f>SUMIF('TB-Jan-25'!I:I,C35,'TB-Jan-25'!M:M)</f>
        <v>0</v>
      </c>
      <c r="M35" s="56">
        <f t="shared" si="0"/>
        <v>0</v>
      </c>
      <c r="N35" s="57">
        <f>IFERROR(VLOOKUP(C35,'[1]TB-Jun-24'!A:F,6,FALSE),0)</f>
        <v>0</v>
      </c>
      <c r="O35" s="35">
        <f>IFERROR(VLOOKUP(C35,'[1]TB-Jun-24'!I:N,6,FALSE),0)</f>
        <v>0</v>
      </c>
      <c r="Q35" s="35" t="s">
        <v>937</v>
      </c>
    </row>
    <row r="36" hidden="1" spans="2:17">
      <c r="B36" s="35">
        <f t="shared" si="1"/>
        <v>32</v>
      </c>
      <c r="C36" s="43" t="s">
        <v>976</v>
      </c>
      <c r="D36" s="43" t="s">
        <v>939</v>
      </c>
      <c r="E36" s="44" t="s">
        <v>977</v>
      </c>
      <c r="F36" s="44" t="s">
        <v>936</v>
      </c>
      <c r="G36" s="44" t="s">
        <v>483</v>
      </c>
      <c r="H36" s="44" t="s">
        <v>33</v>
      </c>
      <c r="I36" s="44" t="s">
        <v>309</v>
      </c>
      <c r="J36" s="44"/>
      <c r="K36" s="56">
        <f>SUMIF('TB-Jan-25'!$A$12:$A$167,'Working-Jan-25'!C36,'TB-Jan-25'!$E$12:$E$167)</f>
        <v>0</v>
      </c>
      <c r="L36" s="56">
        <f>SUMIF('TB-Jan-25'!I:I,C36,'TB-Jan-25'!M:M)</f>
        <v>0</v>
      </c>
      <c r="M36" s="56">
        <f t="shared" si="0"/>
        <v>0</v>
      </c>
      <c r="N36" s="57">
        <f>IFERROR(VLOOKUP(C36,'[1]TB-Jun-24'!A:F,6,FALSE),0)</f>
        <v>0</v>
      </c>
      <c r="O36" s="35">
        <f>IFERROR(VLOOKUP(C36,'[1]TB-Jun-24'!I:N,6,FALSE),0)</f>
        <v>0</v>
      </c>
      <c r="Q36" s="35" t="s">
        <v>33</v>
      </c>
    </row>
    <row r="37" hidden="1" spans="2:17">
      <c r="B37" s="35">
        <f t="shared" si="1"/>
        <v>33</v>
      </c>
      <c r="C37" s="43" t="s">
        <v>978</v>
      </c>
      <c r="D37" s="43" t="s">
        <v>939</v>
      </c>
      <c r="E37" s="44" t="s">
        <v>979</v>
      </c>
      <c r="F37" s="44" t="s">
        <v>936</v>
      </c>
      <c r="G37" s="44" t="s">
        <v>483</v>
      </c>
      <c r="H37" s="44" t="s">
        <v>33</v>
      </c>
      <c r="I37" s="44" t="s">
        <v>309</v>
      </c>
      <c r="J37" s="44"/>
      <c r="K37" s="56">
        <f>SUMIF('TB-Jan-25'!$A$12:$A$167,'Working-Jan-25'!C37,'TB-Jan-25'!$E$12:$E$167)</f>
        <v>0</v>
      </c>
      <c r="L37" s="56">
        <f>SUMIF('TB-Jan-25'!I:I,C37,'TB-Jan-25'!M:M)</f>
        <v>0</v>
      </c>
      <c r="M37" s="56">
        <f t="shared" si="0"/>
        <v>0</v>
      </c>
      <c r="N37" s="57">
        <f>IFERROR(VLOOKUP(C37,'[1]TB-Jun-24'!A:F,6,FALSE),0)</f>
        <v>0</v>
      </c>
      <c r="O37" s="35">
        <f>IFERROR(VLOOKUP(C37,'[1]TB-Jun-24'!I:N,6,FALSE),0)</f>
        <v>0</v>
      </c>
      <c r="Q37" s="35" t="s">
        <v>33</v>
      </c>
    </row>
    <row r="38" hidden="1" spans="2:17">
      <c r="B38" s="35">
        <f t="shared" si="1"/>
        <v>34</v>
      </c>
      <c r="C38" s="43" t="s">
        <v>684</v>
      </c>
      <c r="D38" s="43" t="s">
        <v>939</v>
      </c>
      <c r="E38" s="44" t="s">
        <v>980</v>
      </c>
      <c r="F38" s="44" t="s">
        <v>936</v>
      </c>
      <c r="G38" s="44" t="s">
        <v>497</v>
      </c>
      <c r="H38" s="44" t="s">
        <v>937</v>
      </c>
      <c r="I38" s="44" t="s">
        <v>309</v>
      </c>
      <c r="J38" s="44"/>
      <c r="K38" s="56">
        <f>SUMIF('TB-Jan-25'!$A$12:$A$167,'Working-Jan-25'!C38,'TB-Jan-25'!$E$12:$E$167)</f>
        <v>0</v>
      </c>
      <c r="L38" s="56">
        <f>SUMIF('TB-Jan-25'!I:I,C38,'TB-Jan-25'!M:M)</f>
        <v>22900</v>
      </c>
      <c r="M38" s="56">
        <f t="shared" si="0"/>
        <v>22900</v>
      </c>
      <c r="N38" s="57" t="e">
        <f>SUMIF([6]Final!$B:$B,C38,[6]Final!$F:$F)-M38</f>
        <v>#VALUE!</v>
      </c>
      <c r="O38" s="35">
        <f>IFERROR(VLOOKUP(C38,'[1]TB-Jun-24'!I:N,6,FALSE),0)</f>
        <v>0</v>
      </c>
      <c r="Q38" s="35" t="s">
        <v>937</v>
      </c>
    </row>
    <row r="39" hidden="1" spans="2:17">
      <c r="B39" s="35">
        <f t="shared" si="1"/>
        <v>35</v>
      </c>
      <c r="C39" s="43" t="s">
        <v>981</v>
      </c>
      <c r="D39" s="43" t="s">
        <v>939</v>
      </c>
      <c r="E39" s="44" t="s">
        <v>982</v>
      </c>
      <c r="F39" s="44" t="s">
        <v>936</v>
      </c>
      <c r="G39" s="44" t="s">
        <v>497</v>
      </c>
      <c r="H39" s="44" t="s">
        <v>937</v>
      </c>
      <c r="I39" s="44" t="s">
        <v>309</v>
      </c>
      <c r="J39" s="44"/>
      <c r="K39" s="56">
        <f>SUMIF('TB-Jan-25'!$A$12:$A$167,'Working-Jan-25'!C39,'TB-Jan-25'!$E$12:$E$167)</f>
        <v>0</v>
      </c>
      <c r="L39" s="56">
        <f>SUMIF('TB-Jan-25'!I:I,C39,'TB-Jan-25'!M:M)</f>
        <v>0</v>
      </c>
      <c r="M39" s="56">
        <f t="shared" si="0"/>
        <v>0</v>
      </c>
      <c r="N39" s="57">
        <f>IFERROR(VLOOKUP(C39,'[1]TB-Jun-24'!A:F,6,FALSE),0)</f>
        <v>0</v>
      </c>
      <c r="O39" s="35">
        <f>IFERROR(VLOOKUP(C39,'[1]TB-Jun-24'!I:N,6,FALSE),0)</f>
        <v>0</v>
      </c>
      <c r="Q39" s="35" t="s">
        <v>937</v>
      </c>
    </row>
    <row r="40" hidden="1" spans="2:17">
      <c r="B40" s="35">
        <f t="shared" si="1"/>
        <v>36</v>
      </c>
      <c r="C40" s="43" t="s">
        <v>983</v>
      </c>
      <c r="D40" s="43" t="s">
        <v>939</v>
      </c>
      <c r="E40" s="44" t="s">
        <v>972</v>
      </c>
      <c r="F40" s="44" t="s">
        <v>936</v>
      </c>
      <c r="G40" s="45" t="s">
        <v>526</v>
      </c>
      <c r="H40" s="44" t="s">
        <v>937</v>
      </c>
      <c r="I40" s="44" t="s">
        <v>309</v>
      </c>
      <c r="J40" s="44"/>
      <c r="K40" s="56">
        <f>SUMIF('TB-Jan-25'!$A$12:$A$167,'Working-Jan-25'!C40,'TB-Jan-25'!$E$12:$E$167)</f>
        <v>0</v>
      </c>
      <c r="L40" s="56">
        <f>SUMIF('TB-Jan-25'!I:I,C40,'TB-Jan-25'!M:M)</f>
        <v>0</v>
      </c>
      <c r="M40" s="56">
        <f t="shared" si="0"/>
        <v>0</v>
      </c>
      <c r="N40" s="57">
        <f>IFERROR(VLOOKUP(C40,'[1]TB-Jun-24'!A:F,6,FALSE),0)</f>
        <v>0</v>
      </c>
      <c r="O40" s="35">
        <f>IFERROR(VLOOKUP(C40,'[1]TB-Jun-24'!I:N,6,FALSE),0)</f>
        <v>0</v>
      </c>
      <c r="Q40" s="35" t="s">
        <v>937</v>
      </c>
    </row>
    <row r="41" hidden="1" spans="2:17">
      <c r="B41" s="35">
        <f t="shared" si="1"/>
        <v>37</v>
      </c>
      <c r="C41" s="43" t="s">
        <v>688</v>
      </c>
      <c r="D41" s="43" t="s">
        <v>935</v>
      </c>
      <c r="E41" s="44" t="s">
        <v>958</v>
      </c>
      <c r="F41" s="44" t="s">
        <v>936</v>
      </c>
      <c r="G41" s="45" t="s">
        <v>959</v>
      </c>
      <c r="H41" s="44" t="s">
        <v>120</v>
      </c>
      <c r="I41" s="44" t="s">
        <v>309</v>
      </c>
      <c r="J41" s="44" t="s">
        <v>960</v>
      </c>
      <c r="K41" s="56">
        <f>SUMIF('TB-Jan-25'!$A$12:$A$167,'Working-Jan-25'!C41,'TB-Jan-25'!$E$12:$E$167)</f>
        <v>0</v>
      </c>
      <c r="L41" s="56">
        <f>SUMIF('TB-Jan-25'!I:I,C41,'TB-Jan-25'!M:M)</f>
        <v>918700</v>
      </c>
      <c r="M41" s="56">
        <f t="shared" si="0"/>
        <v>918700</v>
      </c>
      <c r="N41" s="57" t="e">
        <f>SUMIF([6]Final!$B:$B,C41,[6]Final!$F:$F)-M41</f>
        <v>#VALUE!</v>
      </c>
      <c r="O41" s="35">
        <f>IFERROR(VLOOKUP(C41,'[1]TB-Jun-24'!I:N,6,FALSE),0)</f>
        <v>133600</v>
      </c>
      <c r="Q41" s="35" t="s">
        <v>120</v>
      </c>
    </row>
    <row r="42" hidden="1" spans="2:14">
      <c r="B42" s="35">
        <f>B41+1</f>
        <v>38</v>
      </c>
      <c r="C42" s="43" t="s">
        <v>721</v>
      </c>
      <c r="D42" s="43" t="s">
        <v>935</v>
      </c>
      <c r="E42" s="44" t="s">
        <v>958</v>
      </c>
      <c r="F42" s="44" t="s">
        <v>936</v>
      </c>
      <c r="G42" s="45" t="s">
        <v>959</v>
      </c>
      <c r="H42" s="44" t="s">
        <v>120</v>
      </c>
      <c r="I42" s="44" t="s">
        <v>309</v>
      </c>
      <c r="J42" s="44" t="s">
        <v>960</v>
      </c>
      <c r="K42" s="56">
        <f>SUMIF('TB-Jan-25'!$A$12:$A$167,'Working-Jan-25'!C42,'TB-Jan-25'!$E$12:$E$167)</f>
        <v>0</v>
      </c>
      <c r="L42" s="56">
        <f>SUMIF('TB-Jan-25'!I:I,C42,'TB-Jan-25'!M:M)</f>
        <v>798567</v>
      </c>
      <c r="M42" s="56">
        <f t="shared" si="0"/>
        <v>798567</v>
      </c>
      <c r="N42" s="57" t="e">
        <f>SUMIF([6]Final!$B:$B,C42,[6]Final!$F:$F)-M42</f>
        <v>#VALUE!</v>
      </c>
    </row>
    <row r="43" hidden="1" spans="2:17">
      <c r="B43" s="35">
        <f>B42+1</f>
        <v>39</v>
      </c>
      <c r="C43" s="43" t="s">
        <v>984</v>
      </c>
      <c r="D43" s="43" t="s">
        <v>935</v>
      </c>
      <c r="E43" s="44" t="s">
        <v>958</v>
      </c>
      <c r="F43" s="44" t="s">
        <v>936</v>
      </c>
      <c r="G43" s="44" t="s">
        <v>527</v>
      </c>
      <c r="H43" s="44" t="s">
        <v>937</v>
      </c>
      <c r="I43" s="44" t="s">
        <v>309</v>
      </c>
      <c r="J43" s="44"/>
      <c r="K43" s="56">
        <f>SUMIF('TB-Jan-25'!$A$12:$A$167,'Working-Jan-25'!C43,'TB-Jan-25'!$E$12:$E$167)</f>
        <v>0</v>
      </c>
      <c r="L43" s="56">
        <f>SUMIF('TB-Jan-25'!I:I,C43,'TB-Jan-25'!M:M)</f>
        <v>0</v>
      </c>
      <c r="M43" s="56">
        <f t="shared" si="0"/>
        <v>0</v>
      </c>
      <c r="N43" s="57">
        <f>IFERROR(VLOOKUP(C43,'[1]TB-Jun-24'!A:F,6,FALSE),0)</f>
        <v>0</v>
      </c>
      <c r="O43" s="35">
        <f>IFERROR(VLOOKUP(C43,'[1]TB-Jun-24'!I:N,6,FALSE),0)</f>
        <v>0</v>
      </c>
      <c r="Q43" s="35" t="s">
        <v>937</v>
      </c>
    </row>
    <row r="44" hidden="1" spans="2:17">
      <c r="B44" s="35">
        <f t="shared" si="1"/>
        <v>40</v>
      </c>
      <c r="C44" s="43" t="s">
        <v>985</v>
      </c>
      <c r="D44" s="43" t="s">
        <v>935</v>
      </c>
      <c r="E44" s="44" t="s">
        <v>958</v>
      </c>
      <c r="F44" s="44" t="s">
        <v>936</v>
      </c>
      <c r="G44" s="45" t="s">
        <v>959</v>
      </c>
      <c r="H44" s="44" t="s">
        <v>120</v>
      </c>
      <c r="I44" s="44"/>
      <c r="J44" s="44" t="s">
        <v>960</v>
      </c>
      <c r="K44" s="56">
        <f>SUMIF('TB-Jan-25'!$A$12:$A$167,'Working-Jan-25'!C44,'TB-Jan-25'!$E$12:$E$167)</f>
        <v>0</v>
      </c>
      <c r="L44" s="56">
        <f>SUMIF('TB-Jan-25'!I:I,C44,'TB-Jan-25'!M:M)</f>
        <v>0</v>
      </c>
      <c r="M44" s="56">
        <f t="shared" si="0"/>
        <v>0</v>
      </c>
      <c r="N44" s="57">
        <f>IFERROR(VLOOKUP(C44,'[1]TB-Jun-24'!A:F,6,FALSE),0)</f>
        <v>0</v>
      </c>
      <c r="O44" s="35">
        <f>IFERROR(VLOOKUP(C44,'[1]TB-Jun-24'!I:N,6,FALSE),0)</f>
        <v>0</v>
      </c>
      <c r="Q44" s="35" t="s">
        <v>120</v>
      </c>
    </row>
    <row r="45" hidden="1" spans="2:17">
      <c r="B45" s="35">
        <f t="shared" si="1"/>
        <v>41</v>
      </c>
      <c r="C45" s="43" t="s">
        <v>986</v>
      </c>
      <c r="D45" s="43" t="s">
        <v>939</v>
      </c>
      <c r="E45" s="44" t="s">
        <v>987</v>
      </c>
      <c r="F45" s="44" t="s">
        <v>936</v>
      </c>
      <c r="G45" s="45" t="s">
        <v>526</v>
      </c>
      <c r="H45" s="44" t="s">
        <v>330</v>
      </c>
      <c r="I45" s="44" t="s">
        <v>309</v>
      </c>
      <c r="J45" s="44"/>
      <c r="K45" s="56">
        <f>SUMIF('TB-Jan-25'!$A$12:$A$167,'Working-Jan-25'!C45,'TB-Jan-25'!$E$12:$E$167)</f>
        <v>0</v>
      </c>
      <c r="L45" s="56">
        <f>SUMIF('TB-Jan-25'!I:I,C45,'TB-Jan-25'!M:M)</f>
        <v>0</v>
      </c>
      <c r="M45" s="56">
        <f t="shared" si="0"/>
        <v>0</v>
      </c>
      <c r="N45" s="57">
        <f>IFERROR(VLOOKUP(C45,'[1]TB-Jun-24'!A:F,6,FALSE),0)</f>
        <v>0</v>
      </c>
      <c r="O45" s="35">
        <f>IFERROR(VLOOKUP(C45,'[1]TB-Jun-24'!I:N,6,FALSE),0)</f>
        <v>0</v>
      </c>
      <c r="Q45" s="35" t="s">
        <v>330</v>
      </c>
    </row>
    <row r="46" hidden="1" spans="2:17">
      <c r="B46" s="35">
        <f t="shared" si="1"/>
        <v>42</v>
      </c>
      <c r="C46" s="43" t="s">
        <v>988</v>
      </c>
      <c r="D46" s="43" t="s">
        <v>939</v>
      </c>
      <c r="E46" s="44" t="s">
        <v>970</v>
      </c>
      <c r="F46" s="44" t="s">
        <v>936</v>
      </c>
      <c r="G46" s="44" t="s">
        <v>502</v>
      </c>
      <c r="H46" s="44" t="s">
        <v>937</v>
      </c>
      <c r="I46" s="44" t="s">
        <v>309</v>
      </c>
      <c r="J46" s="44"/>
      <c r="K46" s="56">
        <f>SUMIF('TB-Jan-25'!$A$12:$A$167,'Working-Jan-25'!C46,'TB-Jan-25'!$E$12:$E$167)</f>
        <v>0</v>
      </c>
      <c r="L46" s="56">
        <f>SUMIF('TB-Jan-25'!I:I,C46,'TB-Jan-25'!M:M)</f>
        <v>0</v>
      </c>
      <c r="M46" s="56">
        <f t="shared" si="0"/>
        <v>0</v>
      </c>
      <c r="N46" s="57">
        <f>IFERROR(VLOOKUP(C46,'[1]TB-Jun-24'!A:F,6,FALSE),0)</f>
        <v>0</v>
      </c>
      <c r="O46" s="35">
        <f>IFERROR(VLOOKUP(C46,'[1]TB-Jun-24'!I:N,6,FALSE),0)</f>
        <v>0</v>
      </c>
      <c r="Q46" s="35" t="s">
        <v>937</v>
      </c>
    </row>
    <row r="47" hidden="1" spans="2:17">
      <c r="B47" s="35">
        <f t="shared" si="1"/>
        <v>43</v>
      </c>
      <c r="C47" s="43" t="s">
        <v>692</v>
      </c>
      <c r="D47" s="43" t="s">
        <v>935</v>
      </c>
      <c r="E47" s="44" t="s">
        <v>989</v>
      </c>
      <c r="F47" s="44" t="s">
        <v>936</v>
      </c>
      <c r="G47" s="44" t="s">
        <v>472</v>
      </c>
      <c r="H47" s="44" t="s">
        <v>990</v>
      </c>
      <c r="I47" s="44" t="s">
        <v>309</v>
      </c>
      <c r="J47" s="44"/>
      <c r="K47" s="56">
        <f>SUMIF('TB-Jan-25'!$A$12:$A$167,'Working-Jan-25'!C47,'TB-Jan-25'!$E$12:$E$167)</f>
        <v>0</v>
      </c>
      <c r="L47" s="56">
        <f>SUMIF('TB-Jan-25'!I:I,C47,'TB-Jan-25'!M:M)</f>
        <v>5161807.2</v>
      </c>
      <c r="M47" s="56">
        <f t="shared" si="0"/>
        <v>5161807.2</v>
      </c>
      <c r="N47" s="57" t="e">
        <f>SUMIF([6]Final!$B:$B,C47,[6]Final!$F:$F)-M47</f>
        <v>#VALUE!</v>
      </c>
      <c r="O47" s="35">
        <f>IFERROR(VLOOKUP(C47,'[1]TB-Jun-24'!I:N,6,FALSE),0)</f>
        <v>72961.35</v>
      </c>
      <c r="Q47" s="35" t="s">
        <v>990</v>
      </c>
    </row>
    <row r="48" hidden="1" spans="2:17">
      <c r="B48" s="35">
        <f t="shared" si="1"/>
        <v>44</v>
      </c>
      <c r="C48" s="43" t="s">
        <v>991</v>
      </c>
      <c r="D48" s="43" t="s">
        <v>935</v>
      </c>
      <c r="E48" s="44" t="s">
        <v>525</v>
      </c>
      <c r="F48" s="44" t="s">
        <v>936</v>
      </c>
      <c r="G48" s="44" t="s">
        <v>472</v>
      </c>
      <c r="H48" s="44" t="s">
        <v>990</v>
      </c>
      <c r="I48" s="44" t="s">
        <v>309</v>
      </c>
      <c r="J48" s="44"/>
      <c r="K48" s="56">
        <f>SUMIF('TB-Jan-25'!$A$12:$A$167,'Working-Jan-25'!C48,'TB-Jan-25'!$E$12:$E$167)</f>
        <v>0</v>
      </c>
      <c r="L48" s="56">
        <f>SUMIF('TB-Jan-25'!I:I,C48,'TB-Jan-25'!M:M)</f>
        <v>0</v>
      </c>
      <c r="M48" s="56">
        <f t="shared" si="0"/>
        <v>0</v>
      </c>
      <c r="N48" s="57">
        <f>IFERROR(VLOOKUP(C48,'[1]TB-Jun-24'!A:F,6,FALSE),0)</f>
        <v>0</v>
      </c>
      <c r="O48" s="35">
        <f>IFERROR(VLOOKUP(C48,'[1]TB-Jun-24'!I:N,6,FALSE),0)</f>
        <v>0</v>
      </c>
      <c r="Q48" s="35" t="s">
        <v>990</v>
      </c>
    </row>
    <row r="49" hidden="1" spans="2:17">
      <c r="B49" s="35">
        <f t="shared" si="1"/>
        <v>45</v>
      </c>
      <c r="C49" s="43" t="s">
        <v>992</v>
      </c>
      <c r="D49" s="43" t="s">
        <v>935</v>
      </c>
      <c r="E49" s="44" t="s">
        <v>525</v>
      </c>
      <c r="F49" s="44" t="s">
        <v>936</v>
      </c>
      <c r="G49" s="44" t="s">
        <v>472</v>
      </c>
      <c r="H49" s="44" t="s">
        <v>990</v>
      </c>
      <c r="I49" s="44" t="s">
        <v>309</v>
      </c>
      <c r="J49" s="44"/>
      <c r="K49" s="56">
        <f>SUMIF('TB-Jan-25'!$A$12:$A$167,'Working-Jan-25'!C49,'TB-Jan-25'!$E$12:$E$167)</f>
        <v>0</v>
      </c>
      <c r="L49" s="56">
        <f>SUMIF('TB-Jan-25'!I:I,C49,'TB-Jan-25'!M:M)</f>
        <v>0</v>
      </c>
      <c r="M49" s="56">
        <f t="shared" si="0"/>
        <v>0</v>
      </c>
      <c r="N49" s="57">
        <f>IFERROR(VLOOKUP(C49,'[1]TB-Jun-24'!A:F,6,FALSE),0)</f>
        <v>0</v>
      </c>
      <c r="O49" s="35">
        <f>IFERROR(VLOOKUP(C49,'[1]TB-Jun-24'!I:N,6,FALSE),0)</f>
        <v>0</v>
      </c>
      <c r="Q49" s="35" t="s">
        <v>990</v>
      </c>
    </row>
    <row r="50" hidden="1" spans="2:17">
      <c r="B50" s="35">
        <f t="shared" si="1"/>
        <v>46</v>
      </c>
      <c r="C50" s="43" t="s">
        <v>993</v>
      </c>
      <c r="D50" s="43" t="s">
        <v>935</v>
      </c>
      <c r="E50" s="44" t="s">
        <v>525</v>
      </c>
      <c r="F50" s="44" t="s">
        <v>936</v>
      </c>
      <c r="G50" s="44" t="s">
        <v>472</v>
      </c>
      <c r="H50" s="44" t="s">
        <v>990</v>
      </c>
      <c r="I50" s="44" t="s">
        <v>309</v>
      </c>
      <c r="J50" s="44"/>
      <c r="K50" s="56">
        <f>SUMIF('TB-Jan-25'!$A$12:$A$167,'Working-Jan-25'!C50,'TB-Jan-25'!$E$12:$E$167)</f>
        <v>0</v>
      </c>
      <c r="L50" s="56">
        <f>SUMIF('TB-Jan-25'!I:I,C50,'TB-Jan-25'!M:M)</f>
        <v>0</v>
      </c>
      <c r="M50" s="56">
        <f t="shared" si="0"/>
        <v>0</v>
      </c>
      <c r="N50" s="57">
        <f>IFERROR(VLOOKUP(C50,'[1]TB-Jun-24'!A:F,6,FALSE),0)</f>
        <v>0</v>
      </c>
      <c r="O50" s="35">
        <f>IFERROR(VLOOKUP(C50,'[1]TB-Jun-24'!I:N,6,FALSE),0)</f>
        <v>0</v>
      </c>
      <c r="Q50" s="35" t="s">
        <v>990</v>
      </c>
    </row>
    <row r="51" hidden="1" spans="2:17">
      <c r="B51" s="35">
        <f t="shared" si="1"/>
        <v>47</v>
      </c>
      <c r="C51" s="43" t="s">
        <v>994</v>
      </c>
      <c r="D51" s="43" t="s">
        <v>935</v>
      </c>
      <c r="E51" s="44" t="s">
        <v>525</v>
      </c>
      <c r="F51" s="44" t="s">
        <v>936</v>
      </c>
      <c r="G51" s="44" t="s">
        <v>472</v>
      </c>
      <c r="H51" s="44" t="s">
        <v>990</v>
      </c>
      <c r="I51" s="44" t="s">
        <v>309</v>
      </c>
      <c r="J51" s="44"/>
      <c r="K51" s="56">
        <f>SUMIF('TB-Jan-25'!$A$12:$A$167,'Working-Jan-25'!C51,'TB-Jan-25'!$E$12:$E$167)</f>
        <v>0</v>
      </c>
      <c r="L51" s="56">
        <f>SUMIF('TB-Jan-25'!I:I,C51,'TB-Jan-25'!M:M)</f>
        <v>0</v>
      </c>
      <c r="M51" s="56">
        <f t="shared" si="0"/>
        <v>0</v>
      </c>
      <c r="N51" s="57">
        <f>IFERROR(VLOOKUP(C51,'[1]TB-Jun-24'!A:F,6,FALSE),0)</f>
        <v>0</v>
      </c>
      <c r="O51" s="35">
        <f>IFERROR(VLOOKUP(C51,'[1]TB-Jun-24'!I:N,6,FALSE),0)</f>
        <v>0</v>
      </c>
      <c r="Q51" s="35" t="s">
        <v>990</v>
      </c>
    </row>
    <row r="52" hidden="1" spans="2:17">
      <c r="B52" s="35">
        <f t="shared" si="1"/>
        <v>48</v>
      </c>
      <c r="C52" s="43" t="s">
        <v>995</v>
      </c>
      <c r="D52" s="43" t="s">
        <v>935</v>
      </c>
      <c r="E52" s="44" t="s">
        <v>525</v>
      </c>
      <c r="F52" s="44" t="s">
        <v>936</v>
      </c>
      <c r="G52" s="44" t="s">
        <v>472</v>
      </c>
      <c r="H52" s="44" t="s">
        <v>990</v>
      </c>
      <c r="I52" s="44" t="s">
        <v>309</v>
      </c>
      <c r="J52" s="44"/>
      <c r="K52" s="56">
        <f>SUMIF('TB-Jan-25'!$A$12:$A$167,'Working-Jan-25'!C52,'TB-Jan-25'!$E$12:$E$167)</f>
        <v>0</v>
      </c>
      <c r="L52" s="56">
        <f>SUMIF('TB-Jan-25'!I:I,C52,'TB-Jan-25'!M:M)</f>
        <v>0</v>
      </c>
      <c r="M52" s="56">
        <f t="shared" si="0"/>
        <v>0</v>
      </c>
      <c r="N52" s="57">
        <f>IFERROR(VLOOKUP(C52,'[1]TB-Jun-24'!A:F,6,FALSE),0)</f>
        <v>0</v>
      </c>
      <c r="O52" s="35">
        <f>IFERROR(VLOOKUP(C52,'[1]TB-Jun-24'!I:N,6,FALSE),0)</f>
        <v>0</v>
      </c>
      <c r="Q52" s="35" t="s">
        <v>990</v>
      </c>
    </row>
    <row r="53" hidden="1" spans="2:17">
      <c r="B53" s="35">
        <f t="shared" si="1"/>
        <v>49</v>
      </c>
      <c r="C53" s="43" t="s">
        <v>996</v>
      </c>
      <c r="D53" s="43" t="s">
        <v>935</v>
      </c>
      <c r="E53" s="44" t="s">
        <v>525</v>
      </c>
      <c r="F53" s="44" t="s">
        <v>936</v>
      </c>
      <c r="G53" s="44" t="s">
        <v>472</v>
      </c>
      <c r="H53" s="44" t="s">
        <v>990</v>
      </c>
      <c r="I53" s="44" t="s">
        <v>309</v>
      </c>
      <c r="J53" s="44"/>
      <c r="K53" s="56">
        <f>SUMIF('TB-Jan-25'!$A$12:$A$167,'Working-Jan-25'!C53,'TB-Jan-25'!$E$12:$E$167)</f>
        <v>0</v>
      </c>
      <c r="L53" s="56">
        <f>SUMIF('TB-Jan-25'!I:I,C53,'TB-Jan-25'!M:M)</f>
        <v>0</v>
      </c>
      <c r="M53" s="56">
        <f t="shared" si="0"/>
        <v>0</v>
      </c>
      <c r="N53" s="57">
        <f>IFERROR(VLOOKUP(C53,'[1]TB-Jun-24'!A:F,6,FALSE),0)</f>
        <v>0</v>
      </c>
      <c r="O53" s="35">
        <f>IFERROR(VLOOKUP(C53,'[1]TB-Jun-24'!I:N,6,FALSE),0)</f>
        <v>0</v>
      </c>
      <c r="Q53" s="35" t="s">
        <v>990</v>
      </c>
    </row>
    <row r="54" hidden="1" spans="2:17">
      <c r="B54" s="35">
        <f t="shared" si="1"/>
        <v>50</v>
      </c>
      <c r="C54" s="43" t="s">
        <v>997</v>
      </c>
      <c r="D54" s="43" t="s">
        <v>935</v>
      </c>
      <c r="E54" s="44" t="s">
        <v>525</v>
      </c>
      <c r="F54" s="44" t="s">
        <v>936</v>
      </c>
      <c r="G54" s="44" t="s">
        <v>472</v>
      </c>
      <c r="H54" s="44" t="s">
        <v>990</v>
      </c>
      <c r="I54" s="44" t="s">
        <v>309</v>
      </c>
      <c r="J54" s="44"/>
      <c r="K54" s="56">
        <f>SUMIF('TB-Jan-25'!$A$12:$A$167,'Working-Jan-25'!C54,'TB-Jan-25'!$E$12:$E$167)</f>
        <v>0</v>
      </c>
      <c r="L54" s="56">
        <f>SUMIF('TB-Jan-25'!I:I,C54,'TB-Jan-25'!M:M)</f>
        <v>0</v>
      </c>
      <c r="M54" s="56">
        <f t="shared" si="0"/>
        <v>0</v>
      </c>
      <c r="N54" s="57">
        <f>IFERROR(VLOOKUP(C54,'[1]TB-Jun-24'!A:F,6,FALSE),0)</f>
        <v>0</v>
      </c>
      <c r="O54" s="35">
        <f>IFERROR(VLOOKUP(C54,'[1]TB-Jun-24'!I:N,6,FALSE),0)</f>
        <v>0</v>
      </c>
      <c r="Q54" s="35" t="s">
        <v>990</v>
      </c>
    </row>
    <row r="55" hidden="1" spans="2:17">
      <c r="B55" s="35">
        <f t="shared" si="1"/>
        <v>51</v>
      </c>
      <c r="C55" s="43" t="s">
        <v>998</v>
      </c>
      <c r="D55" s="43" t="s">
        <v>935</v>
      </c>
      <c r="E55" s="44" t="s">
        <v>525</v>
      </c>
      <c r="F55" s="44" t="s">
        <v>936</v>
      </c>
      <c r="G55" s="44" t="s">
        <v>472</v>
      </c>
      <c r="H55" s="44" t="s">
        <v>990</v>
      </c>
      <c r="I55" s="44" t="s">
        <v>309</v>
      </c>
      <c r="J55" s="44"/>
      <c r="K55" s="56">
        <f>SUMIF('TB-Jan-25'!$A$12:$A$167,'Working-Jan-25'!C55,'TB-Jan-25'!$E$12:$E$167)</f>
        <v>0</v>
      </c>
      <c r="L55" s="56">
        <f>SUMIF('TB-Jan-25'!I:I,C55,'TB-Jan-25'!M:M)</f>
        <v>0</v>
      </c>
      <c r="M55" s="56">
        <f t="shared" si="0"/>
        <v>0</v>
      </c>
      <c r="N55" s="57">
        <f>IFERROR(VLOOKUP(C55,'[1]TB-Jun-24'!A:F,6,FALSE),0)</f>
        <v>0</v>
      </c>
      <c r="O55" s="35">
        <f>IFERROR(VLOOKUP(C55,'[1]TB-Jun-24'!I:N,6,FALSE),0)</f>
        <v>0</v>
      </c>
      <c r="Q55" s="35" t="s">
        <v>990</v>
      </c>
    </row>
    <row r="56" hidden="1" spans="2:17">
      <c r="B56" s="35">
        <f t="shared" si="1"/>
        <v>52</v>
      </c>
      <c r="C56" s="43" t="s">
        <v>999</v>
      </c>
      <c r="D56" s="43" t="s">
        <v>935</v>
      </c>
      <c r="E56" s="44" t="s">
        <v>525</v>
      </c>
      <c r="F56" s="44" t="s">
        <v>936</v>
      </c>
      <c r="G56" s="44" t="s">
        <v>472</v>
      </c>
      <c r="H56" s="44" t="s">
        <v>990</v>
      </c>
      <c r="I56" s="44" t="s">
        <v>309</v>
      </c>
      <c r="J56" s="44"/>
      <c r="K56" s="56">
        <f>SUMIF('TB-Jan-25'!$A$12:$A$167,'Working-Jan-25'!C56,'TB-Jan-25'!$E$12:$E$167)</f>
        <v>0</v>
      </c>
      <c r="L56" s="56">
        <f>SUMIF('TB-Jan-25'!I:I,C56,'TB-Jan-25'!M:M)</f>
        <v>0</v>
      </c>
      <c r="M56" s="56">
        <f t="shared" si="0"/>
        <v>0</v>
      </c>
      <c r="N56" s="57">
        <f>IFERROR(VLOOKUP(C56,'[1]TB-Jun-24'!A:F,6,FALSE),0)</f>
        <v>0</v>
      </c>
      <c r="O56" s="35">
        <f>IFERROR(VLOOKUP(C56,'[1]TB-Jun-24'!I:N,6,FALSE),0)</f>
        <v>0</v>
      </c>
      <c r="Q56" s="35" t="s">
        <v>990</v>
      </c>
    </row>
    <row r="57" hidden="1" spans="2:17">
      <c r="B57" s="35">
        <f t="shared" si="1"/>
        <v>53</v>
      </c>
      <c r="C57" s="43" t="s">
        <v>1000</v>
      </c>
      <c r="D57" s="43" t="s">
        <v>939</v>
      </c>
      <c r="E57" s="44" t="s">
        <v>1001</v>
      </c>
      <c r="F57" s="44" t="s">
        <v>936</v>
      </c>
      <c r="G57" s="44" t="s">
        <v>519</v>
      </c>
      <c r="H57" s="44" t="s">
        <v>120</v>
      </c>
      <c r="I57" s="44" t="s">
        <v>309</v>
      </c>
      <c r="J57" s="44"/>
      <c r="K57" s="56">
        <f>SUMIF('TB-Jan-25'!$A$12:$A$167,'Working-Jan-25'!C57,'TB-Jan-25'!$E$12:$E$167)</f>
        <v>0</v>
      </c>
      <c r="L57" s="56">
        <f>SUMIF('TB-Jan-25'!I:I,C57,'TB-Jan-25'!M:M)</f>
        <v>0</v>
      </c>
      <c r="M57" s="56">
        <f t="shared" si="0"/>
        <v>0</v>
      </c>
      <c r="N57" s="57">
        <f>IFERROR(VLOOKUP(C57,'[1]TB-Jun-24'!A:F,6,FALSE),0)</f>
        <v>0</v>
      </c>
      <c r="O57" s="35">
        <f>IFERROR(VLOOKUP(C57,'[1]TB-Jun-24'!I:N,6,FALSE),0)</f>
        <v>0</v>
      </c>
      <c r="Q57" s="35" t="s">
        <v>937</v>
      </c>
    </row>
    <row r="58" hidden="1" spans="2:17">
      <c r="B58" s="35">
        <f t="shared" si="1"/>
        <v>54</v>
      </c>
      <c r="C58" s="43" t="s">
        <v>687</v>
      </c>
      <c r="D58" s="43" t="s">
        <v>935</v>
      </c>
      <c r="E58" s="44" t="s">
        <v>478</v>
      </c>
      <c r="F58" s="44" t="s">
        <v>936</v>
      </c>
      <c r="G58" s="44" t="s">
        <v>478</v>
      </c>
      <c r="H58" s="44" t="s">
        <v>937</v>
      </c>
      <c r="I58" s="44" t="s">
        <v>309</v>
      </c>
      <c r="J58" s="44"/>
      <c r="K58" s="56">
        <f>SUMIF('TB-Jan-25'!$A$12:$A$167,'Working-Jan-25'!C58,'TB-Jan-25'!$E$12:$E$167)</f>
        <v>447353.54</v>
      </c>
      <c r="L58" s="56">
        <f>SUMIF('TB-Jan-25'!I:I,C58,'TB-Jan-25'!M:M)</f>
        <v>0</v>
      </c>
      <c r="M58" s="56">
        <f t="shared" si="0"/>
        <v>447353.54</v>
      </c>
      <c r="N58" s="57" t="e">
        <f>SUMIF([6]Final!$B:$B,C58,[6]Final!$F:$F)-M58</f>
        <v>#VALUE!</v>
      </c>
      <c r="O58" s="35">
        <f>IFERROR(VLOOKUP(C58,'[1]TB-Jun-24'!I:N,6,FALSE),0)</f>
        <v>0</v>
      </c>
      <c r="Q58" s="35" t="s">
        <v>937</v>
      </c>
    </row>
    <row r="59" hidden="1" spans="2:17">
      <c r="B59" s="35">
        <f t="shared" si="1"/>
        <v>55</v>
      </c>
      <c r="C59" s="43" t="s">
        <v>691</v>
      </c>
      <c r="D59" s="43" t="s">
        <v>935</v>
      </c>
      <c r="E59" s="44" t="s">
        <v>1002</v>
      </c>
      <c r="F59" s="44" t="s">
        <v>936</v>
      </c>
      <c r="G59" s="44" t="s">
        <v>482</v>
      </c>
      <c r="H59" s="44" t="s">
        <v>120</v>
      </c>
      <c r="I59" s="44" t="s">
        <v>309</v>
      </c>
      <c r="J59" s="44"/>
      <c r="K59" s="56">
        <f>SUMIF('TB-Jan-25'!$A$12:$A$167,'Working-Jan-25'!C59,'TB-Jan-25'!$E$12:$E$167)</f>
        <v>0</v>
      </c>
      <c r="L59" s="56">
        <f>SUMIF('TB-Jan-25'!I:I,C59,'TB-Jan-25'!M:M)</f>
        <v>1564184</v>
      </c>
      <c r="M59" s="56">
        <f t="shared" si="0"/>
        <v>1564184</v>
      </c>
      <c r="N59" s="57" t="e">
        <f>SUMIF([6]Final!$B:$B,C59,[6]Final!$F:$F)-M59</f>
        <v>#VALUE!</v>
      </c>
      <c r="O59" s="35">
        <f>IFERROR(VLOOKUP(C59,'[1]TB-Jun-24'!I:N,6,FALSE),0)</f>
        <v>533527.5</v>
      </c>
      <c r="P59" s="48"/>
      <c r="Q59" s="35" t="s">
        <v>120</v>
      </c>
    </row>
    <row r="60" hidden="1" spans="2:17">
      <c r="B60" s="35">
        <f t="shared" si="1"/>
        <v>56</v>
      </c>
      <c r="C60" s="43" t="s">
        <v>1003</v>
      </c>
      <c r="D60" s="43" t="s">
        <v>939</v>
      </c>
      <c r="E60" s="44" t="s">
        <v>970</v>
      </c>
      <c r="F60" s="44" t="s">
        <v>936</v>
      </c>
      <c r="G60" s="44" t="s">
        <v>502</v>
      </c>
      <c r="H60" s="44" t="s">
        <v>937</v>
      </c>
      <c r="I60" s="44" t="s">
        <v>309</v>
      </c>
      <c r="J60" s="44"/>
      <c r="K60" s="56">
        <f>SUMIF('TB-Jan-25'!$A$12:$A$167,'Working-Jan-25'!C60,'TB-Jan-25'!$E$12:$E$167)</f>
        <v>0</v>
      </c>
      <c r="L60" s="56">
        <f>SUMIF('TB-Jan-25'!I:I,C60,'TB-Jan-25'!M:M)</f>
        <v>0</v>
      </c>
      <c r="M60" s="56">
        <f t="shared" si="0"/>
        <v>0</v>
      </c>
      <c r="N60" s="57">
        <f>IFERROR(VLOOKUP(C60,'[1]TB-Jun-24'!A:F,6,FALSE),0)</f>
        <v>0</v>
      </c>
      <c r="O60" s="35">
        <f>IFERROR(VLOOKUP(C60,'[1]TB-Jun-24'!I:N,6,FALSE),0)</f>
        <v>0</v>
      </c>
      <c r="Q60" s="35" t="s">
        <v>937</v>
      </c>
    </row>
    <row r="61" hidden="1" spans="2:17">
      <c r="B61" s="35">
        <f t="shared" si="1"/>
        <v>57</v>
      </c>
      <c r="C61" s="43" t="s">
        <v>720</v>
      </c>
      <c r="D61" s="43" t="s">
        <v>939</v>
      </c>
      <c r="E61" s="44" t="s">
        <v>1004</v>
      </c>
      <c r="F61" s="44" t="s">
        <v>936</v>
      </c>
      <c r="G61" s="44" t="s">
        <v>494</v>
      </c>
      <c r="H61" s="44" t="s">
        <v>937</v>
      </c>
      <c r="I61" s="44" t="s">
        <v>309</v>
      </c>
      <c r="J61" s="44"/>
      <c r="K61" s="56">
        <f>SUMIF('TB-Jan-25'!$A$12:$A$167,'Working-Jan-25'!C61,'TB-Jan-25'!$E$12:$E$167)</f>
        <v>6860</v>
      </c>
      <c r="L61" s="56">
        <f>SUMIF('TB-Jan-25'!I:I,C61,'TB-Jan-25'!M:M)</f>
        <v>0</v>
      </c>
      <c r="M61" s="56">
        <f t="shared" si="0"/>
        <v>6860</v>
      </c>
      <c r="N61" s="57" t="e">
        <f>SUMIF([6]Final!$B:$B,C61,[6]Final!$F:$F)-M61</f>
        <v>#VALUE!</v>
      </c>
      <c r="O61" s="35">
        <f>IFERROR(VLOOKUP(C61,'[1]TB-Jun-24'!I:N,6,FALSE),0)</f>
        <v>0</v>
      </c>
      <c r="Q61" s="35" t="s">
        <v>937</v>
      </c>
    </row>
    <row r="62" spans="2:17">
      <c r="B62" s="35">
        <f t="shared" si="1"/>
        <v>58</v>
      </c>
      <c r="C62" s="43" t="s">
        <v>1005</v>
      </c>
      <c r="D62" s="46" t="s">
        <v>939</v>
      </c>
      <c r="E62" s="47" t="s">
        <v>1006</v>
      </c>
      <c r="F62" s="47" t="s">
        <v>936</v>
      </c>
      <c r="G62" s="44" t="s">
        <v>515</v>
      </c>
      <c r="H62" s="44" t="s">
        <v>120</v>
      </c>
      <c r="I62" s="44" t="s">
        <v>309</v>
      </c>
      <c r="J62" s="44"/>
      <c r="K62" s="56">
        <f>SUMIF('TB-Jan-25'!$A$12:$A$167,'Working-Jan-25'!C62,'TB-Jan-25'!$E$12:$E$167)</f>
        <v>0</v>
      </c>
      <c r="L62" s="56">
        <f>SUMIF('TB-Jan-25'!I:I,C62,'TB-Jan-25'!M:M)</f>
        <v>0</v>
      </c>
      <c r="M62" s="56">
        <f t="shared" si="0"/>
        <v>0</v>
      </c>
      <c r="N62" s="57">
        <f>IFERROR(VLOOKUP(C62,'[1]TB-Jun-24'!A:F,6,FALSE),0)</f>
        <v>0</v>
      </c>
      <c r="O62" s="35">
        <f>IFERROR(VLOOKUP(C62,'[1]TB-Jun-24'!I:N,6,FALSE),0)</f>
        <v>0</v>
      </c>
      <c r="Q62" s="35" t="s">
        <v>120</v>
      </c>
    </row>
    <row r="63" hidden="1" spans="2:17">
      <c r="B63" s="35">
        <f t="shared" si="1"/>
        <v>59</v>
      </c>
      <c r="C63" s="43" t="s">
        <v>677</v>
      </c>
      <c r="D63" s="43" t="s">
        <v>939</v>
      </c>
      <c r="E63" s="44" t="s">
        <v>970</v>
      </c>
      <c r="F63" s="44" t="s">
        <v>936</v>
      </c>
      <c r="G63" s="44" t="s">
        <v>502</v>
      </c>
      <c r="H63" s="44" t="s">
        <v>937</v>
      </c>
      <c r="I63" s="44" t="s">
        <v>309</v>
      </c>
      <c r="J63" s="44"/>
      <c r="K63" s="56">
        <f>SUMIF('TB-Jan-25'!$A$12:$A$167,'Working-Jan-25'!C63,'TB-Jan-25'!$E$12:$E$167)</f>
        <v>1600</v>
      </c>
      <c r="L63" s="56">
        <f>SUMIF('TB-Jan-25'!I:I,C63,'TB-Jan-25'!M:M)</f>
        <v>0</v>
      </c>
      <c r="M63" s="56">
        <f t="shared" si="0"/>
        <v>1600</v>
      </c>
      <c r="N63" s="57" t="e">
        <f>SUMIF([6]Final!$B:$B,C63,[6]Final!$F:$F)-M63</f>
        <v>#VALUE!</v>
      </c>
      <c r="O63" s="35">
        <f>IFERROR(VLOOKUP(C63,'[1]TB-Jun-24'!I:N,6,FALSE),0)</f>
        <v>0</v>
      </c>
      <c r="Q63" s="35" t="s">
        <v>937</v>
      </c>
    </row>
    <row r="64" hidden="1" spans="2:17">
      <c r="B64" s="35">
        <f t="shared" si="1"/>
        <v>60</v>
      </c>
      <c r="C64" s="43" t="s">
        <v>750</v>
      </c>
      <c r="D64" s="43" t="s">
        <v>939</v>
      </c>
      <c r="E64" s="44" t="s">
        <v>1007</v>
      </c>
      <c r="F64" s="44" t="s">
        <v>936</v>
      </c>
      <c r="G64" s="44" t="s">
        <v>1008</v>
      </c>
      <c r="H64" s="44" t="s">
        <v>937</v>
      </c>
      <c r="I64" s="44" t="s">
        <v>309</v>
      </c>
      <c r="J64" s="44"/>
      <c r="K64" s="56">
        <f>SUMIF('TB-Jan-25'!$A$12:$A$167,'Working-Jan-25'!C64,'TB-Jan-25'!$E$12:$E$167)</f>
        <v>0</v>
      </c>
      <c r="L64" s="56">
        <f>SUMIF('TB-Jan-25'!I:I,C64,'TB-Jan-25'!M:M)</f>
        <v>80430</v>
      </c>
      <c r="M64" s="56">
        <f t="shared" si="0"/>
        <v>80430</v>
      </c>
      <c r="N64" s="57" t="e">
        <f>SUMIF([6]Final!$B:$B,C64,[6]Final!$F:$F)-M64</f>
        <v>#VALUE!</v>
      </c>
      <c r="O64" s="35">
        <f>IFERROR(VLOOKUP(C64,'[1]TB-Jun-24'!I:N,6,FALSE),0)</f>
        <v>0</v>
      </c>
      <c r="Q64" s="35" t="s">
        <v>937</v>
      </c>
    </row>
    <row r="65" spans="2:17">
      <c r="B65" s="35">
        <f t="shared" si="1"/>
        <v>61</v>
      </c>
      <c r="C65" s="43" t="s">
        <v>843</v>
      </c>
      <c r="D65" s="46" t="s">
        <v>935</v>
      </c>
      <c r="E65" s="47" t="s">
        <v>1009</v>
      </c>
      <c r="F65" s="47" t="s">
        <v>936</v>
      </c>
      <c r="G65" s="44" t="s">
        <v>515</v>
      </c>
      <c r="H65" s="44" t="s">
        <v>120</v>
      </c>
      <c r="I65" s="44" t="s">
        <v>309</v>
      </c>
      <c r="J65" s="44"/>
      <c r="K65" s="56">
        <f>SUMIF('TB-Jan-25'!$A$12:$A$167,'Working-Jan-25'!C65,'TB-Jan-25'!$E$12:$E$167)</f>
        <v>0</v>
      </c>
      <c r="L65" s="56">
        <f>SUMIF('TB-Jan-25'!I:I,C65,'TB-Jan-25'!M:M)</f>
        <v>3000</v>
      </c>
      <c r="M65" s="56">
        <f t="shared" si="0"/>
        <v>3000</v>
      </c>
      <c r="N65" s="57" t="e">
        <f>SUMIF([6]Final!$B:$B,C65,[6]Final!$F:$F)-M65</f>
        <v>#VALUE!</v>
      </c>
      <c r="O65" s="35">
        <f>IFERROR(VLOOKUP(C65,'[1]TB-Jun-24'!I:N,6,FALSE),0)</f>
        <v>3000</v>
      </c>
      <c r="Q65" s="35" t="s">
        <v>120</v>
      </c>
    </row>
    <row r="66" spans="2:17">
      <c r="B66" s="35">
        <f t="shared" si="1"/>
        <v>62</v>
      </c>
      <c r="C66" s="43" t="s">
        <v>871</v>
      </c>
      <c r="D66" s="46" t="s">
        <v>935</v>
      </c>
      <c r="E66" s="47" t="s">
        <v>1009</v>
      </c>
      <c r="F66" s="47" t="s">
        <v>936</v>
      </c>
      <c r="G66" s="44" t="s">
        <v>515</v>
      </c>
      <c r="H66" s="44" t="s">
        <v>120</v>
      </c>
      <c r="I66" s="44" t="s">
        <v>309</v>
      </c>
      <c r="J66" s="44"/>
      <c r="K66" s="56">
        <f>SUMIF('TB-Jan-25'!$A$12:$A$167,'Working-Jan-25'!C66,'TB-Jan-25'!$E$12:$E$167)</f>
        <v>0</v>
      </c>
      <c r="L66" s="56">
        <f>SUMIF('TB-Jan-25'!I:I,C66,'TB-Jan-25'!M:M)</f>
        <v>10000</v>
      </c>
      <c r="M66" s="56">
        <f t="shared" si="0"/>
        <v>10000</v>
      </c>
      <c r="N66" s="57" t="e">
        <f>SUMIF([6]Final!$B:$B,C66,[6]Final!$F:$F)-M66</f>
        <v>#VALUE!</v>
      </c>
      <c r="O66" s="35">
        <f>IFERROR(VLOOKUP(C66,'[1]TB-Jun-24'!I:N,6,FALSE),0)</f>
        <v>10000</v>
      </c>
      <c r="Q66" s="35" t="s">
        <v>120</v>
      </c>
    </row>
    <row r="67" spans="2:17">
      <c r="B67" s="35">
        <f t="shared" si="1"/>
        <v>63</v>
      </c>
      <c r="C67" s="43" t="s">
        <v>873</v>
      </c>
      <c r="D67" s="46" t="s">
        <v>935</v>
      </c>
      <c r="E67" s="47" t="s">
        <v>1009</v>
      </c>
      <c r="F67" s="47" t="s">
        <v>936</v>
      </c>
      <c r="G67" s="44" t="s">
        <v>515</v>
      </c>
      <c r="H67" s="44" t="s">
        <v>120</v>
      </c>
      <c r="I67" s="44" t="s">
        <v>309</v>
      </c>
      <c r="J67" s="44"/>
      <c r="K67" s="56">
        <f>SUMIF('TB-Jan-25'!$A$12:$A$167,'Working-Jan-25'!C67,'TB-Jan-25'!$E$12:$E$167)</f>
        <v>0</v>
      </c>
      <c r="L67" s="56">
        <f>SUMIF('TB-Jan-25'!I:I,C67,'TB-Jan-25'!M:M)</f>
        <v>500</v>
      </c>
      <c r="M67" s="56">
        <f t="shared" si="0"/>
        <v>500</v>
      </c>
      <c r="N67" s="57" t="e">
        <f>SUMIF([6]Final!$B:$B,C67,[6]Final!$F:$F)-M67</f>
        <v>#VALUE!</v>
      </c>
      <c r="O67" s="35">
        <f>IFERROR(VLOOKUP(C67,'[1]TB-Jun-24'!I:N,6,FALSE),0)</f>
        <v>500</v>
      </c>
      <c r="Q67" s="35" t="s">
        <v>120</v>
      </c>
    </row>
    <row r="68" spans="2:17">
      <c r="B68" s="35">
        <f t="shared" si="1"/>
        <v>64</v>
      </c>
      <c r="C68" s="43" t="s">
        <v>875</v>
      </c>
      <c r="D68" s="46" t="s">
        <v>935</v>
      </c>
      <c r="E68" s="47" t="s">
        <v>1009</v>
      </c>
      <c r="F68" s="47" t="s">
        <v>936</v>
      </c>
      <c r="G68" s="44" t="s">
        <v>515</v>
      </c>
      <c r="H68" s="44" t="s">
        <v>120</v>
      </c>
      <c r="I68" s="44" t="s">
        <v>309</v>
      </c>
      <c r="J68" s="44"/>
      <c r="K68" s="56">
        <f>SUMIF('TB-Jan-25'!$A$12:$A$167,'Working-Jan-25'!C68,'TB-Jan-25'!$E$12:$E$167)</f>
        <v>0</v>
      </c>
      <c r="L68" s="56">
        <f>SUMIF('TB-Jan-25'!I:I,C68,'TB-Jan-25'!M:M)</f>
        <v>500</v>
      </c>
      <c r="M68" s="56">
        <f t="shared" si="0"/>
        <v>500</v>
      </c>
      <c r="N68" s="57" t="e">
        <f>SUMIF([6]Final!$B:$B,C68,[6]Final!$F:$F)-M68</f>
        <v>#VALUE!</v>
      </c>
      <c r="O68" s="35">
        <f>IFERROR(VLOOKUP(C68,'[1]TB-Jun-24'!I:N,6,FALSE),0)</f>
        <v>500</v>
      </c>
      <c r="Q68" s="35" t="s">
        <v>120</v>
      </c>
    </row>
    <row r="69" hidden="1" spans="2:17">
      <c r="B69" s="35">
        <f t="shared" si="1"/>
        <v>65</v>
      </c>
      <c r="C69" s="43" t="s">
        <v>1010</v>
      </c>
      <c r="D69" s="43" t="s">
        <v>935</v>
      </c>
      <c r="E69" s="44" t="s">
        <v>958</v>
      </c>
      <c r="F69" s="44" t="s">
        <v>1011</v>
      </c>
      <c r="G69" s="44" t="s">
        <v>959</v>
      </c>
      <c r="H69" s="44" t="s">
        <v>120</v>
      </c>
      <c r="I69" s="44" t="s">
        <v>309</v>
      </c>
      <c r="J69" s="44"/>
      <c r="K69" s="56">
        <f>SUMIF('TB-Jan-25'!$A$12:$A$167,'Working-Jan-25'!C69,'TB-Jan-25'!$E$12:$E$167)</f>
        <v>0</v>
      </c>
      <c r="L69" s="56">
        <f>SUMIF('TB-Jan-25'!I:I,C69,'TB-Jan-25'!M:M)</f>
        <v>0</v>
      </c>
      <c r="M69" s="56">
        <f t="shared" si="0"/>
        <v>0</v>
      </c>
      <c r="N69" s="57">
        <f>IFERROR(VLOOKUP(C69,'[1]TB-Jun-24'!A:F,6,FALSE),0)</f>
        <v>0</v>
      </c>
      <c r="O69" s="35">
        <f>IFERROR(VLOOKUP(C69,'[1]TB-Jun-24'!I:N,6,FALSE),0)</f>
        <v>0</v>
      </c>
      <c r="Q69" s="35" t="s">
        <v>120</v>
      </c>
    </row>
    <row r="70" hidden="1" spans="2:14">
      <c r="B70" s="35">
        <f t="shared" si="1"/>
        <v>66</v>
      </c>
      <c r="C70" s="43" t="s">
        <v>1012</v>
      </c>
      <c r="D70" s="43" t="s">
        <v>939</v>
      </c>
      <c r="E70" s="44" t="s">
        <v>1013</v>
      </c>
      <c r="F70" s="44" t="s">
        <v>936</v>
      </c>
      <c r="G70" s="44" t="s">
        <v>588</v>
      </c>
      <c r="H70" s="44" t="s">
        <v>120</v>
      </c>
      <c r="I70" s="44" t="s">
        <v>309</v>
      </c>
      <c r="J70" s="44"/>
      <c r="K70" s="56">
        <f>SUMIF('TB-Jan-25'!$A$12:$A$167,'Working-Jan-25'!C70,'TB-Jan-25'!$E$12:$E$167)</f>
        <v>0</v>
      </c>
      <c r="L70" s="56">
        <f>SUMIF('TB-Jan-25'!I:I,C70,'TB-Jan-25'!M:M)</f>
        <v>0</v>
      </c>
      <c r="M70" s="56">
        <f t="shared" si="0"/>
        <v>0</v>
      </c>
      <c r="N70" s="57"/>
    </row>
    <row r="71" hidden="1" spans="2:14">
      <c r="B71" s="35">
        <f t="shared" ref="B71:B134" si="2">+B70+1</f>
        <v>67</v>
      </c>
      <c r="C71" s="58" t="s">
        <v>1014</v>
      </c>
      <c r="D71" s="58"/>
      <c r="E71" s="59"/>
      <c r="F71" s="59"/>
      <c r="G71" s="59"/>
      <c r="H71" s="59"/>
      <c r="I71" s="59"/>
      <c r="J71" s="59"/>
      <c r="K71" s="60">
        <f>SUM(K5:K70)</f>
        <v>440658.54</v>
      </c>
      <c r="L71" s="60">
        <f>SUM(L5:L70)</f>
        <v>9416083.2</v>
      </c>
      <c r="M71" s="60">
        <f>SUM(M5:M70)</f>
        <v>9856741.74</v>
      </c>
      <c r="N71" s="57"/>
    </row>
    <row r="72" hidden="1" spans="2:14">
      <c r="B72" s="35">
        <f t="shared" si="2"/>
        <v>68</v>
      </c>
      <c r="C72" s="43"/>
      <c r="D72" s="43"/>
      <c r="E72" s="44"/>
      <c r="F72" s="44"/>
      <c r="G72" s="44"/>
      <c r="H72" s="44"/>
      <c r="I72" s="44"/>
      <c r="J72" s="44"/>
      <c r="K72" s="56"/>
      <c r="L72" s="56"/>
      <c r="M72" s="56"/>
      <c r="N72" s="57"/>
    </row>
    <row r="73" hidden="1" spans="2:17">
      <c r="B73" s="35">
        <f t="shared" si="2"/>
        <v>69</v>
      </c>
      <c r="C73" s="43" t="s">
        <v>1015</v>
      </c>
      <c r="D73" s="43" t="s">
        <v>935</v>
      </c>
      <c r="E73" s="44" t="s">
        <v>1002</v>
      </c>
      <c r="F73" s="44" t="s">
        <v>1011</v>
      </c>
      <c r="G73" s="44" t="s">
        <v>482</v>
      </c>
      <c r="H73" s="44" t="s">
        <v>120</v>
      </c>
      <c r="I73" s="44" t="s">
        <v>309</v>
      </c>
      <c r="J73" s="44"/>
      <c r="K73" s="56">
        <f>SUMIF('TB-Jan-25'!$A$12:$A$167,'Working-Jan-25'!C73,'TB-Jan-25'!$E$12:$E$167)</f>
        <v>0</v>
      </c>
      <c r="L73" s="56">
        <f>SUMIF('TB-Jan-25'!I:I,C73,'TB-Jan-25'!M:M)</f>
        <v>0</v>
      </c>
      <c r="M73" s="56">
        <f t="shared" ref="M73:M125" si="3">K73+L73</f>
        <v>0</v>
      </c>
      <c r="N73" s="57">
        <f>IFERROR(VLOOKUP(C73,'[1]TB-Jun-24'!A:F,6,FALSE),0)</f>
        <v>0</v>
      </c>
      <c r="O73" s="35">
        <f>IFERROR(VLOOKUP(C73,'[1]TB-Jun-24'!I:N,6,FALSE),0)</f>
        <v>0</v>
      </c>
      <c r="Q73" s="35" t="s">
        <v>120</v>
      </c>
    </row>
    <row r="74" hidden="1" spans="2:17">
      <c r="B74" s="35">
        <f t="shared" si="2"/>
        <v>70</v>
      </c>
      <c r="C74" s="43" t="s">
        <v>701</v>
      </c>
      <c r="D74" s="43" t="s">
        <v>935</v>
      </c>
      <c r="E74" s="44" t="s">
        <v>942</v>
      </c>
      <c r="F74" s="44" t="s">
        <v>1011</v>
      </c>
      <c r="G74" s="44" t="s">
        <v>493</v>
      </c>
      <c r="H74" s="44" t="s">
        <v>120</v>
      </c>
      <c r="I74" s="44" t="s">
        <v>309</v>
      </c>
      <c r="J74" s="44"/>
      <c r="K74" s="56">
        <f>SUMIF('TB-Jan-25'!$A$12:$A$167,'Working-Jan-25'!C74,'TB-Jan-25'!$E$12:$E$167)</f>
        <v>0</v>
      </c>
      <c r="L74" s="56">
        <f>SUMIF('TB-Jan-25'!I:I,C74,'TB-Jan-25'!M:M)</f>
        <v>57500</v>
      </c>
      <c r="M74" s="56">
        <f t="shared" si="3"/>
        <v>57500</v>
      </c>
      <c r="N74" s="57" t="e">
        <f>SUMIF([6]Final!$B:$B,C74,[6]Final!$F:$F)-M74</f>
        <v>#VALUE!</v>
      </c>
      <c r="O74" s="35">
        <f>IFERROR(VLOOKUP(C74,'[1]TB-Jun-24'!I:N,6,FALSE),0)</f>
        <v>77943</v>
      </c>
      <c r="Q74" s="35" t="s">
        <v>115</v>
      </c>
    </row>
    <row r="75" hidden="1" spans="2:17">
      <c r="B75" s="35">
        <f t="shared" si="2"/>
        <v>71</v>
      </c>
      <c r="C75" s="43" t="s">
        <v>1016</v>
      </c>
      <c r="D75" s="43" t="s">
        <v>935</v>
      </c>
      <c r="E75" s="44" t="s">
        <v>471</v>
      </c>
      <c r="F75" s="44" t="s">
        <v>1011</v>
      </c>
      <c r="G75" s="44" t="s">
        <v>471</v>
      </c>
      <c r="H75" s="44" t="s">
        <v>115</v>
      </c>
      <c r="I75" s="44" t="s">
        <v>309</v>
      </c>
      <c r="J75" s="44"/>
      <c r="K75" s="56">
        <f>SUMIF('TB-Jan-25'!$A$12:$A$167,'Working-Jan-25'!C75,'TB-Jan-25'!$E$12:$E$167)</f>
        <v>0</v>
      </c>
      <c r="L75" s="56">
        <f>SUMIF('TB-Jan-25'!I:I,C75,'TB-Jan-25'!M:M)</f>
        <v>0</v>
      </c>
      <c r="M75" s="56">
        <f t="shared" si="3"/>
        <v>0</v>
      </c>
      <c r="N75" s="57">
        <f>IFERROR(VLOOKUP(C75,'[1]TB-Jun-24'!A:F,6,FALSE),0)</f>
        <v>0</v>
      </c>
      <c r="O75" s="35">
        <f>IFERROR(VLOOKUP(C75,'[1]TB-Jun-24'!I:N,6,FALSE),0)</f>
        <v>87374</v>
      </c>
      <c r="Q75" s="35" t="s">
        <v>115</v>
      </c>
    </row>
    <row r="76" hidden="1" spans="2:17">
      <c r="B76" s="35">
        <f t="shared" si="2"/>
        <v>72</v>
      </c>
      <c r="C76" s="43" t="s">
        <v>1017</v>
      </c>
      <c r="D76" s="43" t="s">
        <v>935</v>
      </c>
      <c r="E76" s="44" t="s">
        <v>485</v>
      </c>
      <c r="F76" s="44" t="s">
        <v>1011</v>
      </c>
      <c r="G76" s="44" t="s">
        <v>479</v>
      </c>
      <c r="H76" s="44" t="s">
        <v>115</v>
      </c>
      <c r="I76" s="44" t="s">
        <v>529</v>
      </c>
      <c r="J76" s="44"/>
      <c r="K76" s="56">
        <f>SUMIF('TB-Jan-25'!$A$12:$A$167,'Working-Jan-25'!C76,'TB-Jan-25'!$E$12:$E$167)</f>
        <v>0</v>
      </c>
      <c r="L76" s="56">
        <f>SUMIF('TB-Jan-25'!I:I,C76,'TB-Jan-25'!M:M)</f>
        <v>0</v>
      </c>
      <c r="M76" s="56">
        <f t="shared" si="3"/>
        <v>0</v>
      </c>
      <c r="N76" s="57">
        <f>IFERROR(VLOOKUP(C76,'[1]TB-Jun-24'!A:F,6,FALSE),0)</f>
        <v>0</v>
      </c>
      <c r="O76" s="35">
        <f>IFERROR(VLOOKUP(C76,'[1]TB-Jun-24'!I:N,6,FALSE),0)</f>
        <v>0</v>
      </c>
      <c r="Q76" s="35" t="s">
        <v>115</v>
      </c>
    </row>
    <row r="77" hidden="1" spans="2:14">
      <c r="B77" s="35">
        <f t="shared" si="2"/>
        <v>73</v>
      </c>
      <c r="C77" s="43" t="s">
        <v>1018</v>
      </c>
      <c r="D77" s="43" t="s">
        <v>935</v>
      </c>
      <c r="E77" s="44" t="s">
        <v>485</v>
      </c>
      <c r="F77" s="44" t="s">
        <v>1011</v>
      </c>
      <c r="G77" s="44" t="s">
        <v>473</v>
      </c>
      <c r="H77" s="44" t="s">
        <v>115</v>
      </c>
      <c r="I77" s="44" t="s">
        <v>309</v>
      </c>
      <c r="J77" s="44"/>
      <c r="K77" s="56">
        <f>SUMIF('TB-Jan-25'!$A$12:$A$167,'Working-Jan-25'!C77,'TB-Jan-25'!$E$12:$E$167)</f>
        <v>0</v>
      </c>
      <c r="L77" s="56">
        <f>SUMIF('TB-Jan-25'!I:I,C77,'TB-Jan-25'!M:M)</f>
        <v>0</v>
      </c>
      <c r="M77" s="56">
        <f t="shared" si="3"/>
        <v>0</v>
      </c>
      <c r="N77" s="57"/>
    </row>
    <row r="78" hidden="1" spans="2:17">
      <c r="B78" s="35">
        <f>+B76+1</f>
        <v>73</v>
      </c>
      <c r="C78" s="43" t="s">
        <v>1019</v>
      </c>
      <c r="D78" s="43" t="s">
        <v>935</v>
      </c>
      <c r="E78" s="44" t="s">
        <v>485</v>
      </c>
      <c r="F78" s="44" t="s">
        <v>1011</v>
      </c>
      <c r="G78" s="44" t="s">
        <v>473</v>
      </c>
      <c r="H78" s="44" t="s">
        <v>115</v>
      </c>
      <c r="I78" s="44" t="s">
        <v>309</v>
      </c>
      <c r="J78" s="44"/>
      <c r="K78" s="56">
        <f>SUMIF('TB-Jan-25'!$A$12:$A$167,'Working-Jan-25'!C78,'TB-Jan-25'!$E$12:$E$167)</f>
        <v>0</v>
      </c>
      <c r="L78" s="56">
        <f>SUMIF('TB-Jan-25'!I:I,C78,'TB-Jan-25'!M:M)</f>
        <v>0</v>
      </c>
      <c r="M78" s="56">
        <f t="shared" si="3"/>
        <v>0</v>
      </c>
      <c r="N78" s="57">
        <f>IFERROR(VLOOKUP(C78,'[1]TB-Jun-24'!A:F,6,FALSE),0)</f>
        <v>0</v>
      </c>
      <c r="O78" s="35">
        <f>IFERROR(VLOOKUP(C78,'[1]TB-Jun-24'!I:N,6,FALSE),0)</f>
        <v>0</v>
      </c>
      <c r="Q78" s="35" t="s">
        <v>115</v>
      </c>
    </row>
    <row r="79" hidden="1" spans="2:17">
      <c r="B79" s="35">
        <f t="shared" si="2"/>
        <v>74</v>
      </c>
      <c r="C79" s="43" t="s">
        <v>1020</v>
      </c>
      <c r="D79" s="43" t="s">
        <v>935</v>
      </c>
      <c r="E79" s="44" t="s">
        <v>485</v>
      </c>
      <c r="F79" s="44" t="s">
        <v>1011</v>
      </c>
      <c r="G79" s="44" t="s">
        <v>473</v>
      </c>
      <c r="H79" s="44" t="s">
        <v>115</v>
      </c>
      <c r="I79" s="44" t="s">
        <v>309</v>
      </c>
      <c r="J79" s="44"/>
      <c r="K79" s="56">
        <f>SUMIF('TB-Jan-25'!$A$12:$A$167,'Working-Jan-25'!C79,'TB-Jan-25'!$E$12:$E$167)</f>
        <v>0</v>
      </c>
      <c r="L79" s="56">
        <f>SUMIF('TB-Jan-25'!I:I,C79,'TB-Jan-25'!M:M)</f>
        <v>0</v>
      </c>
      <c r="M79" s="56">
        <f t="shared" si="3"/>
        <v>0</v>
      </c>
      <c r="N79" s="57">
        <f>IFERROR(VLOOKUP(C79,'[1]TB-Jun-24'!A:F,6,FALSE),0)</f>
        <v>0</v>
      </c>
      <c r="O79" s="35">
        <f>IFERROR(VLOOKUP(C79,'[1]TB-Jun-24'!I:N,6,FALSE),0)</f>
        <v>0</v>
      </c>
      <c r="Q79" s="35" t="s">
        <v>115</v>
      </c>
    </row>
    <row r="80" hidden="1" spans="2:17">
      <c r="B80" s="35">
        <f t="shared" si="2"/>
        <v>75</v>
      </c>
      <c r="C80" s="43" t="s">
        <v>1021</v>
      </c>
      <c r="D80" s="43" t="s">
        <v>935</v>
      </c>
      <c r="E80" s="44" t="s">
        <v>485</v>
      </c>
      <c r="F80" s="44" t="s">
        <v>1011</v>
      </c>
      <c r="G80" s="44" t="s">
        <v>473</v>
      </c>
      <c r="H80" s="44" t="s">
        <v>115</v>
      </c>
      <c r="I80" s="44" t="s">
        <v>309</v>
      </c>
      <c r="J80" s="44"/>
      <c r="K80" s="56">
        <f>SUMIF('TB-Jan-25'!$A$12:$A$167,'Working-Jan-25'!C80,'TB-Jan-25'!$E$12:$E$167)</f>
        <v>0</v>
      </c>
      <c r="L80" s="56">
        <f>SUMIF('TB-Jan-25'!I:I,C80,'TB-Jan-25'!M:M)</f>
        <v>0</v>
      </c>
      <c r="M80" s="56">
        <f t="shared" si="3"/>
        <v>0</v>
      </c>
      <c r="N80" s="57">
        <f>IFERROR(VLOOKUP(C80,'[1]TB-Jun-24'!A:F,6,FALSE),0)</f>
        <v>0</v>
      </c>
      <c r="O80" s="35">
        <f>IFERROR(VLOOKUP(C80,'[1]TB-Jun-24'!I:N,6,FALSE),0)</f>
        <v>61323</v>
      </c>
      <c r="Q80" s="35" t="s">
        <v>115</v>
      </c>
    </row>
    <row r="81" hidden="1" spans="2:14">
      <c r="B81" s="35">
        <f t="shared" si="2"/>
        <v>76</v>
      </c>
      <c r="C81" s="43" t="s">
        <v>1022</v>
      </c>
      <c r="D81" s="43" t="s">
        <v>935</v>
      </c>
      <c r="E81" s="44" t="s">
        <v>485</v>
      </c>
      <c r="F81" s="44" t="s">
        <v>1011</v>
      </c>
      <c r="G81" s="44" t="s">
        <v>479</v>
      </c>
      <c r="H81" s="44" t="s">
        <v>1023</v>
      </c>
      <c r="I81" s="44" t="s">
        <v>309</v>
      </c>
      <c r="J81" s="44"/>
      <c r="K81" s="56">
        <f>SUMIF('TB-Jan-25'!$A$12:$A$167,'Working-Jan-25'!C81,'TB-Jan-25'!$E$12:$E$167)</f>
        <v>0</v>
      </c>
      <c r="L81" s="56">
        <f>SUMIF('TB-Jan-25'!I:I,C81,'TB-Jan-25'!M:M)</f>
        <v>0</v>
      </c>
      <c r="M81" s="56">
        <f t="shared" si="3"/>
        <v>0</v>
      </c>
      <c r="N81" s="57"/>
    </row>
    <row r="82" hidden="1" spans="2:17">
      <c r="B82" s="35">
        <f>+B80+1</f>
        <v>76</v>
      </c>
      <c r="C82" s="43" t="s">
        <v>1024</v>
      </c>
      <c r="D82" s="43" t="s">
        <v>935</v>
      </c>
      <c r="E82" s="44" t="s">
        <v>485</v>
      </c>
      <c r="F82" s="44" t="s">
        <v>1011</v>
      </c>
      <c r="G82" s="44" t="s">
        <v>473</v>
      </c>
      <c r="H82" s="44" t="s">
        <v>115</v>
      </c>
      <c r="I82" s="44" t="s">
        <v>309</v>
      </c>
      <c r="J82" s="44"/>
      <c r="K82" s="56">
        <f>SUMIF('TB-Jan-25'!$A$12:$A$167,'Working-Jan-25'!C82,'TB-Jan-25'!$E$12:$E$167)</f>
        <v>0</v>
      </c>
      <c r="L82" s="56">
        <f>SUMIF('TB-Jan-25'!I:I,C82,'TB-Jan-25'!M:M)</f>
        <v>0</v>
      </c>
      <c r="M82" s="56">
        <f t="shared" si="3"/>
        <v>0</v>
      </c>
      <c r="N82" s="57">
        <f>IFERROR(VLOOKUP(C82,'[1]TB-Jun-24'!A:F,6,FALSE),0)</f>
        <v>0</v>
      </c>
      <c r="O82" s="35">
        <f>IFERROR(VLOOKUP(C82,'[1]TB-Jun-24'!I:N,6,FALSE),0)</f>
        <v>601</v>
      </c>
      <c r="Q82" s="35" t="s">
        <v>115</v>
      </c>
    </row>
    <row r="83" hidden="1" spans="2:17">
      <c r="B83" s="35">
        <f t="shared" si="2"/>
        <v>77</v>
      </c>
      <c r="C83" s="43" t="s">
        <v>1025</v>
      </c>
      <c r="D83" s="43" t="s">
        <v>935</v>
      </c>
      <c r="E83" s="44" t="s">
        <v>485</v>
      </c>
      <c r="F83" s="44" t="s">
        <v>1011</v>
      </c>
      <c r="G83" s="44" t="s">
        <v>473</v>
      </c>
      <c r="H83" s="44" t="s">
        <v>115</v>
      </c>
      <c r="I83" s="44" t="s">
        <v>309</v>
      </c>
      <c r="J83" s="44"/>
      <c r="K83" s="56">
        <f>SUMIF('TB-Jan-25'!$A$12:$A$167,'Working-Jan-25'!C83,'TB-Jan-25'!$E$12:$E$167)</f>
        <v>0</v>
      </c>
      <c r="L83" s="56">
        <f>SUMIF('TB-Jan-25'!I:I,C83,'TB-Jan-25'!M:M)</f>
        <v>0</v>
      </c>
      <c r="M83" s="56">
        <f t="shared" si="3"/>
        <v>0</v>
      </c>
      <c r="N83" s="57">
        <f>IFERROR(VLOOKUP(C83,'[1]TB-Jun-24'!A:F,6,FALSE),0)</f>
        <v>0</v>
      </c>
      <c r="O83" s="35">
        <f>IFERROR(VLOOKUP(C83,'[1]TB-Jun-24'!I:N,6,FALSE),0)</f>
        <v>89915</v>
      </c>
      <c r="Q83" s="35" t="s">
        <v>115</v>
      </c>
    </row>
    <row r="84" hidden="1" spans="2:17">
      <c r="B84" s="35">
        <f t="shared" si="2"/>
        <v>78</v>
      </c>
      <c r="C84" s="43" t="s">
        <v>1026</v>
      </c>
      <c r="D84" s="43" t="s">
        <v>935</v>
      </c>
      <c r="E84" s="44" t="s">
        <v>485</v>
      </c>
      <c r="F84" s="44" t="s">
        <v>1011</v>
      </c>
      <c r="G84" s="44" t="s">
        <v>473</v>
      </c>
      <c r="H84" s="44" t="s">
        <v>115</v>
      </c>
      <c r="I84" s="44" t="s">
        <v>309</v>
      </c>
      <c r="J84" s="44"/>
      <c r="K84" s="56">
        <f>SUMIF('TB-Jan-25'!$A$12:$A$167,'Working-Jan-25'!C84,'TB-Jan-25'!$E$12:$E$167)</f>
        <v>0</v>
      </c>
      <c r="L84" s="56">
        <f>SUMIF('TB-Jan-25'!I:I,C84,'TB-Jan-25'!M:M)</f>
        <v>0</v>
      </c>
      <c r="M84" s="56">
        <f t="shared" si="3"/>
        <v>0</v>
      </c>
      <c r="N84" s="57">
        <f>IFERROR(VLOOKUP(C84,'[1]TB-Jun-24'!A:F,6,FALSE),0)</f>
        <v>0</v>
      </c>
      <c r="O84" s="35">
        <f>IFERROR(VLOOKUP(C84,'[1]TB-Jun-24'!I:N,6,FALSE),0)</f>
        <v>0</v>
      </c>
      <c r="Q84" s="35" t="s">
        <v>115</v>
      </c>
    </row>
    <row r="85" hidden="1" spans="2:17">
      <c r="B85" s="35">
        <f t="shared" si="2"/>
        <v>79</v>
      </c>
      <c r="C85" s="43" t="s">
        <v>1027</v>
      </c>
      <c r="D85" s="43" t="s">
        <v>935</v>
      </c>
      <c r="E85" s="44" t="s">
        <v>485</v>
      </c>
      <c r="F85" s="44" t="s">
        <v>1011</v>
      </c>
      <c r="G85" s="44" t="s">
        <v>473</v>
      </c>
      <c r="H85" s="44" t="s">
        <v>115</v>
      </c>
      <c r="I85" s="44" t="s">
        <v>309</v>
      </c>
      <c r="J85" s="44"/>
      <c r="K85" s="56">
        <f>SUMIF('TB-Jan-25'!$A$12:$A$167,'Working-Jan-25'!C85,'TB-Jan-25'!$E$12:$E$167)</f>
        <v>0</v>
      </c>
      <c r="L85" s="56">
        <f>SUMIF('TB-Jan-25'!I:I,C85,'TB-Jan-25'!M:M)</f>
        <v>0</v>
      </c>
      <c r="M85" s="56">
        <f t="shared" si="3"/>
        <v>0</v>
      </c>
      <c r="N85" s="57">
        <f>IFERROR(VLOOKUP(C85,'[1]TB-Jun-24'!A:F,6,FALSE),0)</f>
        <v>0</v>
      </c>
      <c r="O85" s="35">
        <f>IFERROR(VLOOKUP(C85,'[1]TB-Jun-24'!I:N,6,FALSE),0)</f>
        <v>0</v>
      </c>
      <c r="Q85" s="35" t="s">
        <v>115</v>
      </c>
    </row>
    <row r="86" hidden="1" spans="2:17">
      <c r="B86" s="35">
        <f t="shared" si="2"/>
        <v>80</v>
      </c>
      <c r="C86" s="43" t="s">
        <v>1028</v>
      </c>
      <c r="D86" s="43" t="s">
        <v>935</v>
      </c>
      <c r="E86" s="44" t="s">
        <v>485</v>
      </c>
      <c r="F86" s="44" t="s">
        <v>1011</v>
      </c>
      <c r="G86" s="44" t="s">
        <v>479</v>
      </c>
      <c r="H86" s="44" t="s">
        <v>115</v>
      </c>
      <c r="I86" s="44" t="s">
        <v>529</v>
      </c>
      <c r="J86" s="44"/>
      <c r="K86" s="56">
        <f>SUMIF('TB-Jan-25'!$A$12:$A$167,'Working-Jan-25'!C86,'TB-Jan-25'!$E$12:$E$167)</f>
        <v>0</v>
      </c>
      <c r="L86" s="56">
        <f>SUMIF('TB-Jan-25'!I:I,C86,'TB-Jan-25'!M:M)</f>
        <v>0</v>
      </c>
      <c r="M86" s="56">
        <f t="shared" si="3"/>
        <v>0</v>
      </c>
      <c r="N86" s="57">
        <f>IFERROR(VLOOKUP(C86,'[1]TB-Jun-24'!A:F,6,FALSE),0)</f>
        <v>0</v>
      </c>
      <c r="O86" s="35">
        <f>IFERROR(VLOOKUP(C86,'[1]TB-Jun-24'!I:N,6,FALSE),0)</f>
        <v>0</v>
      </c>
      <c r="Q86" s="35" t="s">
        <v>115</v>
      </c>
    </row>
    <row r="87" hidden="1" spans="2:17">
      <c r="B87" s="35">
        <f t="shared" si="2"/>
        <v>81</v>
      </c>
      <c r="C87" s="43" t="s">
        <v>1029</v>
      </c>
      <c r="D87" s="43" t="s">
        <v>935</v>
      </c>
      <c r="E87" s="44" t="s">
        <v>485</v>
      </c>
      <c r="F87" s="44" t="s">
        <v>1011</v>
      </c>
      <c r="G87" s="44" t="s">
        <v>479</v>
      </c>
      <c r="H87" s="44" t="s">
        <v>115</v>
      </c>
      <c r="I87" s="44" t="s">
        <v>529</v>
      </c>
      <c r="J87" s="44"/>
      <c r="K87" s="56">
        <f>SUMIF('TB-Jan-25'!$A$12:$A$167,'Working-Jan-25'!C87,'TB-Jan-25'!$E$12:$E$167)</f>
        <v>0</v>
      </c>
      <c r="L87" s="56">
        <f>SUMIF('TB-Jan-25'!I:I,C87,'TB-Jan-25'!M:M)</f>
        <v>0</v>
      </c>
      <c r="M87" s="56">
        <f t="shared" si="3"/>
        <v>0</v>
      </c>
      <c r="N87" s="57">
        <f>IFERROR(VLOOKUP(C87,'[1]TB-Jun-24'!A:F,6,FALSE),0)</f>
        <v>0</v>
      </c>
      <c r="O87" s="35">
        <f>IFERROR(VLOOKUP(C87,'[1]TB-Jun-24'!I:N,6,FALSE),0)</f>
        <v>0</v>
      </c>
      <c r="Q87" s="35" t="s">
        <v>115</v>
      </c>
    </row>
    <row r="88" hidden="1" spans="2:17">
      <c r="B88" s="35">
        <f t="shared" si="2"/>
        <v>82</v>
      </c>
      <c r="C88" s="43" t="s">
        <v>1030</v>
      </c>
      <c r="D88" s="43" t="s">
        <v>939</v>
      </c>
      <c r="E88" s="44" t="s">
        <v>970</v>
      </c>
      <c r="F88" s="44" t="s">
        <v>1011</v>
      </c>
      <c r="G88" s="44" t="s">
        <v>502</v>
      </c>
      <c r="H88" s="44" t="s">
        <v>115</v>
      </c>
      <c r="I88" s="44" t="s">
        <v>309</v>
      </c>
      <c r="J88" s="44"/>
      <c r="K88" s="56">
        <f>SUMIF('TB-Jan-25'!$A$12:$A$167,'Working-Jan-25'!C88,'TB-Jan-25'!$E$12:$E$167)</f>
        <v>0</v>
      </c>
      <c r="L88" s="56">
        <f>SUMIF('TB-Jan-25'!I:I,C88,'TB-Jan-25'!M:M)</f>
        <v>0</v>
      </c>
      <c r="M88" s="56">
        <f t="shared" si="3"/>
        <v>0</v>
      </c>
      <c r="N88" s="57">
        <f>IFERROR(VLOOKUP(C88,'[1]TB-Jun-24'!A:F,6,FALSE),0)</f>
        <v>0</v>
      </c>
      <c r="O88" s="35">
        <f>IFERROR(VLOOKUP(C88,'[1]TB-Jun-24'!I:N,6,FALSE),0)</f>
        <v>0</v>
      </c>
      <c r="Q88" s="35" t="s">
        <v>115</v>
      </c>
    </row>
    <row r="89" hidden="1" spans="2:17">
      <c r="B89" s="35">
        <f t="shared" si="2"/>
        <v>83</v>
      </c>
      <c r="C89" s="43" t="s">
        <v>1031</v>
      </c>
      <c r="D89" s="43" t="s">
        <v>939</v>
      </c>
      <c r="E89" s="44" t="s">
        <v>970</v>
      </c>
      <c r="F89" s="44" t="s">
        <v>1011</v>
      </c>
      <c r="G89" s="44" t="s">
        <v>502</v>
      </c>
      <c r="H89" s="44" t="s">
        <v>115</v>
      </c>
      <c r="I89" s="44" t="s">
        <v>309</v>
      </c>
      <c r="J89" s="44"/>
      <c r="K89" s="56">
        <f>SUMIF('TB-Jan-25'!$A$12:$A$167,'Working-Jan-25'!C89,'TB-Jan-25'!$E$12:$E$167)</f>
        <v>0</v>
      </c>
      <c r="L89" s="56">
        <f>SUMIF('TB-Jan-25'!I:I,C89,'TB-Jan-25'!M:M)</f>
        <v>0</v>
      </c>
      <c r="M89" s="56">
        <f t="shared" si="3"/>
        <v>0</v>
      </c>
      <c r="N89" s="57">
        <f>IFERROR(VLOOKUP(C89,'[1]TB-Jun-24'!A:F,6,FALSE),0)</f>
        <v>0</v>
      </c>
      <c r="O89" s="35">
        <f>IFERROR(VLOOKUP(C89,'[1]TB-Jun-24'!I:N,6,FALSE),0)</f>
        <v>0</v>
      </c>
      <c r="Q89" s="35" t="s">
        <v>115</v>
      </c>
    </row>
    <row r="90" hidden="1" spans="2:17">
      <c r="B90" s="35">
        <f t="shared" si="2"/>
        <v>84</v>
      </c>
      <c r="C90" s="43" t="s">
        <v>1032</v>
      </c>
      <c r="D90" s="43" t="s">
        <v>939</v>
      </c>
      <c r="E90" s="44" t="s">
        <v>1033</v>
      </c>
      <c r="F90" s="44" t="s">
        <v>1011</v>
      </c>
      <c r="G90" s="44" t="s">
        <v>494</v>
      </c>
      <c r="H90" s="44" t="s">
        <v>115</v>
      </c>
      <c r="I90" s="44" t="s">
        <v>309</v>
      </c>
      <c r="J90" s="44"/>
      <c r="K90" s="56">
        <f>SUMIF('TB-Jan-25'!$A$12:$A$167,'Working-Jan-25'!C90,'TB-Jan-25'!$E$12:$E$167)</f>
        <v>0</v>
      </c>
      <c r="L90" s="56">
        <f>SUMIF('TB-Jan-25'!I:I,C90,'TB-Jan-25'!M:M)</f>
        <v>0</v>
      </c>
      <c r="M90" s="56">
        <f t="shared" si="3"/>
        <v>0</v>
      </c>
      <c r="N90" s="57">
        <f>IFERROR(VLOOKUP(C90,'[1]TB-Jun-24'!A:F,6,FALSE),0)</f>
        <v>0</v>
      </c>
      <c r="O90" s="35">
        <f>IFERROR(VLOOKUP(C90,'[1]TB-Jun-24'!I:N,6,FALSE),0)</f>
        <v>0</v>
      </c>
      <c r="Q90" s="35" t="s">
        <v>115</v>
      </c>
    </row>
    <row r="91" hidden="1" spans="2:17">
      <c r="B91" s="35">
        <f t="shared" si="2"/>
        <v>85</v>
      </c>
      <c r="C91" s="43" t="s">
        <v>1034</v>
      </c>
      <c r="D91" s="43" t="s">
        <v>939</v>
      </c>
      <c r="E91" s="44" t="s">
        <v>980</v>
      </c>
      <c r="F91" s="44" t="s">
        <v>1011</v>
      </c>
      <c r="G91" s="44" t="s">
        <v>497</v>
      </c>
      <c r="H91" s="44" t="s">
        <v>115</v>
      </c>
      <c r="I91" s="44" t="s">
        <v>309</v>
      </c>
      <c r="J91" s="44"/>
      <c r="K91" s="56">
        <f>SUMIF('TB-Jan-25'!$A$12:$A$167,'Working-Jan-25'!C91,'TB-Jan-25'!$E$12:$E$167)</f>
        <v>0</v>
      </c>
      <c r="L91" s="56">
        <f>SUMIF('TB-Jan-25'!I:I,C91,'TB-Jan-25'!M:M)</f>
        <v>0</v>
      </c>
      <c r="M91" s="56">
        <f t="shared" si="3"/>
        <v>0</v>
      </c>
      <c r="N91" s="57">
        <f>IFERROR(VLOOKUP(C91,'[1]TB-Jun-24'!A:F,6,FALSE),0)</f>
        <v>0</v>
      </c>
      <c r="O91" s="35">
        <f>IFERROR(VLOOKUP(C91,'[1]TB-Jun-24'!I:N,6,FALSE),0)</f>
        <v>2450</v>
      </c>
      <c r="Q91" s="35" t="s">
        <v>115</v>
      </c>
    </row>
    <row r="92" hidden="1" spans="2:17">
      <c r="B92" s="35">
        <f t="shared" si="2"/>
        <v>86</v>
      </c>
      <c r="C92" s="43" t="s">
        <v>1035</v>
      </c>
      <c r="D92" s="43" t="s">
        <v>939</v>
      </c>
      <c r="E92" s="44" t="s">
        <v>972</v>
      </c>
      <c r="F92" s="44" t="s">
        <v>1011</v>
      </c>
      <c r="G92" s="44" t="s">
        <v>526</v>
      </c>
      <c r="H92" s="44" t="s">
        <v>115</v>
      </c>
      <c r="I92" s="44" t="s">
        <v>309</v>
      </c>
      <c r="J92" s="44"/>
      <c r="K92" s="56">
        <f>SUMIF('TB-Jan-25'!$A$12:$A$167,'Working-Jan-25'!C92,'TB-Jan-25'!$E$12:$E$167)</f>
        <v>0</v>
      </c>
      <c r="L92" s="56">
        <f>SUMIF('TB-Jan-25'!I:I,C92,'TB-Jan-25'!M:M)</f>
        <v>0</v>
      </c>
      <c r="M92" s="56">
        <f t="shared" si="3"/>
        <v>0</v>
      </c>
      <c r="N92" s="57">
        <f>IFERROR(VLOOKUP(C92,'[1]TB-Jun-24'!A:F,6,FALSE),0)</f>
        <v>0</v>
      </c>
      <c r="O92" s="35">
        <f>IFERROR(VLOOKUP(C92,'[1]TB-Jun-24'!I:N,6,FALSE),0)</f>
        <v>0</v>
      </c>
      <c r="Q92" s="35" t="s">
        <v>115</v>
      </c>
    </row>
    <row r="93" hidden="1" spans="2:17">
      <c r="B93" s="35">
        <f t="shared" si="2"/>
        <v>87</v>
      </c>
      <c r="C93" s="43" t="s">
        <v>1036</v>
      </c>
      <c r="D93" s="43" t="s">
        <v>935</v>
      </c>
      <c r="E93" s="44" t="s">
        <v>942</v>
      </c>
      <c r="F93" s="44" t="s">
        <v>1011</v>
      </c>
      <c r="G93" s="44" t="s">
        <v>493</v>
      </c>
      <c r="H93" s="44" t="s">
        <v>120</v>
      </c>
      <c r="I93" s="44" t="s">
        <v>309</v>
      </c>
      <c r="J93" s="44"/>
      <c r="K93" s="56">
        <f>SUMIF('TB-Jan-25'!$A$12:$A$167,'Working-Jan-25'!C93,'TB-Jan-25'!$E$12:$E$167)</f>
        <v>0</v>
      </c>
      <c r="L93" s="56">
        <f>SUMIF('TB-Jan-25'!I:I,C93,'TB-Jan-25'!M:M)</f>
        <v>0</v>
      </c>
      <c r="M93" s="56">
        <f t="shared" si="3"/>
        <v>0</v>
      </c>
      <c r="N93" s="57">
        <f>IFERROR(VLOOKUP(C93,'[1]TB-Jun-24'!A:F,6,FALSE),0)</f>
        <v>0</v>
      </c>
      <c r="O93" s="35">
        <f>IFERROR(VLOOKUP(C93,'[1]TB-Jun-24'!I:N,6,FALSE),0)</f>
        <v>0</v>
      </c>
      <c r="Q93" s="35" t="s">
        <v>493</v>
      </c>
    </row>
    <row r="94" hidden="1" spans="2:17">
      <c r="B94" s="35">
        <f t="shared" si="2"/>
        <v>88</v>
      </c>
      <c r="C94" s="43" t="s">
        <v>1037</v>
      </c>
      <c r="D94" s="43" t="s">
        <v>935</v>
      </c>
      <c r="E94" s="44" t="s">
        <v>958</v>
      </c>
      <c r="F94" s="44" t="s">
        <v>1011</v>
      </c>
      <c r="G94" s="44" t="s">
        <v>959</v>
      </c>
      <c r="H94" s="44" t="s">
        <v>120</v>
      </c>
      <c r="I94" s="44" t="s">
        <v>309</v>
      </c>
      <c r="J94" s="44"/>
      <c r="K94" s="56">
        <f>SUMIF('TB-Jan-25'!$A$12:$A$167,'Working-Jan-25'!C94,'TB-Jan-25'!$E$12:$E$167)</f>
        <v>0</v>
      </c>
      <c r="L94" s="56">
        <f>SUMIF('TB-Jan-25'!I:I,C94,'TB-Jan-25'!M:M)</f>
        <v>0</v>
      </c>
      <c r="M94" s="56">
        <f t="shared" si="3"/>
        <v>0</v>
      </c>
      <c r="N94" s="57">
        <f>IFERROR(VLOOKUP(C94,'[1]TB-Jun-24'!A:F,6,FALSE),0)</f>
        <v>0</v>
      </c>
      <c r="O94" s="35">
        <f>IFERROR(VLOOKUP(C94,'[1]TB-Jun-24'!I:N,6,FALSE),0)</f>
        <v>0</v>
      </c>
      <c r="Q94" s="35" t="s">
        <v>120</v>
      </c>
    </row>
    <row r="95" hidden="1" spans="2:17">
      <c r="B95" s="35">
        <f t="shared" si="2"/>
        <v>89</v>
      </c>
      <c r="C95" s="43" t="s">
        <v>1038</v>
      </c>
      <c r="D95" s="43" t="s">
        <v>935</v>
      </c>
      <c r="E95" s="44" t="s">
        <v>958</v>
      </c>
      <c r="F95" s="44" t="s">
        <v>1011</v>
      </c>
      <c r="G95" s="44" t="s">
        <v>527</v>
      </c>
      <c r="H95" s="44" t="s">
        <v>115</v>
      </c>
      <c r="I95" s="44" t="s">
        <v>309</v>
      </c>
      <c r="J95" s="44"/>
      <c r="K95" s="56">
        <f>SUMIF('TB-Jan-25'!$A$12:$A$167,'Working-Jan-25'!C95,'TB-Jan-25'!$E$12:$E$167)</f>
        <v>0</v>
      </c>
      <c r="L95" s="56">
        <f>SUMIF('TB-Jan-25'!I:I,C95,'TB-Jan-25'!M:M)</f>
        <v>0</v>
      </c>
      <c r="M95" s="56">
        <f t="shared" si="3"/>
        <v>0</v>
      </c>
      <c r="N95" s="57">
        <f>IFERROR(VLOOKUP(C95,'[1]TB-Jun-24'!A:F,6,FALSE),0)</f>
        <v>163974</v>
      </c>
      <c r="O95" s="35">
        <f>IFERROR(VLOOKUP(C95,'[1]TB-Jun-24'!I:N,6,FALSE),0)</f>
        <v>2000</v>
      </c>
      <c r="Q95" s="35" t="s">
        <v>115</v>
      </c>
    </row>
    <row r="96" hidden="1" spans="2:17">
      <c r="B96" s="35">
        <f t="shared" si="2"/>
        <v>90</v>
      </c>
      <c r="C96" s="43" t="s">
        <v>1039</v>
      </c>
      <c r="D96" s="43" t="s">
        <v>935</v>
      </c>
      <c r="E96" s="44" t="s">
        <v>958</v>
      </c>
      <c r="F96" s="44" t="s">
        <v>1011</v>
      </c>
      <c r="G96" s="44" t="s">
        <v>622</v>
      </c>
      <c r="H96" s="44" t="s">
        <v>120</v>
      </c>
      <c r="I96" s="44" t="s">
        <v>309</v>
      </c>
      <c r="J96" s="44"/>
      <c r="K96" s="56">
        <f>SUMIF('TB-Jan-25'!$A$12:$A$167,'Working-Jan-25'!C96,'TB-Jan-25'!$E$12:$E$167)</f>
        <v>0</v>
      </c>
      <c r="L96" s="56">
        <f>SUMIF('TB-Jan-25'!I:I,C96,'TB-Jan-25'!M:M)</f>
        <v>0</v>
      </c>
      <c r="M96" s="56">
        <f t="shared" si="3"/>
        <v>0</v>
      </c>
      <c r="N96" s="57">
        <f>IFERROR(VLOOKUP(C96,'[1]TB-Jun-24'!A:F,6,FALSE),0)</f>
        <v>0</v>
      </c>
      <c r="O96" s="35">
        <f>IFERROR(VLOOKUP(C96,'[1]TB-Jun-24'!I:N,6,FALSE),0)</f>
        <v>10000</v>
      </c>
      <c r="Q96" s="35" t="s">
        <v>33</v>
      </c>
    </row>
    <row r="97" hidden="1" spans="2:17">
      <c r="B97" s="35">
        <f t="shared" si="2"/>
        <v>91</v>
      </c>
      <c r="C97" s="43" t="s">
        <v>1040</v>
      </c>
      <c r="D97" s="43" t="s">
        <v>939</v>
      </c>
      <c r="E97" s="44" t="s">
        <v>964</v>
      </c>
      <c r="F97" s="44" t="s">
        <v>1011</v>
      </c>
      <c r="G97" s="44" t="s">
        <v>494</v>
      </c>
      <c r="H97" s="44" t="s">
        <v>115</v>
      </c>
      <c r="I97" s="44" t="s">
        <v>309</v>
      </c>
      <c r="J97" s="44"/>
      <c r="K97" s="56">
        <f>SUMIF('TB-Jan-25'!$A$12:$A$167,'Working-Jan-25'!C97,'TB-Jan-25'!$E$12:$E$167)</f>
        <v>0</v>
      </c>
      <c r="L97" s="56">
        <f>SUMIF('TB-Jan-25'!I:I,C97,'TB-Jan-25'!M:M)</f>
        <v>0</v>
      </c>
      <c r="M97" s="56">
        <f t="shared" si="3"/>
        <v>0</v>
      </c>
      <c r="N97" s="57">
        <f>IFERROR(VLOOKUP(C97,'[1]TB-Jun-24'!A:F,6,FALSE),0)</f>
        <v>0</v>
      </c>
      <c r="O97" s="35">
        <f>IFERROR(VLOOKUP(C97,'[1]TB-Jun-24'!I:N,6,FALSE),0)</f>
        <v>0</v>
      </c>
      <c r="Q97" s="35" t="s">
        <v>115</v>
      </c>
    </row>
    <row r="98" hidden="1" spans="2:17">
      <c r="B98" s="35">
        <f t="shared" si="2"/>
        <v>92</v>
      </c>
      <c r="C98" s="43" t="s">
        <v>1041</v>
      </c>
      <c r="D98" s="43" t="s">
        <v>939</v>
      </c>
      <c r="E98" s="44" t="s">
        <v>966</v>
      </c>
      <c r="F98" s="44" t="s">
        <v>1011</v>
      </c>
      <c r="G98" s="44" t="s">
        <v>483</v>
      </c>
      <c r="H98" s="44" t="s">
        <v>115</v>
      </c>
      <c r="I98" s="44" t="s">
        <v>309</v>
      </c>
      <c r="J98" s="44"/>
      <c r="K98" s="56">
        <f>SUMIF('TB-Jan-25'!$A$12:$A$167,'Working-Jan-25'!C98,'TB-Jan-25'!$E$12:$E$167)</f>
        <v>0</v>
      </c>
      <c r="L98" s="56">
        <f>SUMIF('TB-Jan-25'!I:I,C98,'TB-Jan-25'!M:M)</f>
        <v>0</v>
      </c>
      <c r="M98" s="56">
        <f t="shared" si="3"/>
        <v>0</v>
      </c>
      <c r="N98" s="57">
        <f>IFERROR(VLOOKUP(C98,'[1]TB-Jun-24'!A:F,6,FALSE),0)</f>
        <v>0</v>
      </c>
      <c r="O98" s="35">
        <f>IFERROR(VLOOKUP(C98,'[1]TB-Jun-24'!I:N,6,FALSE),0)</f>
        <v>0</v>
      </c>
      <c r="Q98" s="35" t="s">
        <v>115</v>
      </c>
    </row>
    <row r="99" hidden="1" spans="2:17">
      <c r="B99" s="35">
        <f t="shared" si="2"/>
        <v>93</v>
      </c>
      <c r="C99" s="43" t="s">
        <v>1042</v>
      </c>
      <c r="D99" s="43" t="s">
        <v>935</v>
      </c>
      <c r="E99" s="44" t="s">
        <v>989</v>
      </c>
      <c r="F99" s="44" t="s">
        <v>1011</v>
      </c>
      <c r="G99" s="44" t="s">
        <v>472</v>
      </c>
      <c r="H99" s="44" t="s">
        <v>115</v>
      </c>
      <c r="I99" s="44" t="s">
        <v>309</v>
      </c>
      <c r="J99" s="44"/>
      <c r="K99" s="56">
        <f>SUMIF('TB-Jan-25'!$A$12:$A$167,'Working-Jan-25'!C99,'TB-Jan-25'!$E$12:$E$167)</f>
        <v>0</v>
      </c>
      <c r="L99" s="56">
        <f>SUMIF('TB-Jan-25'!I:I,C99,'TB-Jan-25'!M:M)</f>
        <v>0</v>
      </c>
      <c r="M99" s="56">
        <f t="shared" si="3"/>
        <v>0</v>
      </c>
      <c r="N99" s="57">
        <f>IFERROR(VLOOKUP(C99,'[1]TB-Jun-24'!A:F,6,FALSE),0)</f>
        <v>0</v>
      </c>
      <c r="O99" s="35">
        <f>IFERROR(VLOOKUP(C99,'[1]TB-Jun-24'!I:N,6,FALSE),0)</f>
        <v>0</v>
      </c>
      <c r="Q99" s="35" t="s">
        <v>115</v>
      </c>
    </row>
    <row r="100" hidden="1" spans="2:17">
      <c r="B100" s="35">
        <f t="shared" si="2"/>
        <v>94</v>
      </c>
      <c r="C100" s="43" t="s">
        <v>1043</v>
      </c>
      <c r="D100" s="43" t="s">
        <v>935</v>
      </c>
      <c r="E100" s="44" t="s">
        <v>989</v>
      </c>
      <c r="F100" s="44" t="s">
        <v>1011</v>
      </c>
      <c r="G100" s="44" t="s">
        <v>472</v>
      </c>
      <c r="H100" s="44" t="s">
        <v>1023</v>
      </c>
      <c r="I100" s="44" t="s">
        <v>309</v>
      </c>
      <c r="J100" s="44"/>
      <c r="K100" s="56">
        <f>SUMIF('TB-Jan-25'!$A$12:$A$167,'Working-Jan-25'!C100,'TB-Jan-25'!$E$12:$E$167)</f>
        <v>0</v>
      </c>
      <c r="L100" s="56">
        <f>SUMIF('TB-Jan-25'!I:I,C100,'TB-Jan-25'!M:M)</f>
        <v>0</v>
      </c>
      <c r="M100" s="56">
        <f t="shared" si="3"/>
        <v>0</v>
      </c>
      <c r="N100" s="57">
        <f>IFERROR(VLOOKUP(C100,'[1]TB-Jun-24'!A:F,6,FALSE),0)</f>
        <v>0</v>
      </c>
      <c r="O100" s="35">
        <f>IFERROR(VLOOKUP(C100,'[1]TB-Jun-24'!I:N,6,FALSE),0)</f>
        <v>0</v>
      </c>
      <c r="Q100" s="35" t="s">
        <v>1023</v>
      </c>
    </row>
    <row r="101" hidden="1" spans="2:17">
      <c r="B101" s="35">
        <f t="shared" si="2"/>
        <v>95</v>
      </c>
      <c r="C101" s="43" t="s">
        <v>1044</v>
      </c>
      <c r="D101" s="43" t="s">
        <v>935</v>
      </c>
      <c r="E101" s="44" t="s">
        <v>989</v>
      </c>
      <c r="F101" s="44" t="s">
        <v>1011</v>
      </c>
      <c r="G101" s="44" t="s">
        <v>472</v>
      </c>
      <c r="H101" s="44" t="s">
        <v>1023</v>
      </c>
      <c r="I101" s="44" t="s">
        <v>309</v>
      </c>
      <c r="J101" s="44"/>
      <c r="K101" s="56">
        <f>SUMIF('TB-Jan-25'!$A$12:$A$167,'Working-Jan-25'!C101,'TB-Jan-25'!$E$12:$E$167)</f>
        <v>0</v>
      </c>
      <c r="L101" s="56">
        <f>SUMIF('TB-Jan-25'!I:I,C101,'TB-Jan-25'!M:M)</f>
        <v>0</v>
      </c>
      <c r="M101" s="56">
        <f t="shared" si="3"/>
        <v>0</v>
      </c>
      <c r="N101" s="57">
        <f>IFERROR(VLOOKUP(C101,'[1]TB-Jun-24'!A:F,6,FALSE),0)</f>
        <v>0</v>
      </c>
      <c r="O101" s="35">
        <f>IFERROR(VLOOKUP(C101,'[1]TB-Jun-24'!I:N,6,FALSE),0)</f>
        <v>0</v>
      </c>
      <c r="Q101" s="35" t="s">
        <v>1023</v>
      </c>
    </row>
    <row r="102" hidden="1" spans="2:17">
      <c r="B102" s="35">
        <f t="shared" si="2"/>
        <v>96</v>
      </c>
      <c r="C102" s="43" t="s">
        <v>1045</v>
      </c>
      <c r="D102" s="43" t="s">
        <v>935</v>
      </c>
      <c r="E102" s="44" t="s">
        <v>989</v>
      </c>
      <c r="F102" s="44" t="s">
        <v>1011</v>
      </c>
      <c r="G102" s="44" t="s">
        <v>472</v>
      </c>
      <c r="H102" s="44" t="s">
        <v>1023</v>
      </c>
      <c r="I102" s="44" t="s">
        <v>309</v>
      </c>
      <c r="J102" s="44"/>
      <c r="K102" s="56">
        <f>SUMIF('TB-Jan-25'!$A$12:$A$167,'Working-Jan-25'!C102,'TB-Jan-25'!$E$12:$E$167)</f>
        <v>0</v>
      </c>
      <c r="L102" s="56">
        <f>SUMIF('TB-Jan-25'!I:I,C102,'TB-Jan-25'!M:M)</f>
        <v>0</v>
      </c>
      <c r="M102" s="56">
        <f t="shared" si="3"/>
        <v>0</v>
      </c>
      <c r="N102" s="57">
        <f>IFERROR(VLOOKUP(C102,'[1]TB-Jun-24'!A:F,6,FALSE),0)</f>
        <v>0</v>
      </c>
      <c r="O102" s="35">
        <f>IFERROR(VLOOKUP(C102,'[1]TB-Jun-24'!I:N,6,FALSE),0)</f>
        <v>0</v>
      </c>
      <c r="Q102" s="35" t="s">
        <v>1023</v>
      </c>
    </row>
    <row r="103" hidden="1" spans="2:17">
      <c r="B103" s="35">
        <f t="shared" si="2"/>
        <v>97</v>
      </c>
      <c r="C103" s="43" t="s">
        <v>1046</v>
      </c>
      <c r="D103" s="43" t="s">
        <v>935</v>
      </c>
      <c r="E103" s="44" t="s">
        <v>989</v>
      </c>
      <c r="F103" s="44" t="s">
        <v>1011</v>
      </c>
      <c r="G103" s="44" t="s">
        <v>472</v>
      </c>
      <c r="H103" s="44" t="s">
        <v>1023</v>
      </c>
      <c r="I103" s="44" t="s">
        <v>309</v>
      </c>
      <c r="J103" s="44"/>
      <c r="K103" s="56">
        <f>SUMIF('TB-Jan-25'!$A$12:$A$167,'Working-Jan-25'!C103,'TB-Jan-25'!$E$12:$E$167)</f>
        <v>0</v>
      </c>
      <c r="L103" s="56">
        <f>SUMIF('TB-Jan-25'!I:I,C103,'TB-Jan-25'!M:M)</f>
        <v>0</v>
      </c>
      <c r="M103" s="56">
        <f t="shared" si="3"/>
        <v>0</v>
      </c>
      <c r="N103" s="57">
        <f>IFERROR(VLOOKUP(C103,'[1]TB-Jun-24'!A:F,6,FALSE),0)</f>
        <v>0</v>
      </c>
      <c r="O103" s="35">
        <f>IFERROR(VLOOKUP(C103,'[1]TB-Jun-24'!I:N,6,FALSE),0)</f>
        <v>0</v>
      </c>
      <c r="Q103" s="35" t="s">
        <v>1023</v>
      </c>
    </row>
    <row r="104" hidden="1" spans="2:17">
      <c r="B104" s="35">
        <f t="shared" si="2"/>
        <v>98</v>
      </c>
      <c r="C104" s="43" t="s">
        <v>1047</v>
      </c>
      <c r="D104" s="43" t="s">
        <v>935</v>
      </c>
      <c r="E104" s="44" t="s">
        <v>989</v>
      </c>
      <c r="F104" s="44" t="s">
        <v>1011</v>
      </c>
      <c r="G104" s="44" t="s">
        <v>472</v>
      </c>
      <c r="H104" s="44" t="s">
        <v>1023</v>
      </c>
      <c r="I104" s="44" t="s">
        <v>309</v>
      </c>
      <c r="J104" s="44"/>
      <c r="K104" s="56">
        <f>SUMIF('TB-Jan-25'!$A$12:$A$167,'Working-Jan-25'!C104,'TB-Jan-25'!$E$12:$E$167)</f>
        <v>0</v>
      </c>
      <c r="L104" s="56">
        <f>SUMIF('TB-Jan-25'!I:I,C104,'TB-Jan-25'!M:M)</f>
        <v>0</v>
      </c>
      <c r="M104" s="56">
        <f t="shared" si="3"/>
        <v>0</v>
      </c>
      <c r="N104" s="57">
        <f>IFERROR(VLOOKUP(C104,'[1]TB-Jun-24'!A:F,6,FALSE),0)</f>
        <v>0</v>
      </c>
      <c r="O104" s="35">
        <f>IFERROR(VLOOKUP(C104,'[1]TB-Jun-24'!I:N,6,FALSE),0)</f>
        <v>0</v>
      </c>
      <c r="Q104" s="35" t="s">
        <v>1023</v>
      </c>
    </row>
    <row r="105" hidden="1" spans="2:17">
      <c r="B105" s="35">
        <f t="shared" si="2"/>
        <v>99</v>
      </c>
      <c r="C105" s="43" t="s">
        <v>1048</v>
      </c>
      <c r="D105" s="43" t="s">
        <v>935</v>
      </c>
      <c r="E105" s="44" t="s">
        <v>989</v>
      </c>
      <c r="F105" s="44" t="s">
        <v>1011</v>
      </c>
      <c r="G105" s="44" t="s">
        <v>472</v>
      </c>
      <c r="H105" s="44" t="s">
        <v>1023</v>
      </c>
      <c r="I105" s="44" t="s">
        <v>309</v>
      </c>
      <c r="J105" s="44"/>
      <c r="K105" s="56">
        <f>SUMIF('TB-Jan-25'!$A$12:$A$167,'Working-Jan-25'!C105,'TB-Jan-25'!$E$12:$E$167)</f>
        <v>0</v>
      </c>
      <c r="L105" s="56">
        <f>SUMIF('TB-Jan-25'!I:I,C105,'TB-Jan-25'!M:M)</f>
        <v>0</v>
      </c>
      <c r="M105" s="56">
        <f t="shared" si="3"/>
        <v>0</v>
      </c>
      <c r="N105" s="57">
        <f>IFERROR(VLOOKUP(C105,'[1]TB-Jun-24'!A:F,6,FALSE),0)</f>
        <v>0</v>
      </c>
      <c r="O105" s="35">
        <f>IFERROR(VLOOKUP(C105,'[1]TB-Jun-24'!I:N,6,FALSE),0)</f>
        <v>0</v>
      </c>
      <c r="Q105" s="35" t="s">
        <v>1023</v>
      </c>
    </row>
    <row r="106" hidden="1" spans="2:17">
      <c r="B106" s="35">
        <f t="shared" si="2"/>
        <v>100</v>
      </c>
      <c r="C106" s="43" t="s">
        <v>1049</v>
      </c>
      <c r="D106" s="43" t="s">
        <v>935</v>
      </c>
      <c r="E106" s="44" t="s">
        <v>989</v>
      </c>
      <c r="F106" s="44" t="s">
        <v>1011</v>
      </c>
      <c r="G106" s="44" t="s">
        <v>472</v>
      </c>
      <c r="H106" s="44" t="s">
        <v>1023</v>
      </c>
      <c r="I106" s="44" t="s">
        <v>309</v>
      </c>
      <c r="J106" s="44"/>
      <c r="K106" s="56">
        <f>SUMIF('TB-Jan-25'!$A$12:$A$167,'Working-Jan-25'!C106,'TB-Jan-25'!$E$12:$E$167)</f>
        <v>0</v>
      </c>
      <c r="L106" s="56">
        <f>SUMIF('TB-Jan-25'!I:I,C106,'TB-Jan-25'!M:M)</f>
        <v>0</v>
      </c>
      <c r="M106" s="56">
        <f t="shared" si="3"/>
        <v>0</v>
      </c>
      <c r="N106" s="57">
        <f>IFERROR(VLOOKUP(C106,'[1]TB-Jun-24'!A:F,6,FALSE),0)</f>
        <v>0</v>
      </c>
      <c r="O106" s="35">
        <f>IFERROR(VLOOKUP(C106,'[1]TB-Jun-24'!I:N,6,FALSE),0)</f>
        <v>0</v>
      </c>
      <c r="Q106" s="35" t="s">
        <v>1023</v>
      </c>
    </row>
    <row r="107" hidden="1" spans="2:17">
      <c r="B107" s="35">
        <f t="shared" si="2"/>
        <v>101</v>
      </c>
      <c r="C107" s="43" t="s">
        <v>1050</v>
      </c>
      <c r="D107" s="43" t="s">
        <v>935</v>
      </c>
      <c r="E107" s="44" t="s">
        <v>989</v>
      </c>
      <c r="F107" s="44" t="s">
        <v>1011</v>
      </c>
      <c r="G107" s="44" t="s">
        <v>472</v>
      </c>
      <c r="H107" s="44" t="s">
        <v>1023</v>
      </c>
      <c r="I107" s="44" t="s">
        <v>309</v>
      </c>
      <c r="J107" s="44"/>
      <c r="K107" s="56">
        <f>SUMIF('TB-Jan-25'!$A$12:$A$167,'Working-Jan-25'!C107,'TB-Jan-25'!$E$12:$E$167)</f>
        <v>0</v>
      </c>
      <c r="L107" s="56">
        <f>SUMIF('TB-Jan-25'!I:I,C107,'TB-Jan-25'!M:M)</f>
        <v>0</v>
      </c>
      <c r="M107" s="56">
        <f t="shared" si="3"/>
        <v>0</v>
      </c>
      <c r="N107" s="57">
        <f>IFERROR(VLOOKUP(C107,'[1]TB-Jun-24'!A:F,6,FALSE),0)</f>
        <v>0</v>
      </c>
      <c r="O107" s="35">
        <f>IFERROR(VLOOKUP(C107,'[1]TB-Jun-24'!I:N,6,FALSE),0)</f>
        <v>0</v>
      </c>
      <c r="Q107" s="35" t="s">
        <v>1023</v>
      </c>
    </row>
    <row r="108" hidden="1" spans="2:17">
      <c r="B108" s="35">
        <f t="shared" si="2"/>
        <v>102</v>
      </c>
      <c r="C108" s="43" t="s">
        <v>1051</v>
      </c>
      <c r="D108" s="43" t="s">
        <v>935</v>
      </c>
      <c r="E108" s="44" t="s">
        <v>989</v>
      </c>
      <c r="F108" s="44" t="s">
        <v>1011</v>
      </c>
      <c r="G108" s="44" t="s">
        <v>472</v>
      </c>
      <c r="H108" s="44" t="s">
        <v>1023</v>
      </c>
      <c r="I108" s="44" t="s">
        <v>309</v>
      </c>
      <c r="J108" s="44"/>
      <c r="K108" s="56">
        <f>SUMIF('TB-Jan-25'!$A$12:$A$167,'Working-Jan-25'!C108,'TB-Jan-25'!$E$12:$E$167)</f>
        <v>0</v>
      </c>
      <c r="L108" s="56">
        <f>SUMIF('TB-Jan-25'!I:I,C108,'TB-Jan-25'!M:M)</f>
        <v>0</v>
      </c>
      <c r="M108" s="56">
        <f t="shared" si="3"/>
        <v>0</v>
      </c>
      <c r="N108" s="57">
        <f>IFERROR(VLOOKUP(C108,'[1]TB-Jun-24'!A:F,6,FALSE),0)</f>
        <v>0</v>
      </c>
      <c r="O108" s="35">
        <f>IFERROR(VLOOKUP(C108,'[1]TB-Jun-24'!I:N,6,FALSE),0)</f>
        <v>0</v>
      </c>
      <c r="Q108" s="35" t="s">
        <v>1023</v>
      </c>
    </row>
    <row r="109" hidden="1" spans="2:17">
      <c r="B109" s="35">
        <f t="shared" si="2"/>
        <v>103</v>
      </c>
      <c r="C109" s="43" t="s">
        <v>1052</v>
      </c>
      <c r="D109" s="43" t="s">
        <v>935</v>
      </c>
      <c r="E109" s="44" t="s">
        <v>989</v>
      </c>
      <c r="F109" s="44" t="s">
        <v>1011</v>
      </c>
      <c r="G109" s="44" t="s">
        <v>472</v>
      </c>
      <c r="H109" s="44" t="s">
        <v>1023</v>
      </c>
      <c r="I109" s="44" t="s">
        <v>309</v>
      </c>
      <c r="J109" s="44"/>
      <c r="K109" s="56">
        <f>SUMIF('TB-Jan-25'!$A$12:$A$167,'Working-Jan-25'!C109,'TB-Jan-25'!$E$12:$E$167)</f>
        <v>0</v>
      </c>
      <c r="L109" s="56">
        <f>SUMIF('TB-Jan-25'!I:I,C109,'TB-Jan-25'!M:M)</f>
        <v>0</v>
      </c>
      <c r="M109" s="56">
        <f t="shared" si="3"/>
        <v>0</v>
      </c>
      <c r="N109" s="57">
        <f>IFERROR(VLOOKUP(C109,'[1]TB-Jun-24'!A:F,6,FALSE),0)</f>
        <v>0</v>
      </c>
      <c r="O109" s="35">
        <f>IFERROR(VLOOKUP(C109,'[1]TB-Jun-24'!I:N,6,FALSE),0)</f>
        <v>0</v>
      </c>
      <c r="Q109" s="35" t="s">
        <v>1023</v>
      </c>
    </row>
    <row r="110" hidden="1" spans="2:17">
      <c r="B110" s="35">
        <f t="shared" si="2"/>
        <v>104</v>
      </c>
      <c r="C110" s="43" t="s">
        <v>1053</v>
      </c>
      <c r="D110" s="43" t="s">
        <v>935</v>
      </c>
      <c r="E110" s="44" t="s">
        <v>989</v>
      </c>
      <c r="F110" s="44" t="s">
        <v>1011</v>
      </c>
      <c r="G110" s="44" t="s">
        <v>472</v>
      </c>
      <c r="H110" s="44" t="s">
        <v>1023</v>
      </c>
      <c r="I110" s="44" t="s">
        <v>309</v>
      </c>
      <c r="J110" s="44"/>
      <c r="K110" s="56">
        <f>SUMIF('TB-Jan-25'!$A$12:$A$167,'Working-Jan-25'!C110,'TB-Jan-25'!$E$12:$E$167)</f>
        <v>0</v>
      </c>
      <c r="L110" s="56">
        <f>SUMIF('TB-Jan-25'!I:I,C110,'TB-Jan-25'!M:M)</f>
        <v>0</v>
      </c>
      <c r="M110" s="56">
        <f t="shared" si="3"/>
        <v>0</v>
      </c>
      <c r="N110" s="57">
        <f>IFERROR(VLOOKUP(C110,'[1]TB-Jun-24'!A:F,6,FALSE),0)</f>
        <v>0</v>
      </c>
      <c r="O110" s="35">
        <f>IFERROR(VLOOKUP(C110,'[1]TB-Jun-24'!I:N,6,FALSE),0)</f>
        <v>0</v>
      </c>
      <c r="Q110" s="35" t="s">
        <v>1023</v>
      </c>
    </row>
    <row r="111" hidden="1" spans="2:17">
      <c r="B111" s="35">
        <f t="shared" si="2"/>
        <v>105</v>
      </c>
      <c r="C111" s="43" t="s">
        <v>1054</v>
      </c>
      <c r="D111" s="43" t="s">
        <v>935</v>
      </c>
      <c r="E111" s="44" t="s">
        <v>1001</v>
      </c>
      <c r="F111" s="44" t="s">
        <v>1011</v>
      </c>
      <c r="G111" s="44" t="s">
        <v>472</v>
      </c>
      <c r="H111" s="44" t="s">
        <v>1023</v>
      </c>
      <c r="I111" s="44" t="s">
        <v>309</v>
      </c>
      <c r="J111" s="44"/>
      <c r="K111" s="56">
        <f>SUMIF('TB-Jan-25'!$A$12:$A$167,'Working-Jan-25'!C111,'TB-Jan-25'!$E$12:$E$167)</f>
        <v>0</v>
      </c>
      <c r="L111" s="56">
        <f>SUMIF('TB-Jan-25'!I:I,C111,'TB-Jan-25'!M:M)</f>
        <v>0</v>
      </c>
      <c r="M111" s="56">
        <f t="shared" si="3"/>
        <v>0</v>
      </c>
      <c r="N111" s="57">
        <f>IFERROR(VLOOKUP(C111,'[1]TB-Jun-24'!A:F,6,FALSE),0)</f>
        <v>0</v>
      </c>
      <c r="O111" s="35">
        <f>IFERROR(VLOOKUP(C111,'[1]TB-Jun-24'!I:N,6,FALSE),0)</f>
        <v>0</v>
      </c>
      <c r="Q111" s="35" t="s">
        <v>1023</v>
      </c>
    </row>
    <row r="112" hidden="1" spans="2:17">
      <c r="B112" s="35">
        <f t="shared" si="2"/>
        <v>106</v>
      </c>
      <c r="C112" s="43" t="s">
        <v>1055</v>
      </c>
      <c r="D112" s="43" t="s">
        <v>935</v>
      </c>
      <c r="E112" s="44" t="s">
        <v>478</v>
      </c>
      <c r="F112" s="44" t="s">
        <v>1011</v>
      </c>
      <c r="G112" s="44" t="s">
        <v>478</v>
      </c>
      <c r="H112" s="44" t="s">
        <v>115</v>
      </c>
      <c r="I112" s="44" t="s">
        <v>309</v>
      </c>
      <c r="J112" s="44"/>
      <c r="K112" s="56">
        <f>SUMIF('TB-Jan-25'!$A$12:$A$167,'Working-Jan-25'!C112,'TB-Jan-25'!$E$12:$E$167)</f>
        <v>0</v>
      </c>
      <c r="L112" s="56">
        <f>SUMIF('TB-Jan-25'!I:I,C112,'TB-Jan-25'!M:M)</f>
        <v>0</v>
      </c>
      <c r="M112" s="56">
        <f t="shared" si="3"/>
        <v>0</v>
      </c>
      <c r="N112" s="57">
        <f>IFERROR(VLOOKUP(C112,'[1]TB-Jun-24'!A:F,6,FALSE),0)</f>
        <v>1164</v>
      </c>
      <c r="O112" s="35">
        <f>IFERROR(VLOOKUP(C112,'[1]TB-Jun-24'!I:N,6,FALSE),0)</f>
        <v>115200</v>
      </c>
      <c r="Q112" s="35" t="s">
        <v>115</v>
      </c>
    </row>
    <row r="113" hidden="1" spans="2:17">
      <c r="B113" s="35">
        <f t="shared" si="2"/>
        <v>107</v>
      </c>
      <c r="C113" s="43" t="s">
        <v>694</v>
      </c>
      <c r="D113" s="43" t="s">
        <v>935</v>
      </c>
      <c r="E113" s="44" t="s">
        <v>975</v>
      </c>
      <c r="F113" s="44" t="s">
        <v>1011</v>
      </c>
      <c r="G113" s="44" t="s">
        <v>474</v>
      </c>
      <c r="H113" s="44" t="s">
        <v>115</v>
      </c>
      <c r="I113" s="44" t="s">
        <v>309</v>
      </c>
      <c r="J113" s="44"/>
      <c r="K113" s="56">
        <f>SUMIF('TB-Jan-25'!$A$12:$A$167,'Working-Jan-25'!C113,'TB-Jan-25'!$E$12:$E$167)</f>
        <v>37534.54</v>
      </c>
      <c r="L113" s="56">
        <f>SUMIF('TB-Jan-25'!I:I,C113,'TB-Jan-25'!M:M)</f>
        <v>0</v>
      </c>
      <c r="M113" s="56">
        <f t="shared" si="3"/>
        <v>37534.54</v>
      </c>
      <c r="N113" s="57" t="e">
        <f>SUMIF([6]Final!$B:$B,C113,[6]Final!$F:$F)-M113</f>
        <v>#VALUE!</v>
      </c>
      <c r="O113" s="35">
        <f>IFERROR(VLOOKUP(C113,'[1]TB-Jun-24'!I:N,6,FALSE),0)</f>
        <v>0</v>
      </c>
      <c r="Q113" s="35" t="s">
        <v>115</v>
      </c>
    </row>
    <row r="114" hidden="1" spans="2:17">
      <c r="B114" s="35">
        <f t="shared" si="2"/>
        <v>108</v>
      </c>
      <c r="C114" s="43" t="s">
        <v>1056</v>
      </c>
      <c r="D114" s="43" t="s">
        <v>939</v>
      </c>
      <c r="E114" s="44" t="s">
        <v>1004</v>
      </c>
      <c r="F114" s="44" t="s">
        <v>1011</v>
      </c>
      <c r="G114" s="44" t="s">
        <v>494</v>
      </c>
      <c r="H114" s="44" t="s">
        <v>115</v>
      </c>
      <c r="I114" s="44" t="s">
        <v>309</v>
      </c>
      <c r="J114" s="44"/>
      <c r="K114" s="56">
        <f>SUMIF('TB-Jan-25'!$A$12:$A$167,'Working-Jan-25'!C114,'TB-Jan-25'!$E$12:$E$167)</f>
        <v>0</v>
      </c>
      <c r="L114" s="56">
        <f>SUMIF('TB-Jan-25'!I:I,C114,'TB-Jan-25'!M:M)</f>
        <v>0</v>
      </c>
      <c r="M114" s="56">
        <f t="shared" si="3"/>
        <v>0</v>
      </c>
      <c r="N114" s="57">
        <f>IFERROR(VLOOKUP(C114,'[1]TB-Jun-24'!A:F,6,FALSE),0)</f>
        <v>5831</v>
      </c>
      <c r="O114" s="35">
        <f>IFERROR(VLOOKUP(C114,'[1]TB-Jun-24'!I:N,6,FALSE),0)</f>
        <v>0</v>
      </c>
      <c r="Q114" s="35" t="s">
        <v>115</v>
      </c>
    </row>
    <row r="115" hidden="1" spans="2:17">
      <c r="B115" s="35">
        <f t="shared" si="2"/>
        <v>109</v>
      </c>
      <c r="C115" s="43" t="s">
        <v>1057</v>
      </c>
      <c r="D115" s="43" t="s">
        <v>935</v>
      </c>
      <c r="E115" s="44" t="s">
        <v>1058</v>
      </c>
      <c r="F115" s="44" t="s">
        <v>1011</v>
      </c>
      <c r="G115" s="44" t="s">
        <v>563</v>
      </c>
      <c r="H115" s="44" t="s">
        <v>115</v>
      </c>
      <c r="I115" s="44" t="s">
        <v>309</v>
      </c>
      <c r="J115" s="44"/>
      <c r="K115" s="56">
        <f>SUMIF('TB-Jan-25'!$A$12:$A$167,'Working-Jan-25'!C115,'TB-Jan-25'!$E$12:$E$167)</f>
        <v>0</v>
      </c>
      <c r="L115" s="56">
        <f>SUMIF('TB-Jan-25'!I:I,C115,'TB-Jan-25'!M:M)</f>
        <v>0</v>
      </c>
      <c r="M115" s="56">
        <f t="shared" si="3"/>
        <v>0</v>
      </c>
      <c r="N115" s="57">
        <f>IFERROR(VLOOKUP(C115,'[1]TB-Jun-24'!A:F,6,FALSE),0)</f>
        <v>0</v>
      </c>
      <c r="O115" s="35">
        <f>IFERROR(VLOOKUP(C115,'[1]TB-Jun-24'!I:N,6,FALSE),0)</f>
        <v>62088</v>
      </c>
      <c r="Q115" s="35" t="s">
        <v>115</v>
      </c>
    </row>
    <row r="116" hidden="1" spans="2:17">
      <c r="B116" s="35">
        <f t="shared" si="2"/>
        <v>110</v>
      </c>
      <c r="C116" s="43" t="s">
        <v>1059</v>
      </c>
      <c r="D116" s="43" t="s">
        <v>935</v>
      </c>
      <c r="E116" s="44" t="s">
        <v>1058</v>
      </c>
      <c r="F116" s="44" t="s">
        <v>1011</v>
      </c>
      <c r="G116" s="44" t="s">
        <v>563</v>
      </c>
      <c r="H116" s="44" t="s">
        <v>115</v>
      </c>
      <c r="I116" s="44" t="s">
        <v>309</v>
      </c>
      <c r="J116" s="44"/>
      <c r="K116" s="56">
        <f>SUMIF('TB-Jan-25'!$A$12:$A$167,'Working-Jan-25'!C116,'TB-Jan-25'!$E$12:$E$167)</f>
        <v>0</v>
      </c>
      <c r="L116" s="56">
        <f>SUMIF('TB-Jan-25'!I:I,C116,'TB-Jan-25'!M:M)</f>
        <v>0</v>
      </c>
      <c r="M116" s="56">
        <f t="shared" si="3"/>
        <v>0</v>
      </c>
      <c r="N116" s="57">
        <f>IFERROR(VLOOKUP(C116,'[1]TB-Jun-24'!A:F,6,FALSE),0)</f>
        <v>0</v>
      </c>
      <c r="O116" s="35">
        <f>IFERROR(VLOOKUP(C116,'[1]TB-Jun-24'!I:N,6,FALSE),0)</f>
        <v>0</v>
      </c>
      <c r="Q116" s="35" t="s">
        <v>115</v>
      </c>
    </row>
    <row r="117" hidden="1" spans="2:17">
      <c r="B117" s="35">
        <f t="shared" si="2"/>
        <v>111</v>
      </c>
      <c r="C117" s="43" t="s">
        <v>1060</v>
      </c>
      <c r="D117" s="43" t="s">
        <v>935</v>
      </c>
      <c r="E117" s="44" t="s">
        <v>1058</v>
      </c>
      <c r="F117" s="44" t="s">
        <v>1011</v>
      </c>
      <c r="G117" s="44" t="s">
        <v>563</v>
      </c>
      <c r="H117" s="44" t="s">
        <v>115</v>
      </c>
      <c r="I117" s="44" t="s">
        <v>309</v>
      </c>
      <c r="J117" s="44"/>
      <c r="K117" s="56">
        <f>SUMIF('TB-Jan-25'!$A$12:$A$167,'Working-Jan-25'!C117,'TB-Jan-25'!$E$12:$E$167)</f>
        <v>0</v>
      </c>
      <c r="L117" s="56">
        <f>SUMIF('TB-Jan-25'!I:I,C117,'TB-Jan-25'!M:M)</f>
        <v>0</v>
      </c>
      <c r="M117" s="56">
        <f t="shared" si="3"/>
        <v>0</v>
      </c>
      <c r="N117" s="57">
        <f>IFERROR(VLOOKUP(C117,'[1]TB-Jun-24'!A:F,6,FALSE),0)</f>
        <v>0</v>
      </c>
      <c r="O117" s="35">
        <f>IFERROR(VLOOKUP(C117,'[1]TB-Jun-24'!I:N,6,FALSE),0)</f>
        <v>0</v>
      </c>
      <c r="Q117" s="35" t="s">
        <v>115</v>
      </c>
    </row>
    <row r="118" hidden="1" spans="2:17">
      <c r="B118" s="35">
        <f t="shared" si="2"/>
        <v>112</v>
      </c>
      <c r="C118" s="43" t="s">
        <v>1061</v>
      </c>
      <c r="D118" s="43" t="s">
        <v>935</v>
      </c>
      <c r="E118" s="44" t="s">
        <v>1058</v>
      </c>
      <c r="F118" s="44" t="s">
        <v>1011</v>
      </c>
      <c r="G118" s="44" t="s">
        <v>563</v>
      </c>
      <c r="H118" s="44" t="s">
        <v>115</v>
      </c>
      <c r="I118" s="44" t="s">
        <v>309</v>
      </c>
      <c r="J118" s="44"/>
      <c r="K118" s="56">
        <f>SUMIF('TB-Jan-25'!$A$12:$A$167,'Working-Jan-25'!C118,'TB-Jan-25'!$E$12:$E$167)</f>
        <v>0</v>
      </c>
      <c r="L118" s="56">
        <f>SUMIF('TB-Jan-25'!I:I,C118,'TB-Jan-25'!M:M)</f>
        <v>0</v>
      </c>
      <c r="M118" s="56">
        <f t="shared" si="3"/>
        <v>0</v>
      </c>
      <c r="N118" s="57">
        <f>IFERROR(VLOOKUP(C118,'[1]TB-Jun-24'!A:F,6,FALSE),0)</f>
        <v>0</v>
      </c>
      <c r="O118" s="35">
        <f>IFERROR(VLOOKUP(C118,'[1]TB-Jun-24'!I:N,6,FALSE),0)</f>
        <v>54274</v>
      </c>
      <c r="Q118" s="35" t="s">
        <v>115</v>
      </c>
    </row>
    <row r="119" hidden="1" spans="2:17">
      <c r="B119" s="35">
        <f t="shared" si="2"/>
        <v>113</v>
      </c>
      <c r="C119" s="43" t="s">
        <v>1062</v>
      </c>
      <c r="D119" s="43" t="s">
        <v>935</v>
      </c>
      <c r="E119" s="44" t="s">
        <v>1058</v>
      </c>
      <c r="F119" s="44" t="s">
        <v>1011</v>
      </c>
      <c r="G119" s="44" t="s">
        <v>563</v>
      </c>
      <c r="H119" s="44" t="s">
        <v>115</v>
      </c>
      <c r="I119" s="44" t="s">
        <v>309</v>
      </c>
      <c r="J119" s="44"/>
      <c r="K119" s="56">
        <f>SUMIF('TB-Jan-25'!$A$12:$A$167,'Working-Jan-25'!C119,'TB-Jan-25'!$E$12:$E$167)</f>
        <v>0</v>
      </c>
      <c r="L119" s="56">
        <f>SUMIF('TB-Jan-25'!I:I,C119,'TB-Jan-25'!M:M)</f>
        <v>0</v>
      </c>
      <c r="M119" s="56">
        <f t="shared" si="3"/>
        <v>0</v>
      </c>
      <c r="N119" s="57">
        <f>IFERROR(VLOOKUP(C119,'[1]TB-Jun-24'!A:F,6,FALSE),0)</f>
        <v>0</v>
      </c>
      <c r="O119" s="35">
        <f>IFERROR(VLOOKUP(C119,'[1]TB-Jun-24'!I:N,6,FALSE),0)</f>
        <v>2450</v>
      </c>
      <c r="Q119" s="35" t="s">
        <v>115</v>
      </c>
    </row>
    <row r="120" hidden="1" spans="2:17">
      <c r="B120" s="35">
        <f t="shared" si="2"/>
        <v>114</v>
      </c>
      <c r="C120" s="43" t="s">
        <v>1063</v>
      </c>
      <c r="D120" s="43" t="s">
        <v>935</v>
      </c>
      <c r="E120" s="44" t="s">
        <v>1058</v>
      </c>
      <c r="F120" s="44" t="s">
        <v>1011</v>
      </c>
      <c r="G120" s="44" t="s">
        <v>563</v>
      </c>
      <c r="H120" s="44" t="s">
        <v>115</v>
      </c>
      <c r="I120" s="44" t="s">
        <v>309</v>
      </c>
      <c r="J120" s="44"/>
      <c r="K120" s="56">
        <f>SUMIF('TB-Jan-25'!$A$12:$A$167,'Working-Jan-25'!C120,'TB-Jan-25'!$E$12:$E$167)</f>
        <v>0</v>
      </c>
      <c r="L120" s="56">
        <f>SUMIF('TB-Jan-25'!I:I,C120,'TB-Jan-25'!M:M)</f>
        <v>0</v>
      </c>
      <c r="M120" s="56">
        <f t="shared" si="3"/>
        <v>0</v>
      </c>
      <c r="N120" s="57">
        <f>IFERROR(VLOOKUP(C120,'[1]TB-Jun-24'!A:F,6,FALSE),0)</f>
        <v>0</v>
      </c>
      <c r="O120" s="35">
        <f>IFERROR(VLOOKUP(C120,'[1]TB-Jun-24'!I:N,6,FALSE),0)</f>
        <v>0</v>
      </c>
      <c r="Q120" s="35" t="s">
        <v>115</v>
      </c>
    </row>
    <row r="121" hidden="1" spans="2:17">
      <c r="B121" s="35">
        <f t="shared" si="2"/>
        <v>115</v>
      </c>
      <c r="C121" s="43" t="s">
        <v>1064</v>
      </c>
      <c r="D121" s="43" t="s">
        <v>935</v>
      </c>
      <c r="E121" s="44" t="s">
        <v>1058</v>
      </c>
      <c r="F121" s="44" t="s">
        <v>1011</v>
      </c>
      <c r="G121" s="44" t="s">
        <v>563</v>
      </c>
      <c r="H121" s="44" t="s">
        <v>115</v>
      </c>
      <c r="I121" s="44" t="s">
        <v>309</v>
      </c>
      <c r="J121" s="44"/>
      <c r="K121" s="56">
        <f>SUMIF('TB-Jan-25'!$A$12:$A$167,'Working-Jan-25'!C121,'TB-Jan-25'!$E$12:$E$167)</f>
        <v>0</v>
      </c>
      <c r="L121" s="56">
        <f>SUMIF('TB-Jan-25'!I:I,C121,'TB-Jan-25'!M:M)</f>
        <v>0</v>
      </c>
      <c r="M121" s="56">
        <f t="shared" si="3"/>
        <v>0</v>
      </c>
      <c r="N121" s="57">
        <f>IFERROR(VLOOKUP(C121,'[1]TB-Jun-24'!A:F,6,FALSE),0)</f>
        <v>0</v>
      </c>
      <c r="O121" s="35">
        <f>IFERROR(VLOOKUP(C121,'[1]TB-Jun-24'!I:N,6,FALSE),0)</f>
        <v>0</v>
      </c>
      <c r="Q121" s="35" t="s">
        <v>115</v>
      </c>
    </row>
    <row r="122" spans="2:17">
      <c r="B122" s="35">
        <f t="shared" si="2"/>
        <v>116</v>
      </c>
      <c r="C122" s="43" t="s">
        <v>867</v>
      </c>
      <c r="D122" s="46" t="s">
        <v>935</v>
      </c>
      <c r="E122" s="47" t="s">
        <v>1065</v>
      </c>
      <c r="F122" s="47" t="s">
        <v>1011</v>
      </c>
      <c r="G122" s="44" t="s">
        <v>515</v>
      </c>
      <c r="H122" s="44" t="s">
        <v>120</v>
      </c>
      <c r="I122" s="44" t="s">
        <v>309</v>
      </c>
      <c r="J122" s="44"/>
      <c r="K122" s="56">
        <f>SUMIF('TB-Jan-25'!$A$12:$A$167,'Working-Jan-25'!C122,'TB-Jan-25'!$E$12:$E$167)</f>
        <v>0</v>
      </c>
      <c r="L122" s="56">
        <f>SUMIF('TB-Jan-25'!I:I,C122,'TB-Jan-25'!M:M)</f>
        <v>8000</v>
      </c>
      <c r="M122" s="56">
        <f t="shared" si="3"/>
        <v>8000</v>
      </c>
      <c r="N122" s="57" t="e">
        <f>SUMIF([6]Final!$B:$B,C122,[6]Final!$F:$F)-M122</f>
        <v>#VALUE!</v>
      </c>
      <c r="O122" s="35">
        <f>IFERROR(VLOOKUP(C122,'[1]TB-Jun-24'!I:N,6,FALSE),0)</f>
        <v>8000</v>
      </c>
      <c r="Q122" s="35" t="s">
        <v>120</v>
      </c>
    </row>
    <row r="123" hidden="1" spans="2:17">
      <c r="B123" s="35">
        <f t="shared" si="2"/>
        <v>117</v>
      </c>
      <c r="C123" s="43" t="s">
        <v>1066</v>
      </c>
      <c r="D123" s="43" t="s">
        <v>935</v>
      </c>
      <c r="E123" s="44" t="s">
        <v>1058</v>
      </c>
      <c r="F123" s="44" t="s">
        <v>1011</v>
      </c>
      <c r="G123" s="44" t="s">
        <v>563</v>
      </c>
      <c r="H123" s="44" t="s">
        <v>115</v>
      </c>
      <c r="I123" s="44" t="s">
        <v>309</v>
      </c>
      <c r="J123" s="44"/>
      <c r="K123" s="56">
        <f>SUMIF('TB-Jan-25'!$A$12:$A$167,'Working-Jan-25'!C123,'TB-Jan-25'!$E$12:$E$167)</f>
        <v>0</v>
      </c>
      <c r="L123" s="56">
        <f>SUMIF('TB-Jan-25'!I:I,C123,'TB-Jan-25'!M:M)</f>
        <v>0</v>
      </c>
      <c r="M123" s="56">
        <f t="shared" si="3"/>
        <v>0</v>
      </c>
      <c r="N123" s="57">
        <f>IFERROR(VLOOKUP(C123,'[1]TB-Jun-24'!A:F,6,FALSE),0)</f>
        <v>0</v>
      </c>
      <c r="O123" s="35">
        <f>IFERROR(VLOOKUP(C123,'[1]TB-Jun-24'!I:N,6,FALSE),0)</f>
        <v>0</v>
      </c>
      <c r="Q123" s="35" t="s">
        <v>115</v>
      </c>
    </row>
    <row r="124" hidden="1" spans="2:17">
      <c r="B124" s="35">
        <f t="shared" si="2"/>
        <v>118</v>
      </c>
      <c r="C124" s="43" t="s">
        <v>108</v>
      </c>
      <c r="D124" s="43" t="s">
        <v>935</v>
      </c>
      <c r="E124" s="44" t="s">
        <v>1058</v>
      </c>
      <c r="F124" s="44" t="s">
        <v>1011</v>
      </c>
      <c r="G124" s="44" t="s">
        <v>563</v>
      </c>
      <c r="H124" s="44" t="s">
        <v>115</v>
      </c>
      <c r="I124" s="44" t="s">
        <v>309</v>
      </c>
      <c r="J124" s="44"/>
      <c r="K124" s="56">
        <f>SUMIF('TB-Jan-25'!$A$12:$A$167,'Working-Jan-25'!C124,'TB-Jan-25'!$E$12:$E$167)</f>
        <v>0</v>
      </c>
      <c r="L124" s="56">
        <f>SUMIF('TB-Jan-25'!I:I,C124,'TB-Jan-25'!M:M)</f>
        <v>0</v>
      </c>
      <c r="M124" s="56">
        <f t="shared" si="3"/>
        <v>0</v>
      </c>
      <c r="N124" s="57">
        <f>IFERROR(VLOOKUP(C124,'[1]TB-Jun-24'!A:F,6,FALSE),0)</f>
        <v>0</v>
      </c>
      <c r="O124" s="35">
        <f>IFERROR(VLOOKUP(C124,'[1]TB-Jun-24'!I:N,6,FALSE),0)</f>
        <v>0</v>
      </c>
      <c r="Q124" s="35" t="s">
        <v>115</v>
      </c>
    </row>
    <row r="125" hidden="1" spans="2:14">
      <c r="B125" s="35">
        <f t="shared" si="2"/>
        <v>119</v>
      </c>
      <c r="C125" s="43" t="s">
        <v>1067</v>
      </c>
      <c r="D125" s="43" t="s">
        <v>935</v>
      </c>
      <c r="E125" s="44" t="s">
        <v>1058</v>
      </c>
      <c r="F125" s="44" t="s">
        <v>1011</v>
      </c>
      <c r="G125" s="44" t="s">
        <v>563</v>
      </c>
      <c r="H125" s="44" t="s">
        <v>115</v>
      </c>
      <c r="I125" s="44" t="s">
        <v>309</v>
      </c>
      <c r="J125" s="44"/>
      <c r="K125" s="56">
        <f>SUMIF('TB-Jan-25'!$A$12:$A$167,'Working-Jan-25'!C125,'TB-Jan-25'!$E$12:$E$167)</f>
        <v>0</v>
      </c>
      <c r="L125" s="56">
        <f>SUMIF('TB-Jan-25'!I:I,C125,'TB-Jan-25'!M:M)</f>
        <v>0</v>
      </c>
      <c r="M125" s="56">
        <f t="shared" si="3"/>
        <v>0</v>
      </c>
      <c r="N125" s="57"/>
    </row>
    <row r="126" hidden="1" spans="2:14">
      <c r="B126" s="35">
        <f t="shared" si="2"/>
        <v>120</v>
      </c>
      <c r="C126" s="58" t="s">
        <v>1014</v>
      </c>
      <c r="D126" s="43"/>
      <c r="E126" s="44"/>
      <c r="F126" s="44"/>
      <c r="G126" s="44"/>
      <c r="H126" s="44"/>
      <c r="I126" s="44"/>
      <c r="J126" s="44"/>
      <c r="K126" s="60">
        <f>SUM(K73:K125)</f>
        <v>37534.54</v>
      </c>
      <c r="L126" s="60">
        <f>SUM(L73:L125)</f>
        <v>65500</v>
      </c>
      <c r="M126" s="60">
        <f>SUM(M73:M125)</f>
        <v>103034.54</v>
      </c>
      <c r="N126" s="57"/>
    </row>
    <row r="127" hidden="1" spans="2:14">
      <c r="B127" s="35">
        <f t="shared" si="2"/>
        <v>121</v>
      </c>
      <c r="C127" s="43"/>
      <c r="D127" s="43"/>
      <c r="E127" s="44"/>
      <c r="F127" s="44"/>
      <c r="G127" s="44"/>
      <c r="H127" s="44"/>
      <c r="I127" s="44"/>
      <c r="J127" s="44"/>
      <c r="K127" s="56"/>
      <c r="L127" s="56"/>
      <c r="M127" s="56"/>
      <c r="N127" s="57"/>
    </row>
    <row r="128" hidden="1" spans="2:17">
      <c r="B128" s="35">
        <f t="shared" si="2"/>
        <v>122</v>
      </c>
      <c r="C128" s="43" t="s">
        <v>711</v>
      </c>
      <c r="D128" s="43" t="s">
        <v>935</v>
      </c>
      <c r="E128" s="44" t="s">
        <v>942</v>
      </c>
      <c r="F128" s="44" t="s">
        <v>33</v>
      </c>
      <c r="G128" s="44" t="s">
        <v>493</v>
      </c>
      <c r="H128" s="44" t="s">
        <v>120</v>
      </c>
      <c r="I128" s="44" t="s">
        <v>309</v>
      </c>
      <c r="J128" s="44"/>
      <c r="K128" s="56">
        <f>SUMIF('TB-Jan-25'!$A$12:$A$167,'Working-Jan-25'!C128,'TB-Jan-25'!$E$12:$E$167)</f>
        <v>649097</v>
      </c>
      <c r="L128" s="56">
        <f>SUMIF('TB-Jan-25'!I:I,C128,'TB-Jan-25'!M:M)</f>
        <v>-481338</v>
      </c>
      <c r="M128" s="56">
        <f t="shared" ref="M128:M193" si="4">K128+L128</f>
        <v>167759</v>
      </c>
      <c r="N128" s="57" t="e">
        <f>SUMIF([6]Final!$B:$B,C128,[6]Final!$F:$F)-M128</f>
        <v>#VALUE!</v>
      </c>
      <c r="O128" s="35">
        <f>IFERROR(VLOOKUP(C128,'[1]TB-Jun-24'!I:N,6,FALSE),0)</f>
        <v>-572264</v>
      </c>
      <c r="Q128" s="35" t="s">
        <v>120</v>
      </c>
    </row>
    <row r="129" hidden="1" spans="2:17">
      <c r="B129" s="35">
        <f t="shared" si="2"/>
        <v>123</v>
      </c>
      <c r="C129" s="43" t="s">
        <v>1068</v>
      </c>
      <c r="D129" s="43" t="s">
        <v>935</v>
      </c>
      <c r="E129" s="44" t="s">
        <v>942</v>
      </c>
      <c r="F129" s="44" t="s">
        <v>33</v>
      </c>
      <c r="G129" s="44" t="s">
        <v>493</v>
      </c>
      <c r="H129" s="44" t="s">
        <v>120</v>
      </c>
      <c r="I129" s="44" t="s">
        <v>309</v>
      </c>
      <c r="J129" s="44"/>
      <c r="K129" s="56">
        <f>SUMIF('TB-Jan-25'!$A$12:$A$167,'Working-Jan-25'!C129,'TB-Jan-25'!$E$12:$E$167)</f>
        <v>0</v>
      </c>
      <c r="L129" s="56">
        <f>SUMIF('TB-Jan-25'!I:I,C129,'TB-Jan-25'!M:M)</f>
        <v>0</v>
      </c>
      <c r="M129" s="56">
        <f t="shared" si="4"/>
        <v>0</v>
      </c>
      <c r="N129" s="57">
        <f>IFERROR(VLOOKUP(C129,'[1]TB-Jun-24'!A:F,6,FALSE),0)</f>
        <v>0</v>
      </c>
      <c r="O129" s="35">
        <f>IFERROR(VLOOKUP(C129,'[1]TB-Jun-24'!I:N,6,FALSE),0)</f>
        <v>0</v>
      </c>
      <c r="Q129" s="35" t="s">
        <v>493</v>
      </c>
    </row>
    <row r="130" hidden="1" spans="2:17">
      <c r="B130" s="35">
        <f t="shared" si="2"/>
        <v>124</v>
      </c>
      <c r="C130" s="43" t="s">
        <v>712</v>
      </c>
      <c r="D130" s="43" t="s">
        <v>935</v>
      </c>
      <c r="E130" s="44" t="s">
        <v>942</v>
      </c>
      <c r="F130" s="44" t="s">
        <v>33</v>
      </c>
      <c r="G130" s="44" t="s">
        <v>532</v>
      </c>
      <c r="H130" s="44" t="s">
        <v>120</v>
      </c>
      <c r="I130" s="44" t="s">
        <v>309</v>
      </c>
      <c r="J130" s="44"/>
      <c r="K130" s="56">
        <f>SUMIF('TB-Jan-25'!$A$12:$A$167,'Working-Jan-25'!C130,'TB-Jan-25'!$E$12:$E$167)</f>
        <v>30754</v>
      </c>
      <c r="L130" s="56">
        <f>SUMIF('TB-Jan-25'!I:I,C130,'TB-Jan-25'!M:M)</f>
        <v>0</v>
      </c>
      <c r="M130" s="56">
        <f t="shared" si="4"/>
        <v>30754</v>
      </c>
      <c r="N130" s="57" t="e">
        <f>SUMIF([6]Final!$B:$B,C130,[6]Final!$F:$F)-M130</f>
        <v>#VALUE!</v>
      </c>
      <c r="O130" s="35">
        <f>IFERROR(VLOOKUP(C130,'[1]TB-Jun-24'!I:N,6,FALSE),0)</f>
        <v>0</v>
      </c>
      <c r="Q130" s="35" t="s">
        <v>120</v>
      </c>
    </row>
    <row r="131" hidden="1" spans="2:17">
      <c r="B131" s="35">
        <f t="shared" si="2"/>
        <v>125</v>
      </c>
      <c r="C131" s="43" t="s">
        <v>1069</v>
      </c>
      <c r="D131" s="43" t="s">
        <v>939</v>
      </c>
      <c r="E131" s="44" t="s">
        <v>1070</v>
      </c>
      <c r="F131" s="44" t="s">
        <v>33</v>
      </c>
      <c r="G131" s="44" t="s">
        <v>588</v>
      </c>
      <c r="H131" s="44" t="s">
        <v>120</v>
      </c>
      <c r="I131" s="44" t="s">
        <v>309</v>
      </c>
      <c r="J131" s="44"/>
      <c r="K131" s="56">
        <f>SUMIF('TB-Jan-25'!$A$12:$A$167,'Working-Jan-25'!C131,'TB-Jan-25'!$E$12:$E$167)</f>
        <v>0</v>
      </c>
      <c r="L131" s="56">
        <f>SUMIF('TB-Jan-25'!I:I,C131,'TB-Jan-25'!M:M)</f>
        <v>0</v>
      </c>
      <c r="M131" s="56">
        <f t="shared" si="4"/>
        <v>0</v>
      </c>
      <c r="N131" s="57">
        <f>IFERROR(VLOOKUP(C131,'[1]TB-Jun-24'!A:F,6,FALSE),0)</f>
        <v>0</v>
      </c>
      <c r="O131" s="35">
        <f>IFERROR(VLOOKUP(C131,'[1]TB-Jun-24'!I:N,6,FALSE),0)</f>
        <v>0</v>
      </c>
      <c r="Q131" s="35" t="s">
        <v>120</v>
      </c>
    </row>
    <row r="132" spans="2:17">
      <c r="B132" s="35">
        <f t="shared" si="2"/>
        <v>126</v>
      </c>
      <c r="C132" s="43" t="s">
        <v>1071</v>
      </c>
      <c r="D132" s="46" t="s">
        <v>939</v>
      </c>
      <c r="E132" s="47" t="s">
        <v>1070</v>
      </c>
      <c r="F132" s="47" t="s">
        <v>33</v>
      </c>
      <c r="G132" s="44" t="s">
        <v>515</v>
      </c>
      <c r="H132" s="44" t="s">
        <v>120</v>
      </c>
      <c r="I132" s="44" t="s">
        <v>309</v>
      </c>
      <c r="J132" s="44"/>
      <c r="K132" s="56">
        <f>SUMIF('TB-Jan-25'!$A$12:$A$167,'Working-Jan-25'!C132,'TB-Jan-25'!$E$12:$E$167)</f>
        <v>0</v>
      </c>
      <c r="L132" s="56">
        <f>SUMIF('TB-Jan-25'!I:I,C132,'TB-Jan-25'!M:M)</f>
        <v>0</v>
      </c>
      <c r="M132" s="56">
        <f t="shared" si="4"/>
        <v>0</v>
      </c>
      <c r="N132" s="57">
        <f>IFERROR(VLOOKUP(C132,'[1]TB-Jun-24'!A:F,6,FALSE),0)</f>
        <v>0</v>
      </c>
      <c r="O132" s="35">
        <f>IFERROR(VLOOKUP(C132,'[1]TB-Jun-24'!I:N,6,FALSE),0)</f>
        <v>0</v>
      </c>
      <c r="Q132" s="35" t="s">
        <v>120</v>
      </c>
    </row>
    <row r="133" hidden="1" spans="2:17">
      <c r="B133" s="35">
        <f t="shared" si="2"/>
        <v>127</v>
      </c>
      <c r="C133" s="43" t="s">
        <v>1072</v>
      </c>
      <c r="D133" s="43" t="s">
        <v>939</v>
      </c>
      <c r="E133" s="44" t="s">
        <v>1004</v>
      </c>
      <c r="F133" s="44" t="s">
        <v>33</v>
      </c>
      <c r="G133" s="44" t="s">
        <v>1073</v>
      </c>
      <c r="H133" s="44" t="s">
        <v>120</v>
      </c>
      <c r="I133" s="44" t="s">
        <v>309</v>
      </c>
      <c r="J133" s="44"/>
      <c r="K133" s="56">
        <f>SUMIF('TB-Jan-25'!$A$12:$A$167,'Working-Jan-25'!C133,'TB-Jan-25'!$E$12:$E$167)</f>
        <v>0</v>
      </c>
      <c r="L133" s="56">
        <f>SUMIF('TB-Jan-25'!I:I,C133,'TB-Jan-25'!M:M)</f>
        <v>0</v>
      </c>
      <c r="M133" s="56">
        <f t="shared" si="4"/>
        <v>0</v>
      </c>
      <c r="N133" s="57">
        <f>IFERROR(VLOOKUP(C133,'[1]TB-Jun-24'!A:F,6,FALSE),0)</f>
        <v>0</v>
      </c>
      <c r="O133" s="35">
        <f>IFERROR(VLOOKUP(C133,'[1]TB-Jun-24'!I:N,6,FALSE),0)</f>
        <v>0</v>
      </c>
      <c r="Q133" s="35" t="s">
        <v>120</v>
      </c>
    </row>
    <row r="134" hidden="1" spans="2:17">
      <c r="B134" s="35">
        <f t="shared" si="2"/>
        <v>128</v>
      </c>
      <c r="C134" s="43" t="s">
        <v>1074</v>
      </c>
      <c r="D134" s="43" t="s">
        <v>939</v>
      </c>
      <c r="E134" s="44" t="s">
        <v>1075</v>
      </c>
      <c r="F134" s="44" t="s">
        <v>33</v>
      </c>
      <c r="G134" s="44" t="s">
        <v>548</v>
      </c>
      <c r="H134" s="44" t="s">
        <v>33</v>
      </c>
      <c r="I134" s="44" t="s">
        <v>309</v>
      </c>
      <c r="J134" s="44"/>
      <c r="K134" s="56">
        <f>SUMIF('TB-Jan-25'!$A$12:$A$167,'Working-Jan-25'!C134,'TB-Jan-25'!$E$12:$E$167)</f>
        <v>0</v>
      </c>
      <c r="L134" s="56">
        <f>SUMIF('TB-Jan-25'!I:I,C134,'TB-Jan-25'!M:M)</f>
        <v>0</v>
      </c>
      <c r="M134" s="56">
        <f t="shared" si="4"/>
        <v>0</v>
      </c>
      <c r="N134" s="57">
        <f>IFERROR(VLOOKUP(C134,'[1]TB-Jun-24'!A:F,6,FALSE),0)</f>
        <v>0</v>
      </c>
      <c r="O134" s="35">
        <f>IFERROR(VLOOKUP(C134,'[1]TB-Jun-24'!I:N,6,FALSE),0)</f>
        <v>0</v>
      </c>
      <c r="Q134" s="35" t="s">
        <v>33</v>
      </c>
    </row>
    <row r="135" spans="2:17">
      <c r="B135" s="35">
        <f t="shared" ref="B135:B199" si="5">+B134+1</f>
        <v>129</v>
      </c>
      <c r="C135" s="43" t="s">
        <v>1076</v>
      </c>
      <c r="D135" s="46" t="s">
        <v>939</v>
      </c>
      <c r="E135" s="47" t="s">
        <v>1077</v>
      </c>
      <c r="F135" s="47" t="s">
        <v>33</v>
      </c>
      <c r="G135" s="44" t="s">
        <v>515</v>
      </c>
      <c r="H135" s="44" t="s">
        <v>120</v>
      </c>
      <c r="I135" s="44" t="s">
        <v>309</v>
      </c>
      <c r="J135" s="44"/>
      <c r="K135" s="56">
        <f>SUMIF('TB-Jan-25'!$A$12:$A$167,'Working-Jan-25'!C135,'TB-Jan-25'!$E$12:$E$167)</f>
        <v>0</v>
      </c>
      <c r="L135" s="56">
        <f>SUMIF('TB-Jan-25'!I:I,C135,'TB-Jan-25'!M:M)</f>
        <v>0</v>
      </c>
      <c r="M135" s="56">
        <f t="shared" si="4"/>
        <v>0</v>
      </c>
      <c r="N135" s="57">
        <f>IFERROR(VLOOKUP(C135,'[1]TB-Jun-24'!A:F,6,FALSE),0)</f>
        <v>0</v>
      </c>
      <c r="O135" s="35">
        <f>IFERROR(VLOOKUP(C135,'[1]TB-Jun-24'!I:N,6,FALSE),0)</f>
        <v>0</v>
      </c>
      <c r="Q135" s="35" t="s">
        <v>120</v>
      </c>
    </row>
    <row r="136" hidden="1" spans="2:17">
      <c r="B136" s="35">
        <f t="shared" si="5"/>
        <v>130</v>
      </c>
      <c r="C136" s="43" t="s">
        <v>1078</v>
      </c>
      <c r="D136" s="43" t="s">
        <v>939</v>
      </c>
      <c r="E136" s="44" t="s">
        <v>1079</v>
      </c>
      <c r="F136" s="44" t="s">
        <v>33</v>
      </c>
      <c r="G136" s="44" t="s">
        <v>617</v>
      </c>
      <c r="H136" s="44" t="s">
        <v>120</v>
      </c>
      <c r="I136" s="44" t="s">
        <v>309</v>
      </c>
      <c r="J136" s="44"/>
      <c r="K136" s="56">
        <f>SUMIF('TB-Jan-25'!$A$12:$A$167,'Working-Jan-25'!C136,'TB-Jan-25'!$E$12:$E$167)</f>
        <v>0</v>
      </c>
      <c r="L136" s="56">
        <f>SUMIF('TB-Jan-25'!I:I,C136,'TB-Jan-25'!M:M)</f>
        <v>0</v>
      </c>
      <c r="M136" s="56">
        <f t="shared" si="4"/>
        <v>0</v>
      </c>
      <c r="N136" s="57">
        <f>IFERROR(VLOOKUP(C136,'[1]TB-Jun-24'!A:F,6,FALSE),0)</f>
        <v>0</v>
      </c>
      <c r="O136" s="35">
        <f>IFERROR(VLOOKUP(C136,'[1]TB-Jun-24'!I:N,6,FALSE),0)</f>
        <v>0</v>
      </c>
      <c r="Q136" s="35" t="s">
        <v>120</v>
      </c>
    </row>
    <row r="137" hidden="1" spans="2:17">
      <c r="B137" s="35">
        <f t="shared" si="5"/>
        <v>131</v>
      </c>
      <c r="C137" s="43" t="s">
        <v>1080</v>
      </c>
      <c r="D137" s="43" t="s">
        <v>939</v>
      </c>
      <c r="E137" s="44" t="s">
        <v>1081</v>
      </c>
      <c r="F137" s="44" t="s">
        <v>33</v>
      </c>
      <c r="G137" s="44" t="s">
        <v>535</v>
      </c>
      <c r="H137" s="44" t="s">
        <v>120</v>
      </c>
      <c r="I137" s="44" t="s">
        <v>309</v>
      </c>
      <c r="J137" s="44"/>
      <c r="K137" s="56">
        <f>SUMIF('TB-Jan-25'!$A$12:$A$167,'Working-Jan-25'!C137,'TB-Jan-25'!$E$12:$E$167)</f>
        <v>0</v>
      </c>
      <c r="L137" s="56">
        <f>SUMIF('TB-Jan-25'!I:I,C137,'TB-Jan-25'!M:M)</f>
        <v>0</v>
      </c>
      <c r="M137" s="56">
        <f t="shared" si="4"/>
        <v>0</v>
      </c>
      <c r="N137" s="57">
        <f>IFERROR(VLOOKUP(C137,'[1]TB-Jun-24'!A:F,6,FALSE),0)</f>
        <v>0</v>
      </c>
      <c r="O137" s="35">
        <f>IFERROR(VLOOKUP(C137,'[1]TB-Jun-24'!I:N,6,FALSE),0)</f>
        <v>0</v>
      </c>
      <c r="Q137" s="35" t="s">
        <v>120</v>
      </c>
    </row>
    <row r="138" hidden="1" spans="2:14">
      <c r="B138" s="35">
        <f t="shared" si="5"/>
        <v>132</v>
      </c>
      <c r="C138" s="43" t="s">
        <v>689</v>
      </c>
      <c r="D138" s="43"/>
      <c r="E138" s="44" t="s">
        <v>1081</v>
      </c>
      <c r="F138" s="44" t="s">
        <v>936</v>
      </c>
      <c r="G138" s="44" t="s">
        <v>535</v>
      </c>
      <c r="H138" s="44" t="s">
        <v>937</v>
      </c>
      <c r="I138" s="44" t="s">
        <v>309</v>
      </c>
      <c r="J138" s="44"/>
      <c r="K138" s="56">
        <f>SUMIF('TB-Jan-25'!$A$12:$A$167,'Working-Jan-25'!C138,'TB-Jan-25'!$E$12:$E$167)</f>
        <v>112068</v>
      </c>
      <c r="L138" s="56">
        <f>SUMIF('TB-Jan-25'!I:I,C138,'TB-Jan-25'!M:M)</f>
        <v>0</v>
      </c>
      <c r="M138" s="56">
        <f t="shared" si="4"/>
        <v>112068</v>
      </c>
      <c r="N138" s="57" t="e">
        <f>SUMIF([6]Final!$B:$B,C138,[6]Final!$F:$F)-M138</f>
        <v>#VALUE!</v>
      </c>
    </row>
    <row r="139" hidden="1" spans="2:17">
      <c r="B139" s="35">
        <f t="shared" si="5"/>
        <v>133</v>
      </c>
      <c r="C139" s="43" t="s">
        <v>1082</v>
      </c>
      <c r="D139" s="43" t="s">
        <v>939</v>
      </c>
      <c r="E139" s="44" t="s">
        <v>1081</v>
      </c>
      <c r="F139" s="44" t="s">
        <v>33</v>
      </c>
      <c r="G139" s="44" t="s">
        <v>473</v>
      </c>
      <c r="H139" s="44" t="s">
        <v>33</v>
      </c>
      <c r="I139" s="44" t="s">
        <v>309</v>
      </c>
      <c r="J139" s="44"/>
      <c r="K139" s="56">
        <f>SUMIF('TB-Jan-25'!$A$12:$A$167,'Working-Jan-25'!C139,'TB-Jan-25'!$E$12:$E$167)</f>
        <v>0</v>
      </c>
      <c r="L139" s="56">
        <f>SUMIF('TB-Jan-25'!I:I,C139,'TB-Jan-25'!M:M)</f>
        <v>0</v>
      </c>
      <c r="M139" s="56">
        <f t="shared" si="4"/>
        <v>0</v>
      </c>
      <c r="N139" s="57">
        <f>IFERROR(VLOOKUP(C139,'[1]TB-Jun-24'!A:F,6,FALSE),0)</f>
        <v>0</v>
      </c>
      <c r="O139" s="35">
        <f>IFERROR(VLOOKUP(C139,'[1]TB-Jun-24'!I:N,6,FALSE),0)</f>
        <v>0</v>
      </c>
      <c r="Q139" s="35" t="s">
        <v>33</v>
      </c>
    </row>
    <row r="140" hidden="1" spans="2:14">
      <c r="B140" s="35">
        <f>B139+1</f>
        <v>134</v>
      </c>
      <c r="C140" s="43" t="s">
        <v>676</v>
      </c>
      <c r="D140" s="43" t="s">
        <v>939</v>
      </c>
      <c r="E140" s="44" t="s">
        <v>1081</v>
      </c>
      <c r="F140" s="44" t="s">
        <v>936</v>
      </c>
      <c r="G140" s="44" t="s">
        <v>473</v>
      </c>
      <c r="H140" s="44" t="s">
        <v>937</v>
      </c>
      <c r="I140" s="44" t="s">
        <v>309</v>
      </c>
      <c r="J140" s="44"/>
      <c r="K140" s="56">
        <f>SUMIF('TB-Jan-25'!$A$12:$A$167,'Working-Jan-25'!C140,'TB-Jan-25'!$E$12:$E$167)</f>
        <v>392238</v>
      </c>
      <c r="L140" s="56">
        <f>SUMIF('TB-Jan-25'!I:I,C140,'TB-Jan-25'!M:M)</f>
        <v>-5587</v>
      </c>
      <c r="M140" s="56">
        <f t="shared" si="4"/>
        <v>386651</v>
      </c>
      <c r="N140" s="57" t="e">
        <f>SUMIF([6]Final!$B:$B,C140,[6]Final!$F:$F)-M140</f>
        <v>#VALUE!</v>
      </c>
    </row>
    <row r="141" hidden="1" spans="2:17">
      <c r="B141" s="35">
        <f>B140+1</f>
        <v>135</v>
      </c>
      <c r="C141" s="43" t="s">
        <v>1083</v>
      </c>
      <c r="D141" s="43" t="s">
        <v>939</v>
      </c>
      <c r="E141" s="44" t="s">
        <v>1081</v>
      </c>
      <c r="F141" s="44" t="s">
        <v>33</v>
      </c>
      <c r="G141" s="44" t="s">
        <v>473</v>
      </c>
      <c r="H141" s="44" t="s">
        <v>33</v>
      </c>
      <c r="I141" s="44" t="s">
        <v>309</v>
      </c>
      <c r="J141" s="44"/>
      <c r="K141" s="56">
        <f>SUMIF('TB-Jan-25'!$A$12:$A$167,'Working-Jan-25'!C141,'TB-Jan-25'!$E$12:$E$167)</f>
        <v>0</v>
      </c>
      <c r="L141" s="56">
        <f>SUMIF('TB-Jan-25'!I:I,C141,'TB-Jan-25'!M:M)</f>
        <v>0</v>
      </c>
      <c r="M141" s="56">
        <f t="shared" si="4"/>
        <v>0</v>
      </c>
      <c r="N141" s="57">
        <f>IFERROR(VLOOKUP(C141,'[1]TB-Jun-24'!A:F,6,FALSE),0)</f>
        <v>0</v>
      </c>
      <c r="O141" s="35">
        <f>IFERROR(VLOOKUP(C141,'[1]TB-Jun-24'!I:N,6,FALSE),0)</f>
        <v>0</v>
      </c>
      <c r="Q141" s="35" t="s">
        <v>33</v>
      </c>
    </row>
    <row r="142" hidden="1" spans="2:17">
      <c r="B142" s="35">
        <f t="shared" si="5"/>
        <v>136</v>
      </c>
      <c r="C142" s="43" t="s">
        <v>1084</v>
      </c>
      <c r="D142" s="43" t="s">
        <v>939</v>
      </c>
      <c r="E142" s="44" t="s">
        <v>1004</v>
      </c>
      <c r="F142" s="44" t="s">
        <v>33</v>
      </c>
      <c r="G142" s="44" t="s">
        <v>497</v>
      </c>
      <c r="H142" s="44" t="s">
        <v>33</v>
      </c>
      <c r="I142" s="44" t="s">
        <v>309</v>
      </c>
      <c r="J142" s="44"/>
      <c r="K142" s="56">
        <f>SUMIF('TB-Jan-25'!$A$12:$A$167,'Working-Jan-25'!C142,'TB-Jan-25'!$E$12:$E$167)</f>
        <v>0</v>
      </c>
      <c r="L142" s="56">
        <f>SUMIF('TB-Jan-25'!I:I,C142,'TB-Jan-25'!M:M)</f>
        <v>0</v>
      </c>
      <c r="M142" s="56">
        <f t="shared" si="4"/>
        <v>0</v>
      </c>
      <c r="N142" s="57">
        <f>IFERROR(VLOOKUP(C142,'[1]TB-Jun-24'!A:F,6,FALSE),0)</f>
        <v>0</v>
      </c>
      <c r="O142" s="35">
        <f>IFERROR(VLOOKUP(C142,'[1]TB-Jun-24'!I:N,6,FALSE),0)</f>
        <v>0</v>
      </c>
      <c r="Q142" s="35" t="s">
        <v>33</v>
      </c>
    </row>
    <row r="143" hidden="1" spans="2:17">
      <c r="B143" s="35">
        <f t="shared" si="5"/>
        <v>137</v>
      </c>
      <c r="C143" s="43" t="s">
        <v>757</v>
      </c>
      <c r="D143" s="43" t="s">
        <v>939</v>
      </c>
      <c r="E143" s="44" t="s">
        <v>1085</v>
      </c>
      <c r="F143" s="44" t="s">
        <v>33</v>
      </c>
      <c r="G143" s="44" t="s">
        <v>585</v>
      </c>
      <c r="H143" s="44" t="s">
        <v>120</v>
      </c>
      <c r="I143" s="44" t="s">
        <v>309</v>
      </c>
      <c r="J143" s="44"/>
      <c r="K143" s="56">
        <f>SUMIF('TB-Jan-25'!$A$12:$A$167,'Working-Jan-25'!C143,'TB-Jan-25'!$E$12:$E$167)</f>
        <v>0</v>
      </c>
      <c r="L143" s="56">
        <f>SUMIF('TB-Jan-25'!I:I,C143,'TB-Jan-25'!M:M)</f>
        <v>90</v>
      </c>
      <c r="M143" s="56">
        <f t="shared" si="4"/>
        <v>90</v>
      </c>
      <c r="N143" s="57" t="e">
        <f>SUMIF([6]Final!$B:$B,C143,[6]Final!$F:$F)-M143</f>
        <v>#VALUE!</v>
      </c>
      <c r="O143" s="35">
        <f>IFERROR(VLOOKUP(C143,'[1]TB-Jun-24'!I:N,6,FALSE),0)</f>
        <v>160</v>
      </c>
      <c r="Q143" s="35" t="s">
        <v>120</v>
      </c>
    </row>
    <row r="144" hidden="1" spans="2:17">
      <c r="B144" s="35">
        <f t="shared" si="5"/>
        <v>138</v>
      </c>
      <c r="C144" s="43" t="s">
        <v>1086</v>
      </c>
      <c r="D144" s="43" t="s">
        <v>939</v>
      </c>
      <c r="E144" s="44" t="s">
        <v>1004</v>
      </c>
      <c r="F144" s="44" t="s">
        <v>33</v>
      </c>
      <c r="G144" s="44" t="s">
        <v>616</v>
      </c>
      <c r="H144" s="44" t="s">
        <v>120</v>
      </c>
      <c r="I144" s="44" t="s">
        <v>309</v>
      </c>
      <c r="J144" s="44"/>
      <c r="K144" s="56">
        <f>SUMIF('TB-Jan-25'!$A$12:$A$167,'Working-Jan-25'!C144,'TB-Jan-25'!$E$12:$E$167)</f>
        <v>0</v>
      </c>
      <c r="L144" s="56">
        <f>SUMIF('TB-Jan-25'!I:I,C144,'TB-Jan-25'!M:M)</f>
        <v>0</v>
      </c>
      <c r="M144" s="56">
        <f t="shared" si="4"/>
        <v>0</v>
      </c>
      <c r="N144" s="57">
        <f>IFERROR(VLOOKUP(C144,'[1]TB-Jun-24'!A:F,6,FALSE),0)</f>
        <v>0</v>
      </c>
      <c r="O144" s="35">
        <f>IFERROR(VLOOKUP(C144,'[1]TB-Jun-24'!I:N,6,FALSE),0)</f>
        <v>0</v>
      </c>
      <c r="Q144" s="35" t="s">
        <v>120</v>
      </c>
    </row>
    <row r="145" hidden="1" spans="2:17">
      <c r="B145" s="35">
        <f t="shared" si="5"/>
        <v>139</v>
      </c>
      <c r="C145" s="43" t="s">
        <v>1087</v>
      </c>
      <c r="D145" s="43" t="s">
        <v>939</v>
      </c>
      <c r="E145" s="44" t="s">
        <v>1004</v>
      </c>
      <c r="F145" s="44" t="s">
        <v>33</v>
      </c>
      <c r="G145" s="44" t="s">
        <v>616</v>
      </c>
      <c r="H145" s="44" t="s">
        <v>120</v>
      </c>
      <c r="I145" s="44" t="s">
        <v>309</v>
      </c>
      <c r="J145" s="44"/>
      <c r="K145" s="56">
        <f>SUMIF('TB-Jan-25'!$A$12:$A$167,'Working-Jan-25'!C145,'TB-Jan-25'!$E$12:$E$167)</f>
        <v>0</v>
      </c>
      <c r="L145" s="56">
        <f>SUMIF('TB-Jan-25'!I:I,C145,'TB-Jan-25'!M:M)</f>
        <v>0</v>
      </c>
      <c r="M145" s="56">
        <f t="shared" si="4"/>
        <v>0</v>
      </c>
      <c r="N145" s="57">
        <f>IFERROR(VLOOKUP(C145,'[1]TB-Jun-24'!A:F,6,FALSE),0)</f>
        <v>0</v>
      </c>
      <c r="O145" s="35">
        <f>IFERROR(VLOOKUP(C145,'[1]TB-Jun-24'!I:N,6,FALSE),0)</f>
        <v>0</v>
      </c>
      <c r="Q145" s="35" t="s">
        <v>120</v>
      </c>
    </row>
    <row r="146" hidden="1" spans="2:17">
      <c r="B146" s="35">
        <f t="shared" si="5"/>
        <v>140</v>
      </c>
      <c r="C146" s="43" t="s">
        <v>716</v>
      </c>
      <c r="D146" s="43" t="s">
        <v>939</v>
      </c>
      <c r="E146" s="44" t="s">
        <v>1004</v>
      </c>
      <c r="F146" s="44" t="s">
        <v>33</v>
      </c>
      <c r="G146" s="44" t="s">
        <v>552</v>
      </c>
      <c r="H146" s="44" t="s">
        <v>33</v>
      </c>
      <c r="I146" s="44" t="s">
        <v>309</v>
      </c>
      <c r="J146" s="44"/>
      <c r="K146" s="56">
        <f>SUMIF('TB-Jan-25'!$A$12:$A$167,'Working-Jan-25'!C146,'TB-Jan-25'!$E$12:$E$167)</f>
        <v>21360</v>
      </c>
      <c r="L146" s="56">
        <f>SUMIF('TB-Jan-25'!I:I,C146,'TB-Jan-25'!M:M)</f>
        <v>1885</v>
      </c>
      <c r="M146" s="56">
        <f t="shared" si="4"/>
        <v>23245</v>
      </c>
      <c r="N146" s="57" t="e">
        <f>SUMIF([6]Final!$B:$B,C146,[6]Final!$F:$F)-M146</f>
        <v>#VALUE!</v>
      </c>
      <c r="O146" s="35">
        <f>IFERROR(VLOOKUP(C146,'[1]TB-Jun-24'!I:N,6,FALSE),0)</f>
        <v>-35700.85</v>
      </c>
      <c r="Q146" s="35" t="s">
        <v>33</v>
      </c>
    </row>
    <row r="147" hidden="1" spans="2:17">
      <c r="B147" s="35">
        <f t="shared" si="5"/>
        <v>141</v>
      </c>
      <c r="C147" s="43" t="s">
        <v>1088</v>
      </c>
      <c r="D147" s="43" t="s">
        <v>939</v>
      </c>
      <c r="E147" s="44" t="s">
        <v>1089</v>
      </c>
      <c r="F147" s="44" t="s">
        <v>33</v>
      </c>
      <c r="G147" s="44" t="s">
        <v>1090</v>
      </c>
      <c r="H147" s="44" t="s">
        <v>33</v>
      </c>
      <c r="I147" s="44" t="s">
        <v>309</v>
      </c>
      <c r="J147" s="44"/>
      <c r="K147" s="56">
        <f>SUMIF('TB-Jan-25'!$A$12:$A$167,'Working-Jan-25'!C147,'TB-Jan-25'!$E$12:$E$167)</f>
        <v>0</v>
      </c>
      <c r="L147" s="56">
        <f>SUMIF('TB-Jan-25'!I:I,C147,'TB-Jan-25'!M:M)</f>
        <v>0</v>
      </c>
      <c r="M147" s="56">
        <f t="shared" si="4"/>
        <v>0</v>
      </c>
      <c r="N147" s="57">
        <f>IFERROR(VLOOKUP(C147,'[1]TB-Jun-24'!A:F,6,FALSE),0)</f>
        <v>0</v>
      </c>
      <c r="O147" s="35">
        <f>IFERROR(VLOOKUP(C147,'[1]TB-Jun-24'!I:N,6,FALSE),0)</f>
        <v>0</v>
      </c>
      <c r="Q147" s="35" t="s">
        <v>33</v>
      </c>
    </row>
    <row r="148" hidden="1" spans="2:17">
      <c r="B148" s="35">
        <f t="shared" si="5"/>
        <v>142</v>
      </c>
      <c r="C148" s="43" t="s">
        <v>1091</v>
      </c>
      <c r="D148" s="43" t="s">
        <v>939</v>
      </c>
      <c r="E148" s="44" t="s">
        <v>1004</v>
      </c>
      <c r="F148" s="44" t="s">
        <v>33</v>
      </c>
      <c r="G148" s="44" t="s">
        <v>552</v>
      </c>
      <c r="H148" s="44" t="s">
        <v>33</v>
      </c>
      <c r="I148" s="44" t="s">
        <v>309</v>
      </c>
      <c r="J148" s="44"/>
      <c r="K148" s="56">
        <f>SUMIF('TB-Jan-25'!$A$12:$A$167,'Working-Jan-25'!C148,'TB-Jan-25'!$E$12:$E$167)</f>
        <v>0</v>
      </c>
      <c r="L148" s="56">
        <f>SUMIF('TB-Jan-25'!I:I,C148,'TB-Jan-25'!M:M)</f>
        <v>0</v>
      </c>
      <c r="M148" s="56">
        <f t="shared" si="4"/>
        <v>0</v>
      </c>
      <c r="N148" s="57">
        <f>IFERROR(VLOOKUP(C148,'[1]TB-Jun-24'!A:F,6,FALSE),0)</f>
        <v>0</v>
      </c>
      <c r="O148" s="35">
        <f>IFERROR(VLOOKUP(C148,'[1]TB-Jun-24'!I:N,6,FALSE),0)</f>
        <v>0</v>
      </c>
      <c r="Q148" s="35" t="s">
        <v>33</v>
      </c>
    </row>
    <row r="149" hidden="1" spans="2:17">
      <c r="B149" s="35">
        <f t="shared" si="5"/>
        <v>143</v>
      </c>
      <c r="C149" s="43" t="s">
        <v>1092</v>
      </c>
      <c r="D149" s="43" t="s">
        <v>939</v>
      </c>
      <c r="E149" s="44" t="s">
        <v>1007</v>
      </c>
      <c r="F149" s="44" t="s">
        <v>33</v>
      </c>
      <c r="G149" s="44" t="s">
        <v>1008</v>
      </c>
      <c r="H149" s="44" t="s">
        <v>120</v>
      </c>
      <c r="I149" s="44" t="s">
        <v>309</v>
      </c>
      <c r="J149" s="44"/>
      <c r="K149" s="56">
        <f>SUMIF('TB-Jan-25'!$A$12:$A$167,'Working-Jan-25'!C149,'TB-Jan-25'!$E$12:$E$167)</f>
        <v>0</v>
      </c>
      <c r="L149" s="56">
        <f>SUMIF('TB-Jan-25'!I:I,C149,'TB-Jan-25'!M:M)</f>
        <v>0</v>
      </c>
      <c r="M149" s="56">
        <f t="shared" si="4"/>
        <v>0</v>
      </c>
      <c r="N149" s="57">
        <f>IFERROR(VLOOKUP(C149,'[1]TB-Jun-24'!A:F,6,FALSE),0)</f>
        <v>0</v>
      </c>
      <c r="O149" s="35">
        <f>IFERROR(VLOOKUP(C149,'[1]TB-Jun-24'!I:N,6,FALSE),0)</f>
        <v>0</v>
      </c>
      <c r="Q149" s="35" t="s">
        <v>120</v>
      </c>
    </row>
    <row r="150" hidden="1" spans="2:17">
      <c r="B150" s="35">
        <f t="shared" si="5"/>
        <v>144</v>
      </c>
      <c r="C150" s="43" t="s">
        <v>1093</v>
      </c>
      <c r="D150" s="43" t="s">
        <v>939</v>
      </c>
      <c r="E150" s="44" t="s">
        <v>1094</v>
      </c>
      <c r="F150" s="44" t="s">
        <v>33</v>
      </c>
      <c r="G150" s="44" t="s">
        <v>1008</v>
      </c>
      <c r="H150" s="44" t="s">
        <v>120</v>
      </c>
      <c r="I150" s="44" t="s">
        <v>309</v>
      </c>
      <c r="J150" s="44"/>
      <c r="K150" s="56">
        <f>SUMIF('TB-Jan-25'!$A$12:$A$167,'Working-Jan-25'!C150,'TB-Jan-25'!$E$12:$E$167)</f>
        <v>0</v>
      </c>
      <c r="L150" s="56">
        <f>SUMIF('TB-Jan-25'!I:I,C150,'TB-Jan-25'!M:M)</f>
        <v>0</v>
      </c>
      <c r="M150" s="56">
        <f t="shared" si="4"/>
        <v>0</v>
      </c>
      <c r="N150" s="57">
        <f>IFERROR(VLOOKUP(C150,'[1]TB-Jun-24'!A:F,6,FALSE),0)</f>
        <v>0</v>
      </c>
      <c r="O150" s="35">
        <f>IFERROR(VLOOKUP(C150,'[1]TB-Jun-24'!I:N,6,FALSE),0)</f>
        <v>0</v>
      </c>
      <c r="Q150" s="35" t="s">
        <v>120</v>
      </c>
    </row>
    <row r="151" hidden="1" spans="2:17">
      <c r="B151" s="35">
        <f t="shared" si="5"/>
        <v>145</v>
      </c>
      <c r="C151" s="43" t="s">
        <v>1095</v>
      </c>
      <c r="D151" s="43" t="s">
        <v>939</v>
      </c>
      <c r="E151" s="44" t="s">
        <v>1096</v>
      </c>
      <c r="F151" s="44" t="s">
        <v>33</v>
      </c>
      <c r="G151" s="44" t="s">
        <v>1096</v>
      </c>
      <c r="H151" s="44" t="s">
        <v>120</v>
      </c>
      <c r="I151" s="44" t="s">
        <v>309</v>
      </c>
      <c r="J151" s="44"/>
      <c r="K151" s="56">
        <f>SUMIF('TB-Jan-25'!$A$12:$A$167,'Working-Jan-25'!C151,'TB-Jan-25'!$E$12:$E$167)</f>
        <v>0</v>
      </c>
      <c r="L151" s="56">
        <f>SUMIF('TB-Jan-25'!I:I,C151,'TB-Jan-25'!M:M)</f>
        <v>0</v>
      </c>
      <c r="M151" s="56">
        <f t="shared" si="4"/>
        <v>0</v>
      </c>
      <c r="N151" s="57">
        <f>IFERROR(VLOOKUP(C151,'[1]TB-Jun-24'!A:F,6,FALSE),0)</f>
        <v>0</v>
      </c>
      <c r="O151" s="35">
        <f>IFERROR(VLOOKUP(C151,'[1]TB-Jun-24'!I:N,6,FALSE),0)</f>
        <v>0</v>
      </c>
      <c r="Q151" s="35" t="s">
        <v>120</v>
      </c>
    </row>
    <row r="152" hidden="1" spans="2:17">
      <c r="B152" s="35">
        <f t="shared" si="5"/>
        <v>146</v>
      </c>
      <c r="C152" s="43" t="s">
        <v>1097</v>
      </c>
      <c r="D152" s="43" t="s">
        <v>939</v>
      </c>
      <c r="E152" s="44" t="s">
        <v>1096</v>
      </c>
      <c r="F152" s="44" t="s">
        <v>33</v>
      </c>
      <c r="G152" s="44" t="s">
        <v>1096</v>
      </c>
      <c r="H152" s="44" t="s">
        <v>120</v>
      </c>
      <c r="I152" s="44" t="s">
        <v>309</v>
      </c>
      <c r="J152" s="44"/>
      <c r="K152" s="56">
        <f>SUMIF('TB-Jan-25'!$A$12:$A$167,'Working-Jan-25'!C152,'TB-Jan-25'!$E$12:$E$167)</f>
        <v>0</v>
      </c>
      <c r="L152" s="56">
        <f>SUMIF('TB-Jan-25'!I:I,C152,'TB-Jan-25'!M:M)</f>
        <v>0</v>
      </c>
      <c r="M152" s="56">
        <f t="shared" si="4"/>
        <v>0</v>
      </c>
      <c r="N152" s="57">
        <f>IFERROR(VLOOKUP(C152,'[1]TB-Jun-24'!A:F,6,FALSE),0)</f>
        <v>0</v>
      </c>
      <c r="O152" s="35">
        <f>IFERROR(VLOOKUP(C152,'[1]TB-Jun-24'!I:N,6,FALSE),0)</f>
        <v>0</v>
      </c>
      <c r="Q152" s="35" t="s">
        <v>120</v>
      </c>
    </row>
    <row r="153" hidden="1" spans="2:17">
      <c r="B153" s="35">
        <f t="shared" si="5"/>
        <v>147</v>
      </c>
      <c r="C153" s="43" t="s">
        <v>1098</v>
      </c>
      <c r="D153" s="43" t="s">
        <v>939</v>
      </c>
      <c r="E153" s="44" t="s">
        <v>1096</v>
      </c>
      <c r="F153" s="44" t="s">
        <v>33</v>
      </c>
      <c r="G153" s="44" t="s">
        <v>1096</v>
      </c>
      <c r="H153" s="44" t="s">
        <v>120</v>
      </c>
      <c r="I153" s="44" t="s">
        <v>309</v>
      </c>
      <c r="J153" s="44"/>
      <c r="K153" s="56">
        <f>SUMIF('TB-Jan-25'!$A$12:$A$167,'Working-Jan-25'!C153,'TB-Jan-25'!$E$12:$E$167)</f>
        <v>0</v>
      </c>
      <c r="L153" s="56">
        <f>SUMIF('TB-Jan-25'!I:I,C153,'TB-Jan-25'!M:M)</f>
        <v>0</v>
      </c>
      <c r="M153" s="56">
        <f t="shared" si="4"/>
        <v>0</v>
      </c>
      <c r="N153" s="57">
        <f>IFERROR(VLOOKUP(C153,'[1]TB-Jun-24'!A:F,6,FALSE),0)</f>
        <v>0</v>
      </c>
      <c r="O153" s="35">
        <f>IFERROR(VLOOKUP(C153,'[1]TB-Jun-24'!I:N,6,FALSE),0)</f>
        <v>0</v>
      </c>
      <c r="Q153" s="35" t="s">
        <v>120</v>
      </c>
    </row>
    <row r="154" hidden="1" spans="2:17">
      <c r="B154" s="35">
        <f t="shared" si="5"/>
        <v>148</v>
      </c>
      <c r="C154" s="43" t="s">
        <v>1099</v>
      </c>
      <c r="D154" s="43" t="s">
        <v>935</v>
      </c>
      <c r="E154" s="44" t="s">
        <v>1100</v>
      </c>
      <c r="F154" s="44" t="s">
        <v>33</v>
      </c>
      <c r="G154" s="44" t="s">
        <v>513</v>
      </c>
      <c r="H154" s="44" t="s">
        <v>33</v>
      </c>
      <c r="I154" s="44" t="s">
        <v>309</v>
      </c>
      <c r="J154" s="44"/>
      <c r="K154" s="56">
        <f>SUMIF('TB-Jan-25'!$A$12:$A$167,'Working-Jan-25'!C154,'TB-Jan-25'!$E$12:$E$167)</f>
        <v>0</v>
      </c>
      <c r="L154" s="56">
        <f>SUMIF('TB-Jan-25'!I:I,C154,'TB-Jan-25'!M:M)</f>
        <v>0</v>
      </c>
      <c r="M154" s="56">
        <f t="shared" si="4"/>
        <v>0</v>
      </c>
      <c r="N154" s="57">
        <f>IFERROR(VLOOKUP(C154,'[1]TB-Jun-24'!A:F,6,FALSE),0)</f>
        <v>0</v>
      </c>
      <c r="O154" s="35">
        <f>IFERROR(VLOOKUP(C154,'[1]TB-Jun-24'!I:N,6,FALSE),0)</f>
        <v>0</v>
      </c>
      <c r="Q154" s="35" t="s">
        <v>33</v>
      </c>
    </row>
    <row r="155" hidden="1" spans="2:17">
      <c r="B155" s="35">
        <f t="shared" si="5"/>
        <v>149</v>
      </c>
      <c r="C155" s="43" t="s">
        <v>1101</v>
      </c>
      <c r="D155" s="43" t="s">
        <v>939</v>
      </c>
      <c r="E155" s="44" t="s">
        <v>1102</v>
      </c>
      <c r="F155" s="44" t="s">
        <v>33</v>
      </c>
      <c r="G155" s="44" t="s">
        <v>591</v>
      </c>
      <c r="H155" s="44" t="s">
        <v>120</v>
      </c>
      <c r="I155" s="44" t="s">
        <v>309</v>
      </c>
      <c r="J155" s="44"/>
      <c r="K155" s="56">
        <f>SUMIF('TB-Jan-25'!$A$12:$A$167,'Working-Jan-25'!C155,'TB-Jan-25'!$E$12:$E$167)</f>
        <v>0</v>
      </c>
      <c r="L155" s="56">
        <f>SUMIF('TB-Jan-25'!I:I,C155,'TB-Jan-25'!M:M)</f>
        <v>0</v>
      </c>
      <c r="M155" s="56">
        <f t="shared" si="4"/>
        <v>0</v>
      </c>
      <c r="N155" s="57">
        <f>IFERROR(VLOOKUP(C155,'[1]TB-Jun-24'!A:F,6,FALSE),0)</f>
        <v>0</v>
      </c>
      <c r="O155" s="35">
        <f>IFERROR(VLOOKUP(C155,'[1]TB-Jun-24'!I:N,6,FALSE),0)</f>
        <v>0</v>
      </c>
      <c r="Q155" s="35" t="s">
        <v>120</v>
      </c>
    </row>
    <row r="156" hidden="1" spans="2:17">
      <c r="B156" s="35">
        <f t="shared" si="5"/>
        <v>150</v>
      </c>
      <c r="C156" s="43" t="s">
        <v>1103</v>
      </c>
      <c r="D156" s="43" t="s">
        <v>939</v>
      </c>
      <c r="E156" s="44" t="s">
        <v>1104</v>
      </c>
      <c r="F156" s="44" t="s">
        <v>33</v>
      </c>
      <c r="G156" s="44" t="s">
        <v>594</v>
      </c>
      <c r="H156" s="44" t="s">
        <v>120</v>
      </c>
      <c r="I156" s="44" t="s">
        <v>309</v>
      </c>
      <c r="J156" s="44"/>
      <c r="K156" s="56">
        <f>SUMIF('TB-Jan-25'!$A$12:$A$167,'Working-Jan-25'!C156,'TB-Jan-25'!$E$12:$E$167)</f>
        <v>0</v>
      </c>
      <c r="L156" s="56">
        <f>SUMIF('TB-Jan-25'!I:I,C156,'TB-Jan-25'!M:M)</f>
        <v>0</v>
      </c>
      <c r="M156" s="56">
        <f t="shared" si="4"/>
        <v>0</v>
      </c>
      <c r="N156" s="57">
        <f>IFERROR(VLOOKUP(C156,'[1]TB-Jun-24'!A:F,6,FALSE),0)</f>
        <v>0</v>
      </c>
      <c r="O156" s="35">
        <f>IFERROR(VLOOKUP(C156,'[1]TB-Jun-24'!I:N,6,FALSE),0)</f>
        <v>0</v>
      </c>
      <c r="Q156" s="35" t="s">
        <v>120</v>
      </c>
    </row>
    <row r="157" spans="2:17">
      <c r="B157" s="35">
        <f t="shared" si="5"/>
        <v>151</v>
      </c>
      <c r="C157" s="43" t="s">
        <v>763</v>
      </c>
      <c r="D157" s="46" t="s">
        <v>939</v>
      </c>
      <c r="E157" s="47" t="s">
        <v>1105</v>
      </c>
      <c r="F157" s="47" t="s">
        <v>33</v>
      </c>
      <c r="G157" s="44" t="s">
        <v>515</v>
      </c>
      <c r="H157" s="44" t="s">
        <v>120</v>
      </c>
      <c r="I157" s="44" t="s">
        <v>309</v>
      </c>
      <c r="J157" s="44"/>
      <c r="K157" s="56">
        <f>SUMIF('TB-Jan-25'!$A$12:$A$167,'Working-Jan-25'!C157,'TB-Jan-25'!$E$12:$E$167)</f>
        <v>0</v>
      </c>
      <c r="L157" s="56">
        <f>SUMIF('TB-Jan-25'!I:I,C157,'TB-Jan-25'!M:M)</f>
        <v>39171.97</v>
      </c>
      <c r="M157" s="56">
        <f t="shared" si="4"/>
        <v>39171.97</v>
      </c>
      <c r="N157" s="57" t="e">
        <f>SUMIF([6]Final!$B:$B,C157,[6]Final!$F:$F)-M157</f>
        <v>#VALUE!</v>
      </c>
      <c r="O157" s="35">
        <f>IFERROR(VLOOKUP(C157,'[1]TB-Jun-24'!I:N,6,FALSE),0)</f>
        <v>10000</v>
      </c>
      <c r="Q157" s="35" t="s">
        <v>120</v>
      </c>
    </row>
    <row r="158" hidden="1" spans="2:17">
      <c r="B158" s="35">
        <f t="shared" si="5"/>
        <v>152</v>
      </c>
      <c r="C158" s="43" t="s">
        <v>726</v>
      </c>
      <c r="D158" s="43" t="s">
        <v>935</v>
      </c>
      <c r="E158" s="44" t="s">
        <v>491</v>
      </c>
      <c r="F158" s="44" t="s">
        <v>33</v>
      </c>
      <c r="G158" s="44" t="s">
        <v>491</v>
      </c>
      <c r="H158" s="44" t="s">
        <v>120</v>
      </c>
      <c r="I158" s="44" t="s">
        <v>309</v>
      </c>
      <c r="J158" s="44"/>
      <c r="K158" s="56">
        <f>SUMIF('TB-Jan-25'!$A$12:$A$167,'Working-Jan-25'!C158,'TB-Jan-25'!$E$12:$E$167)</f>
        <v>100000</v>
      </c>
      <c r="L158" s="56">
        <f>SUMIF('TB-Jan-25'!I:I,C158,'TB-Jan-25'!M:M)</f>
        <v>0</v>
      </c>
      <c r="M158" s="56">
        <f t="shared" si="4"/>
        <v>100000</v>
      </c>
      <c r="N158" s="57" t="e">
        <f>SUMIF([6]Final!$B:$B,C158,[6]Final!$F:$F)-M158</f>
        <v>#VALUE!</v>
      </c>
      <c r="O158" s="35">
        <f>IFERROR(VLOOKUP(C158,'[1]TB-Jun-24'!I:N,6,FALSE),0)</f>
        <v>0</v>
      </c>
      <c r="Q158" s="35" t="s">
        <v>120</v>
      </c>
    </row>
    <row r="159" hidden="1" spans="2:17">
      <c r="B159" s="35">
        <f t="shared" si="5"/>
        <v>153</v>
      </c>
      <c r="C159" s="43" t="s">
        <v>728</v>
      </c>
      <c r="D159" s="43" t="s">
        <v>935</v>
      </c>
      <c r="E159" s="44" t="s">
        <v>491</v>
      </c>
      <c r="F159" s="44" t="s">
        <v>33</v>
      </c>
      <c r="G159" s="44" t="s">
        <v>491</v>
      </c>
      <c r="H159" s="44" t="s">
        <v>120</v>
      </c>
      <c r="I159" s="44" t="s">
        <v>309</v>
      </c>
      <c r="J159" s="44"/>
      <c r="K159" s="56">
        <f>SUMIF('TB-Jan-25'!$A$12:$A$167,'Working-Jan-25'!C159,'TB-Jan-25'!$E$12:$E$167)</f>
        <v>100000</v>
      </c>
      <c r="L159" s="56">
        <f>SUMIF('TB-Jan-25'!I:I,C159,'TB-Jan-25'!M:M)</f>
        <v>0</v>
      </c>
      <c r="M159" s="56">
        <f t="shared" si="4"/>
        <v>100000</v>
      </c>
      <c r="N159" s="57" t="e">
        <f>SUMIF([6]Final!$B:$B,C159,[6]Final!$F:$F)-M159</f>
        <v>#VALUE!</v>
      </c>
      <c r="O159" s="35">
        <f>IFERROR(VLOOKUP(C159,'[1]TB-Jun-24'!I:N,6,FALSE),0)</f>
        <v>0</v>
      </c>
      <c r="Q159" s="35" t="s">
        <v>120</v>
      </c>
    </row>
    <row r="160" hidden="1" spans="2:17">
      <c r="B160" s="35">
        <f t="shared" si="5"/>
        <v>154</v>
      </c>
      <c r="C160" s="43" t="s">
        <v>768</v>
      </c>
      <c r="D160" s="43" t="s">
        <v>935</v>
      </c>
      <c r="E160" s="44" t="s">
        <v>942</v>
      </c>
      <c r="F160" s="44" t="s">
        <v>33</v>
      </c>
      <c r="G160" s="44" t="s">
        <v>493</v>
      </c>
      <c r="H160" s="44" t="s">
        <v>120</v>
      </c>
      <c r="I160" s="44" t="s">
        <v>309</v>
      </c>
      <c r="J160" s="44"/>
      <c r="K160" s="56">
        <f>SUMIF('TB-Jan-25'!$A$12:$A$167,'Working-Jan-25'!C160,'TB-Jan-25'!$E$12:$E$167)</f>
        <v>0</v>
      </c>
      <c r="L160" s="56">
        <f>SUMIF('TB-Jan-25'!I:I,C160,'TB-Jan-25'!M:M)</f>
        <v>486613</v>
      </c>
      <c r="M160" s="56">
        <f t="shared" si="4"/>
        <v>486613</v>
      </c>
      <c r="N160" s="57" t="e">
        <f>SUMIF([6]Final!$B:$B,C160,[6]Final!$F:$F)-M160</f>
        <v>#VALUE!</v>
      </c>
      <c r="O160" s="35">
        <f>IFERROR(VLOOKUP(C160,'[1]TB-Jun-24'!I:N,6,FALSE),0)</f>
        <v>622323</v>
      </c>
      <c r="Q160" s="35" t="s">
        <v>120</v>
      </c>
    </row>
    <row r="161" hidden="1" spans="2:17">
      <c r="B161" s="35">
        <f t="shared" si="5"/>
        <v>155</v>
      </c>
      <c r="C161" s="43" t="s">
        <v>1106</v>
      </c>
      <c r="D161" s="43" t="s">
        <v>939</v>
      </c>
      <c r="E161" s="44" t="s">
        <v>1107</v>
      </c>
      <c r="F161" s="44" t="s">
        <v>33</v>
      </c>
      <c r="G161" s="44" t="s">
        <v>565</v>
      </c>
      <c r="H161" s="44" t="s">
        <v>120</v>
      </c>
      <c r="I161" s="44" t="s">
        <v>309</v>
      </c>
      <c r="J161" s="44"/>
      <c r="K161" s="56">
        <f>SUMIF('TB-Jan-25'!$A$12:$A$167,'Working-Jan-25'!C161,'TB-Jan-25'!$E$12:$E$167)</f>
        <v>0</v>
      </c>
      <c r="L161" s="56">
        <f>SUMIF('TB-Jan-25'!I:I,C161,'TB-Jan-25'!M:M)</f>
        <v>0</v>
      </c>
      <c r="M161" s="56">
        <f t="shared" si="4"/>
        <v>0</v>
      </c>
      <c r="N161" s="57">
        <f>IFERROR(VLOOKUP(C161,'[1]TB-Jun-24'!A:F,6,FALSE),0)</f>
        <v>0</v>
      </c>
      <c r="O161" s="35">
        <f>IFERROR(VLOOKUP(C161,'[1]TB-Jun-24'!I:N,6,FALSE),0)</f>
        <v>0</v>
      </c>
      <c r="Q161" s="35" t="s">
        <v>120</v>
      </c>
    </row>
    <row r="162" hidden="1" spans="2:17">
      <c r="B162" s="35">
        <f t="shared" si="5"/>
        <v>156</v>
      </c>
      <c r="C162" s="43" t="s">
        <v>734</v>
      </c>
      <c r="D162" s="43" t="s">
        <v>939</v>
      </c>
      <c r="E162" s="44" t="s">
        <v>1108</v>
      </c>
      <c r="F162" s="44" t="s">
        <v>33</v>
      </c>
      <c r="G162" s="44" t="s">
        <v>538</v>
      </c>
      <c r="H162" s="44" t="s">
        <v>120</v>
      </c>
      <c r="I162" s="44" t="s">
        <v>309</v>
      </c>
      <c r="J162" s="44"/>
      <c r="K162" s="56">
        <f>SUMIF('TB-Jan-25'!$A$12:$A$167,'Working-Jan-25'!C162,'TB-Jan-25'!$E$12:$E$167)</f>
        <v>26711</v>
      </c>
      <c r="L162" s="56">
        <f>SUMIF('TB-Jan-25'!I:I,C162,'TB-Jan-25'!M:M)</f>
        <v>0</v>
      </c>
      <c r="M162" s="56">
        <f t="shared" si="4"/>
        <v>26711</v>
      </c>
      <c r="N162" s="57" t="e">
        <f>SUMIF([6]Final!$B:$B,C162,[6]Final!$F:$F)-M162</f>
        <v>#VALUE!</v>
      </c>
      <c r="O162" s="35">
        <f>IFERROR(VLOOKUP(C162,'[1]TB-Jun-24'!I:N,6,FALSE),0)</f>
        <v>0</v>
      </c>
      <c r="Q162" s="35" t="s">
        <v>120</v>
      </c>
    </row>
    <row r="163" hidden="1" spans="2:17">
      <c r="B163" s="35">
        <f t="shared" si="5"/>
        <v>157</v>
      </c>
      <c r="C163" s="43" t="s">
        <v>1109</v>
      </c>
      <c r="D163" s="43" t="s">
        <v>939</v>
      </c>
      <c r="E163" s="44" t="s">
        <v>1108</v>
      </c>
      <c r="F163" s="44" t="s">
        <v>33</v>
      </c>
      <c r="G163" s="44" t="s">
        <v>538</v>
      </c>
      <c r="H163" s="44" t="s">
        <v>120</v>
      </c>
      <c r="I163" s="44" t="s">
        <v>309</v>
      </c>
      <c r="J163" s="44"/>
      <c r="K163" s="56">
        <f>SUMIF('TB-Jan-25'!$A$12:$A$167,'Working-Jan-25'!C163,'TB-Jan-25'!$E$12:$E$167)</f>
        <v>0</v>
      </c>
      <c r="L163" s="56">
        <f>SUMIF('TB-Jan-25'!I:I,C163,'TB-Jan-25'!M:M)</f>
        <v>0</v>
      </c>
      <c r="M163" s="56">
        <f t="shared" si="4"/>
        <v>0</v>
      </c>
      <c r="N163" s="57">
        <f>IFERROR(VLOOKUP(C163,'[1]TB-Jun-24'!A:F,6,FALSE),0)</f>
        <v>0</v>
      </c>
      <c r="O163" s="35">
        <f>IFERROR(VLOOKUP(C163,'[1]TB-Jun-24'!I:N,6,FALSE),0)</f>
        <v>0</v>
      </c>
      <c r="Q163" s="35" t="s">
        <v>120</v>
      </c>
    </row>
    <row r="164" hidden="1" spans="2:17">
      <c r="B164" s="35">
        <f t="shared" si="5"/>
        <v>158</v>
      </c>
      <c r="C164" s="43" t="s">
        <v>1110</v>
      </c>
      <c r="D164" s="43" t="s">
        <v>939</v>
      </c>
      <c r="E164" s="44" t="s">
        <v>1108</v>
      </c>
      <c r="F164" s="44" t="s">
        <v>33</v>
      </c>
      <c r="G164" s="44" t="s">
        <v>538</v>
      </c>
      <c r="H164" s="44" t="s">
        <v>120</v>
      </c>
      <c r="I164" s="44" t="s">
        <v>309</v>
      </c>
      <c r="J164" s="44"/>
      <c r="K164" s="56">
        <f>SUMIF('TB-Jan-25'!$A$12:$A$167,'Working-Jan-25'!C164,'TB-Jan-25'!$E$12:$E$167)</f>
        <v>0</v>
      </c>
      <c r="L164" s="56">
        <f>SUMIF('TB-Jan-25'!I:I,C164,'TB-Jan-25'!M:M)</f>
        <v>0</v>
      </c>
      <c r="M164" s="56">
        <f t="shared" si="4"/>
        <v>0</v>
      </c>
      <c r="N164" s="57">
        <f>IFERROR(VLOOKUP(C164,'[1]TB-Jun-24'!A:F,6,FALSE),0)</f>
        <v>0</v>
      </c>
      <c r="O164" s="35">
        <f>IFERROR(VLOOKUP(C164,'[1]TB-Jun-24'!I:N,6,FALSE),0)</f>
        <v>0</v>
      </c>
      <c r="Q164" s="35" t="s">
        <v>120</v>
      </c>
    </row>
    <row r="165" hidden="1" spans="2:17">
      <c r="B165" s="35">
        <f t="shared" si="5"/>
        <v>159</v>
      </c>
      <c r="C165" s="43" t="s">
        <v>1111</v>
      </c>
      <c r="D165" s="43" t="s">
        <v>939</v>
      </c>
      <c r="E165" s="44" t="s">
        <v>1107</v>
      </c>
      <c r="F165" s="44" t="s">
        <v>33</v>
      </c>
      <c r="G165" s="44" t="s">
        <v>565</v>
      </c>
      <c r="H165" s="44" t="s">
        <v>120</v>
      </c>
      <c r="I165" s="44" t="s">
        <v>309</v>
      </c>
      <c r="J165" s="44"/>
      <c r="K165" s="56">
        <f>SUMIF('TB-Jan-25'!$A$12:$A$167,'Working-Jan-25'!C165,'TB-Jan-25'!$E$12:$E$167)</f>
        <v>0</v>
      </c>
      <c r="L165" s="56">
        <f>SUMIF('TB-Jan-25'!I:I,C165,'TB-Jan-25'!M:M)</f>
        <v>0</v>
      </c>
      <c r="M165" s="56">
        <f t="shared" si="4"/>
        <v>0</v>
      </c>
      <c r="N165" s="57">
        <f>IFERROR(VLOOKUP(C165,'[1]TB-Jun-24'!A:F,6,FALSE),0)</f>
        <v>0</v>
      </c>
      <c r="O165" s="35">
        <f>IFERROR(VLOOKUP(C165,'[1]TB-Jun-24'!I:N,6,FALSE),0)</f>
        <v>0</v>
      </c>
      <c r="Q165" s="35" t="s">
        <v>120</v>
      </c>
    </row>
    <row r="166" hidden="1" spans="2:17">
      <c r="B166" s="35">
        <f t="shared" si="5"/>
        <v>160</v>
      </c>
      <c r="C166" s="43" t="s">
        <v>1112</v>
      </c>
      <c r="D166" s="43" t="s">
        <v>939</v>
      </c>
      <c r="E166" s="44" t="s">
        <v>1113</v>
      </c>
      <c r="F166" s="44" t="s">
        <v>33</v>
      </c>
      <c r="G166" s="44" t="s">
        <v>598</v>
      </c>
      <c r="H166" s="44" t="s">
        <v>120</v>
      </c>
      <c r="I166" s="44" t="s">
        <v>309</v>
      </c>
      <c r="J166" s="44"/>
      <c r="K166" s="56">
        <f>SUMIF('TB-Jan-25'!$A$12:$A$167,'Working-Jan-25'!C166,'TB-Jan-25'!$E$12:$E$167)</f>
        <v>0</v>
      </c>
      <c r="L166" s="56">
        <f>SUMIF('TB-Jan-25'!I:I,C166,'TB-Jan-25'!M:M)</f>
        <v>0</v>
      </c>
      <c r="M166" s="56">
        <f t="shared" si="4"/>
        <v>0</v>
      </c>
      <c r="N166" s="57">
        <f>IFERROR(VLOOKUP(C166,'[1]TB-Jun-24'!A:F,6,FALSE),0)</f>
        <v>0</v>
      </c>
      <c r="O166" s="35">
        <f>IFERROR(VLOOKUP(C166,'[1]TB-Jun-24'!I:N,6,FALSE),0)</f>
        <v>0</v>
      </c>
      <c r="Q166" s="35" t="s">
        <v>120</v>
      </c>
    </row>
    <row r="167" hidden="1" spans="2:17">
      <c r="B167" s="35">
        <f t="shared" si="5"/>
        <v>161</v>
      </c>
      <c r="C167" s="43" t="s">
        <v>1114</v>
      </c>
      <c r="D167" s="43" t="s">
        <v>939</v>
      </c>
      <c r="E167" s="44" t="s">
        <v>1102</v>
      </c>
      <c r="F167" s="44" t="s">
        <v>33</v>
      </c>
      <c r="G167" s="44" t="s">
        <v>591</v>
      </c>
      <c r="H167" s="44" t="s">
        <v>120</v>
      </c>
      <c r="I167" s="44" t="s">
        <v>309</v>
      </c>
      <c r="J167" s="44"/>
      <c r="K167" s="56">
        <f>SUMIF('TB-Jan-25'!$A$12:$A$167,'Working-Jan-25'!C167,'TB-Jan-25'!$E$12:$E$167)</f>
        <v>0</v>
      </c>
      <c r="L167" s="56">
        <f>SUMIF('TB-Jan-25'!I:I,C167,'TB-Jan-25'!M:M)</f>
        <v>0</v>
      </c>
      <c r="M167" s="56">
        <f t="shared" si="4"/>
        <v>0</v>
      </c>
      <c r="N167" s="57">
        <f>IFERROR(VLOOKUP(C167,'[1]TB-Jun-24'!A:F,6,FALSE),0)</f>
        <v>0</v>
      </c>
      <c r="O167" s="35">
        <f>IFERROR(VLOOKUP(C167,'[1]TB-Jun-24'!I:N,6,FALSE),0)</f>
        <v>0</v>
      </c>
      <c r="Q167" s="35" t="s">
        <v>120</v>
      </c>
    </row>
    <row r="168" hidden="1" spans="2:17">
      <c r="B168" s="35">
        <f t="shared" si="5"/>
        <v>162</v>
      </c>
      <c r="C168" s="43" t="s">
        <v>1115</v>
      </c>
      <c r="D168" s="43" t="s">
        <v>939</v>
      </c>
      <c r="E168" s="44" t="s">
        <v>1116</v>
      </c>
      <c r="F168" s="44" t="s">
        <v>33</v>
      </c>
      <c r="G168" s="44" t="s">
        <v>582</v>
      </c>
      <c r="H168" s="44" t="s">
        <v>120</v>
      </c>
      <c r="I168" s="44" t="s">
        <v>309</v>
      </c>
      <c r="J168" s="44"/>
      <c r="K168" s="56">
        <f>SUMIF('TB-Jan-25'!$A$12:$A$167,'Working-Jan-25'!C168,'TB-Jan-25'!$E$12:$E$167)</f>
        <v>0</v>
      </c>
      <c r="L168" s="56">
        <f>SUMIF('TB-Jan-25'!I:I,C168,'TB-Jan-25'!M:M)</f>
        <v>0</v>
      </c>
      <c r="M168" s="56">
        <f t="shared" si="4"/>
        <v>0</v>
      </c>
      <c r="N168" s="57">
        <f>IFERROR(VLOOKUP(C168,'[1]TB-Jun-24'!A:F,6,FALSE),0)</f>
        <v>0</v>
      </c>
      <c r="O168" s="35">
        <f>IFERROR(VLOOKUP(C168,'[1]TB-Jun-24'!I:N,6,FALSE),0)</f>
        <v>0</v>
      </c>
      <c r="Q168" s="35" t="s">
        <v>120</v>
      </c>
    </row>
    <row r="169" hidden="1" spans="2:17">
      <c r="B169" s="35">
        <f t="shared" si="5"/>
        <v>163</v>
      </c>
      <c r="C169" s="43" t="s">
        <v>1117</v>
      </c>
      <c r="D169" s="43" t="s">
        <v>939</v>
      </c>
      <c r="E169" s="44" t="s">
        <v>1118</v>
      </c>
      <c r="F169" s="44" t="s">
        <v>33</v>
      </c>
      <c r="G169" s="44" t="s">
        <v>582</v>
      </c>
      <c r="H169" s="44" t="s">
        <v>120</v>
      </c>
      <c r="I169" s="44" t="s">
        <v>309</v>
      </c>
      <c r="J169" s="44"/>
      <c r="K169" s="56">
        <f>SUMIF('TB-Jan-25'!$A$12:$A$167,'Working-Jan-25'!C169,'TB-Jan-25'!$E$12:$E$167)</f>
        <v>0</v>
      </c>
      <c r="L169" s="56">
        <f>SUMIF('TB-Jan-25'!I:I,C169,'TB-Jan-25'!M:M)</f>
        <v>0</v>
      </c>
      <c r="M169" s="56">
        <f t="shared" si="4"/>
        <v>0</v>
      </c>
      <c r="N169" s="57">
        <f>IFERROR(VLOOKUP(C169,'[1]TB-Jun-24'!A:F,6,FALSE),0)</f>
        <v>37499</v>
      </c>
      <c r="O169" s="35">
        <f>IFERROR(VLOOKUP(C169,'[1]TB-Jun-24'!I:N,6,FALSE),0)</f>
        <v>0</v>
      </c>
      <c r="Q169" s="35" t="s">
        <v>120</v>
      </c>
    </row>
    <row r="170" hidden="1" spans="2:17">
      <c r="B170" s="35">
        <f t="shared" si="5"/>
        <v>164</v>
      </c>
      <c r="C170" s="43" t="s">
        <v>754</v>
      </c>
      <c r="D170" s="43" t="s">
        <v>939</v>
      </c>
      <c r="E170" s="44" t="s">
        <v>1118</v>
      </c>
      <c r="F170" s="44" t="s">
        <v>33</v>
      </c>
      <c r="G170" s="44" t="s">
        <v>582</v>
      </c>
      <c r="H170" s="44" t="s">
        <v>120</v>
      </c>
      <c r="I170" s="44" t="s">
        <v>309</v>
      </c>
      <c r="J170" s="44"/>
      <c r="K170" s="56">
        <f>SUMIF('TB-Jan-25'!$A$12:$A$167,'Working-Jan-25'!C170,'TB-Jan-25'!$E$12:$E$167)</f>
        <v>7305.38</v>
      </c>
      <c r="L170" s="56">
        <f>SUMIF('TB-Jan-25'!I:I,C170,'TB-Jan-25'!M:M)</f>
        <v>0</v>
      </c>
      <c r="M170" s="56">
        <f t="shared" si="4"/>
        <v>7305.38</v>
      </c>
      <c r="N170" s="57" t="e">
        <f>SUMIF([6]Final!$B:$B,C170,[6]Final!$F:$F)-M170</f>
        <v>#VALUE!</v>
      </c>
      <c r="O170" s="35">
        <f>IFERROR(VLOOKUP(C170,'[1]TB-Jun-24'!I:N,6,FALSE),0)</f>
        <v>0</v>
      </c>
      <c r="Q170" s="35" t="s">
        <v>120</v>
      </c>
    </row>
    <row r="171" hidden="1" spans="2:17">
      <c r="B171" s="35">
        <f t="shared" si="5"/>
        <v>165</v>
      </c>
      <c r="C171" s="43" t="s">
        <v>1119</v>
      </c>
      <c r="D171" s="43" t="s">
        <v>939</v>
      </c>
      <c r="E171" s="44" t="s">
        <v>1118</v>
      </c>
      <c r="F171" s="44" t="s">
        <v>33</v>
      </c>
      <c r="G171" s="44" t="s">
        <v>582</v>
      </c>
      <c r="H171" s="44" t="s">
        <v>120</v>
      </c>
      <c r="I171" s="44" t="s">
        <v>309</v>
      </c>
      <c r="J171" s="44"/>
      <c r="K171" s="56">
        <f>SUMIF('TB-Jan-25'!$A$12:$A$167,'Working-Jan-25'!C171,'TB-Jan-25'!$E$12:$E$167)</f>
        <v>0</v>
      </c>
      <c r="L171" s="56">
        <f>SUMIF('TB-Jan-25'!I:I,C171,'TB-Jan-25'!M:M)</f>
        <v>0</v>
      </c>
      <c r="M171" s="56">
        <f t="shared" si="4"/>
        <v>0</v>
      </c>
      <c r="N171" s="57">
        <f>IFERROR(VLOOKUP(C171,'[1]TB-Jun-24'!A:F,6,FALSE),0)</f>
        <v>0</v>
      </c>
      <c r="O171" s="35">
        <f>IFERROR(VLOOKUP(C171,'[1]TB-Jun-24'!I:N,6,FALSE),0)</f>
        <v>0</v>
      </c>
      <c r="Q171" s="35" t="s">
        <v>120</v>
      </c>
    </row>
    <row r="172" hidden="1" spans="2:17">
      <c r="B172" s="35">
        <f t="shared" si="5"/>
        <v>166</v>
      </c>
      <c r="C172" s="43" t="s">
        <v>758</v>
      </c>
      <c r="D172" s="43" t="s">
        <v>939</v>
      </c>
      <c r="E172" s="44" t="s">
        <v>1013</v>
      </c>
      <c r="F172" s="44" t="s">
        <v>33</v>
      </c>
      <c r="G172" s="44" t="s">
        <v>579</v>
      </c>
      <c r="H172" s="44" t="s">
        <v>120</v>
      </c>
      <c r="I172" s="44" t="s">
        <v>309</v>
      </c>
      <c r="J172" s="44"/>
      <c r="K172" s="56">
        <f>SUMIF('TB-Jan-25'!$A$12:$A$167,'Working-Jan-25'!C172,'TB-Jan-25'!$E$12:$E$167)</f>
        <v>1100</v>
      </c>
      <c r="L172" s="56">
        <f>SUMIF('TB-Jan-25'!I:I,C172,'TB-Jan-25'!M:M)</f>
        <v>530</v>
      </c>
      <c r="M172" s="56">
        <f t="shared" si="4"/>
        <v>1630</v>
      </c>
      <c r="N172" s="57" t="e">
        <f>SUMIF([6]Final!$B:$B,C172,[6]Final!$F:$F)-M172</f>
        <v>#VALUE!</v>
      </c>
      <c r="O172" s="35">
        <f>IFERROR(VLOOKUP(C172,'[1]TB-Jun-24'!I:N,6,FALSE),0)</f>
        <v>319</v>
      </c>
      <c r="Q172" s="35" t="s">
        <v>120</v>
      </c>
    </row>
    <row r="173" hidden="1" spans="2:17">
      <c r="B173" s="35">
        <f t="shared" si="5"/>
        <v>167</v>
      </c>
      <c r="C173" s="43" t="s">
        <v>760</v>
      </c>
      <c r="D173" s="43" t="s">
        <v>939</v>
      </c>
      <c r="E173" s="44" t="s">
        <v>1120</v>
      </c>
      <c r="F173" s="44" t="s">
        <v>33</v>
      </c>
      <c r="G173" s="44" t="s">
        <v>574</v>
      </c>
      <c r="H173" s="44" t="s">
        <v>120</v>
      </c>
      <c r="I173" s="44" t="s">
        <v>309</v>
      </c>
      <c r="J173" s="44"/>
      <c r="K173" s="56">
        <f>SUMIF('TB-Jan-25'!$A$12:$A$167,'Working-Jan-25'!C173,'TB-Jan-25'!$E$12:$E$167)</f>
        <v>4762</v>
      </c>
      <c r="L173" s="56">
        <f>SUMIF('TB-Jan-25'!I:I,C173,'TB-Jan-25'!M:M)</f>
        <v>0</v>
      </c>
      <c r="M173" s="56">
        <f t="shared" si="4"/>
        <v>4762</v>
      </c>
      <c r="N173" s="57" t="e">
        <f>SUMIF([6]Final!$B:$B,C173,[6]Final!$F:$F)-M173</f>
        <v>#VALUE!</v>
      </c>
      <c r="O173" s="35">
        <f>IFERROR(VLOOKUP(C173,'[1]TB-Jun-24'!I:N,6,FALSE),0)</f>
        <v>0</v>
      </c>
      <c r="Q173" s="35" t="s">
        <v>120</v>
      </c>
    </row>
    <row r="174" hidden="1" spans="2:17">
      <c r="B174" s="35">
        <f t="shared" si="5"/>
        <v>168</v>
      </c>
      <c r="C174" s="43" t="s">
        <v>1121</v>
      </c>
      <c r="D174" s="43" t="s">
        <v>939</v>
      </c>
      <c r="E174" s="44" t="s">
        <v>1013</v>
      </c>
      <c r="F174" s="44" t="s">
        <v>33</v>
      </c>
      <c r="G174" s="44" t="s">
        <v>582</v>
      </c>
      <c r="H174" s="44" t="s">
        <v>120</v>
      </c>
      <c r="I174" s="44" t="s">
        <v>309</v>
      </c>
      <c r="J174" s="44"/>
      <c r="K174" s="56">
        <f>SUMIF('TB-Jan-25'!$A$12:$A$167,'Working-Jan-25'!C174,'TB-Jan-25'!$E$12:$E$167)</f>
        <v>0</v>
      </c>
      <c r="L174" s="56">
        <f>SUMIF('TB-Jan-25'!I:I,C174,'TB-Jan-25'!M:M)</f>
        <v>0</v>
      </c>
      <c r="M174" s="56">
        <f t="shared" si="4"/>
        <v>0</v>
      </c>
      <c r="N174" s="57">
        <f>IFERROR(VLOOKUP(C174,'[1]TB-Jun-24'!A:F,6,FALSE),0)</f>
        <v>0</v>
      </c>
      <c r="O174" s="35">
        <f>IFERROR(VLOOKUP(C174,'[1]TB-Jun-24'!I:N,6,FALSE),0)</f>
        <v>0</v>
      </c>
      <c r="Q174" s="35" t="s">
        <v>120</v>
      </c>
    </row>
    <row r="175" hidden="1" spans="2:17">
      <c r="B175" s="35">
        <f t="shared" si="5"/>
        <v>169</v>
      </c>
      <c r="C175" s="43" t="s">
        <v>1122</v>
      </c>
      <c r="D175" s="43" t="s">
        <v>939</v>
      </c>
      <c r="E175" s="44" t="s">
        <v>1123</v>
      </c>
      <c r="F175" s="44" t="s">
        <v>33</v>
      </c>
      <c r="G175" s="44" t="s">
        <v>591</v>
      </c>
      <c r="H175" s="44" t="s">
        <v>120</v>
      </c>
      <c r="I175" s="44" t="s">
        <v>309</v>
      </c>
      <c r="J175" s="44"/>
      <c r="K175" s="56">
        <f>SUMIF('TB-Jan-25'!$A$12:$A$167,'Working-Jan-25'!C175,'TB-Jan-25'!$E$12:$E$167)</f>
        <v>0</v>
      </c>
      <c r="L175" s="56">
        <f>SUMIF('TB-Jan-25'!I:I,C175,'TB-Jan-25'!M:M)</f>
        <v>0</v>
      </c>
      <c r="M175" s="56">
        <f t="shared" si="4"/>
        <v>0</v>
      </c>
      <c r="N175" s="57">
        <f>IFERROR(VLOOKUP(C175,'[1]TB-Jun-24'!A:F,6,FALSE),0)</f>
        <v>0</v>
      </c>
      <c r="O175" s="35">
        <f>IFERROR(VLOOKUP(C175,'[1]TB-Jun-24'!I:N,6,FALSE),0)</f>
        <v>0</v>
      </c>
      <c r="Q175" s="35" t="s">
        <v>120</v>
      </c>
    </row>
    <row r="176" hidden="1" spans="2:17">
      <c r="B176" s="35">
        <f t="shared" si="5"/>
        <v>170</v>
      </c>
      <c r="C176" s="43" t="s">
        <v>1124</v>
      </c>
      <c r="D176" s="43" t="s">
        <v>939</v>
      </c>
      <c r="E176" s="44" t="s">
        <v>1123</v>
      </c>
      <c r="F176" s="44" t="s">
        <v>33</v>
      </c>
      <c r="G176" s="44" t="s">
        <v>591</v>
      </c>
      <c r="H176" s="44" t="s">
        <v>120</v>
      </c>
      <c r="I176" s="44" t="s">
        <v>309</v>
      </c>
      <c r="J176" s="44"/>
      <c r="K176" s="56">
        <f>SUMIF('TB-Jan-25'!$A$12:$A$167,'Working-Jan-25'!C176,'TB-Jan-25'!$E$12:$E$167)</f>
        <v>0</v>
      </c>
      <c r="L176" s="56">
        <f>SUMIF('TB-Jan-25'!I:I,C176,'TB-Jan-25'!M:M)</f>
        <v>0</v>
      </c>
      <c r="M176" s="56">
        <f t="shared" si="4"/>
        <v>0</v>
      </c>
      <c r="N176" s="57">
        <f>IFERROR(VLOOKUP(C176,'[1]TB-Jun-24'!A:F,6,FALSE),0)</f>
        <v>0</v>
      </c>
      <c r="O176" s="35">
        <f>IFERROR(VLOOKUP(C176,'[1]TB-Jun-24'!I:N,6,FALSE),0)</f>
        <v>0</v>
      </c>
      <c r="Q176" s="35" t="s">
        <v>120</v>
      </c>
    </row>
    <row r="177" hidden="1" spans="2:17">
      <c r="B177" s="35">
        <f t="shared" si="5"/>
        <v>171</v>
      </c>
      <c r="C177" s="43" t="s">
        <v>1125</v>
      </c>
      <c r="D177" s="43" t="s">
        <v>939</v>
      </c>
      <c r="E177" s="44" t="s">
        <v>1104</v>
      </c>
      <c r="F177" s="44" t="s">
        <v>33</v>
      </c>
      <c r="G177" s="44" t="s">
        <v>594</v>
      </c>
      <c r="H177" s="44" t="s">
        <v>120</v>
      </c>
      <c r="I177" s="44" t="s">
        <v>309</v>
      </c>
      <c r="J177" s="44"/>
      <c r="K177" s="56">
        <f>SUMIF('TB-Jan-25'!$A$12:$A$167,'Working-Jan-25'!C177,'TB-Jan-25'!$E$12:$E$167)</f>
        <v>0</v>
      </c>
      <c r="L177" s="56">
        <f>SUMIF('TB-Jan-25'!I:I,C177,'TB-Jan-25'!M:M)</f>
        <v>0</v>
      </c>
      <c r="M177" s="56">
        <f t="shared" si="4"/>
        <v>0</v>
      </c>
      <c r="N177" s="57">
        <f>IFERROR(VLOOKUP(C177,'[1]TB-Jun-24'!A:F,6,FALSE),0)</f>
        <v>0</v>
      </c>
      <c r="O177" s="35">
        <f>IFERROR(VLOOKUP(C177,'[1]TB-Jun-24'!I:N,6,FALSE),0)</f>
        <v>0</v>
      </c>
      <c r="Q177" s="35" t="s">
        <v>120</v>
      </c>
    </row>
    <row r="178" hidden="1" spans="2:17">
      <c r="B178" s="35">
        <f t="shared" si="5"/>
        <v>172</v>
      </c>
      <c r="C178" s="43" t="s">
        <v>786</v>
      </c>
      <c r="D178" s="43" t="s">
        <v>939</v>
      </c>
      <c r="E178" s="44" t="s">
        <v>1126</v>
      </c>
      <c r="F178" s="44" t="s">
        <v>33</v>
      </c>
      <c r="G178" s="44" t="s">
        <v>502</v>
      </c>
      <c r="H178" s="44" t="s">
        <v>120</v>
      </c>
      <c r="I178" s="44" t="s">
        <v>309</v>
      </c>
      <c r="J178" s="44"/>
      <c r="K178" s="56">
        <f>SUMIF('TB-Jan-25'!$A$12:$A$167,'Working-Jan-25'!C178,'TB-Jan-25'!$E$12:$E$167)</f>
        <v>0</v>
      </c>
      <c r="L178" s="56">
        <f>SUMIF('TB-Jan-25'!I:I,C178,'TB-Jan-25'!M:M)</f>
        <v>19431</v>
      </c>
      <c r="M178" s="56">
        <f t="shared" si="4"/>
        <v>19431</v>
      </c>
      <c r="N178" s="57" t="e">
        <f>SUMIF([6]Final!$B:$B,C178,[6]Final!$F:$F)-M178</f>
        <v>#VALUE!</v>
      </c>
      <c r="O178" s="35">
        <f>IFERROR(VLOOKUP(C178,'[1]TB-Jun-24'!I:N,6,FALSE),0)</f>
        <v>32284</v>
      </c>
      <c r="Q178" s="35" t="s">
        <v>120</v>
      </c>
    </row>
    <row r="179" hidden="1" spans="2:17">
      <c r="B179" s="35">
        <f t="shared" si="5"/>
        <v>173</v>
      </c>
      <c r="C179" s="43" t="s">
        <v>1127</v>
      </c>
      <c r="D179" s="43" t="s">
        <v>939</v>
      </c>
      <c r="E179" s="44" t="s">
        <v>1126</v>
      </c>
      <c r="F179" s="44" t="s">
        <v>33</v>
      </c>
      <c r="G179" s="44" t="s">
        <v>502</v>
      </c>
      <c r="H179" s="44" t="s">
        <v>120</v>
      </c>
      <c r="I179" s="44" t="s">
        <v>309</v>
      </c>
      <c r="J179" s="44"/>
      <c r="K179" s="56">
        <f>SUMIF('TB-Jan-25'!$A$12:$A$167,'Working-Jan-25'!C179,'TB-Jan-25'!$E$12:$E$167)</f>
        <v>0</v>
      </c>
      <c r="L179" s="56">
        <f>SUMIF('TB-Jan-25'!I:I,C179,'TB-Jan-25'!M:M)</f>
        <v>0</v>
      </c>
      <c r="M179" s="56">
        <f t="shared" si="4"/>
        <v>0</v>
      </c>
      <c r="N179" s="57">
        <f>IFERROR(VLOOKUP(C179,'[1]TB-Jun-24'!A:F,6,FALSE),0)</f>
        <v>0</v>
      </c>
      <c r="O179" s="35">
        <f>IFERROR(VLOOKUP(C179,'[1]TB-Jun-24'!I:N,6,FALSE),0)</f>
        <v>0</v>
      </c>
      <c r="Q179" s="35" t="s">
        <v>120</v>
      </c>
    </row>
    <row r="180" hidden="1" spans="2:17">
      <c r="B180" s="35">
        <f t="shared" si="5"/>
        <v>174</v>
      </c>
      <c r="C180" s="43" t="s">
        <v>1128</v>
      </c>
      <c r="D180" s="43" t="s">
        <v>939</v>
      </c>
      <c r="E180" s="44" t="s">
        <v>1126</v>
      </c>
      <c r="F180" s="44" t="s">
        <v>33</v>
      </c>
      <c r="G180" s="44" t="s">
        <v>502</v>
      </c>
      <c r="H180" s="44" t="s">
        <v>120</v>
      </c>
      <c r="I180" s="44" t="s">
        <v>309</v>
      </c>
      <c r="J180" s="44"/>
      <c r="K180" s="56">
        <f>SUMIF('TB-Jan-25'!$A$12:$A$167,'Working-Jan-25'!C180,'TB-Jan-25'!$E$12:$E$167)</f>
        <v>0</v>
      </c>
      <c r="L180" s="56">
        <f>SUMIF('TB-Jan-25'!I:I,C180,'TB-Jan-25'!M:M)</f>
        <v>0</v>
      </c>
      <c r="M180" s="56">
        <f t="shared" si="4"/>
        <v>0</v>
      </c>
      <c r="N180" s="57">
        <f>IFERROR(VLOOKUP(C180,'[1]TB-Jun-24'!A:F,6,FALSE),0)</f>
        <v>0</v>
      </c>
      <c r="O180" s="35">
        <f>IFERROR(VLOOKUP(C180,'[1]TB-Jun-24'!I:N,6,FALSE),0)</f>
        <v>0</v>
      </c>
      <c r="Q180" s="35" t="s">
        <v>120</v>
      </c>
    </row>
    <row r="181" hidden="1" spans="2:17">
      <c r="B181" s="35">
        <f t="shared" si="5"/>
        <v>175</v>
      </c>
      <c r="C181" s="43" t="s">
        <v>764</v>
      </c>
      <c r="D181" s="43" t="s">
        <v>939</v>
      </c>
      <c r="E181" s="44" t="s">
        <v>1126</v>
      </c>
      <c r="F181" s="44" t="s">
        <v>33</v>
      </c>
      <c r="G181" s="44" t="s">
        <v>502</v>
      </c>
      <c r="H181" s="44" t="s">
        <v>120</v>
      </c>
      <c r="I181" s="44" t="s">
        <v>309</v>
      </c>
      <c r="J181" s="44"/>
      <c r="K181" s="56">
        <f>SUMIF('TB-Jan-25'!$A$12:$A$167,'Working-Jan-25'!C181,'TB-Jan-25'!$E$12:$E$167)</f>
        <v>2470</v>
      </c>
      <c r="L181" s="56">
        <f>SUMIF('TB-Jan-25'!I:I,C181,'TB-Jan-25'!M:M)</f>
        <v>0</v>
      </c>
      <c r="M181" s="56">
        <f t="shared" si="4"/>
        <v>2470</v>
      </c>
      <c r="N181" s="57" t="e">
        <f>SUMIF([6]Final!$B:$B,C181,[6]Final!$F:$F)-M181</f>
        <v>#VALUE!</v>
      </c>
      <c r="O181" s="35">
        <f>IFERROR(VLOOKUP(C181,'[1]TB-Jun-24'!I:N,6,FALSE),0)</f>
        <v>0</v>
      </c>
      <c r="Q181" s="35" t="s">
        <v>120</v>
      </c>
    </row>
    <row r="182" hidden="1" spans="2:17">
      <c r="B182" s="35">
        <f t="shared" si="5"/>
        <v>176</v>
      </c>
      <c r="C182" s="43" t="s">
        <v>765</v>
      </c>
      <c r="D182" s="43" t="s">
        <v>939</v>
      </c>
      <c r="E182" s="44" t="s">
        <v>1113</v>
      </c>
      <c r="F182" s="44" t="s">
        <v>33</v>
      </c>
      <c r="G182" s="44" t="s">
        <v>598</v>
      </c>
      <c r="H182" s="44" t="s">
        <v>120</v>
      </c>
      <c r="I182" s="44" t="s">
        <v>309</v>
      </c>
      <c r="J182" s="44"/>
      <c r="K182" s="56">
        <f>SUMIF('TB-Jan-25'!$A$12:$A$167,'Working-Jan-25'!C182,'TB-Jan-25'!$E$12:$E$167)</f>
        <v>42</v>
      </c>
      <c r="L182" s="56">
        <f>SUMIF('TB-Jan-25'!I:I,C182,'TB-Jan-25'!M:M)</f>
        <v>0</v>
      </c>
      <c r="M182" s="56">
        <f t="shared" si="4"/>
        <v>42</v>
      </c>
      <c r="N182" s="57" t="e">
        <f>SUMIF([6]Final!$B:$B,C182,[6]Final!$F:$F)-M182</f>
        <v>#VALUE!</v>
      </c>
      <c r="O182" s="35">
        <f>IFERROR(VLOOKUP(C182,'[1]TB-Jun-24'!I:N,6,FALSE),0)</f>
        <v>0</v>
      </c>
      <c r="Q182" s="35" t="s">
        <v>120</v>
      </c>
    </row>
    <row r="183" spans="2:17">
      <c r="B183" s="35">
        <f t="shared" si="5"/>
        <v>177</v>
      </c>
      <c r="C183" s="43" t="s">
        <v>788</v>
      </c>
      <c r="D183" s="46" t="s">
        <v>939</v>
      </c>
      <c r="E183" s="47" t="s">
        <v>1105</v>
      </c>
      <c r="F183" s="47" t="s">
        <v>33</v>
      </c>
      <c r="G183" s="44" t="s">
        <v>515</v>
      </c>
      <c r="H183" s="44" t="s">
        <v>120</v>
      </c>
      <c r="I183" s="44" t="s">
        <v>309</v>
      </c>
      <c r="J183" s="44"/>
      <c r="K183" s="56">
        <f>SUMIF('TB-Jan-25'!$A$12:$A$167,'Working-Jan-25'!C183,'TB-Jan-25'!$E$12:$E$167)</f>
        <v>0</v>
      </c>
      <c r="L183" s="56">
        <f>SUMIF('TB-Jan-25'!I:I,C183,'TB-Jan-25'!M:M)</f>
        <v>11860</v>
      </c>
      <c r="M183" s="56">
        <f t="shared" si="4"/>
        <v>11860</v>
      </c>
      <c r="N183" s="57" t="e">
        <f>SUMIF([6]Final!$B:$B,C183,[6]Final!$F:$F)-M183</f>
        <v>#VALUE!</v>
      </c>
      <c r="O183" s="35">
        <f>IFERROR(VLOOKUP(C183,'[1]TB-Jun-24'!I:N,6,FALSE),0)</f>
        <v>15000</v>
      </c>
      <c r="Q183" s="35" t="s">
        <v>120</v>
      </c>
    </row>
    <row r="184" hidden="1" spans="2:17">
      <c r="B184" s="35">
        <f t="shared" si="5"/>
        <v>178</v>
      </c>
      <c r="C184" s="43" t="s">
        <v>767</v>
      </c>
      <c r="D184" s="43" t="s">
        <v>939</v>
      </c>
      <c r="E184" s="44" t="s">
        <v>1013</v>
      </c>
      <c r="F184" s="44" t="s">
        <v>33</v>
      </c>
      <c r="G184" s="44" t="s">
        <v>600</v>
      </c>
      <c r="H184" s="44" t="s">
        <v>120</v>
      </c>
      <c r="I184" s="44" t="s">
        <v>309</v>
      </c>
      <c r="J184" s="44"/>
      <c r="K184" s="56">
        <f>SUMIF('TB-Jan-25'!$A$12:$A$167,'Working-Jan-25'!C184,'TB-Jan-25'!$E$12:$E$167)</f>
        <v>40304.54</v>
      </c>
      <c r="L184" s="56">
        <f>SUMIF('TB-Jan-25'!I:I,C184,'TB-Jan-25'!M:M)</f>
        <v>0</v>
      </c>
      <c r="M184" s="56">
        <f t="shared" si="4"/>
        <v>40304.54</v>
      </c>
      <c r="N184" s="57" t="e">
        <f>SUMIF([6]Final!$B:$B,C184,[6]Final!$F:$F)-M184</f>
        <v>#VALUE!</v>
      </c>
      <c r="O184" s="35">
        <f>IFERROR(VLOOKUP(C184,'[1]TB-Jun-24'!I:N,6,FALSE),0)</f>
        <v>0</v>
      </c>
      <c r="Q184" s="35" t="s">
        <v>120</v>
      </c>
    </row>
    <row r="185" hidden="1" spans="2:17">
      <c r="B185" s="35">
        <f t="shared" si="5"/>
        <v>179</v>
      </c>
      <c r="C185" s="43" t="s">
        <v>1129</v>
      </c>
      <c r="D185" s="43" t="s">
        <v>939</v>
      </c>
      <c r="E185" s="44" t="s">
        <v>1013</v>
      </c>
      <c r="F185" s="44" t="s">
        <v>33</v>
      </c>
      <c r="G185" s="44" t="s">
        <v>603</v>
      </c>
      <c r="H185" s="44" t="s">
        <v>120</v>
      </c>
      <c r="I185" s="44" t="s">
        <v>309</v>
      </c>
      <c r="J185" s="44"/>
      <c r="K185" s="56">
        <f>SUMIF('TB-Jan-25'!$A$12:$A$167,'Working-Jan-25'!C185,'TB-Jan-25'!$E$12:$E$167)</f>
        <v>0</v>
      </c>
      <c r="L185" s="56">
        <f>SUMIF('TB-Jan-25'!I:I,C185,'TB-Jan-25'!M:M)</f>
        <v>0</v>
      </c>
      <c r="M185" s="56">
        <f t="shared" si="4"/>
        <v>0</v>
      </c>
      <c r="N185" s="57">
        <f>IFERROR(VLOOKUP(C185,'[1]TB-Jun-24'!A:F,6,FALSE),0)</f>
        <v>0</v>
      </c>
      <c r="O185" s="35">
        <f>IFERROR(VLOOKUP(C185,'[1]TB-Jun-24'!I:N,6,FALSE),0)</f>
        <v>0</v>
      </c>
      <c r="Q185" s="35" t="s">
        <v>120</v>
      </c>
    </row>
    <row r="186" hidden="1" spans="2:17">
      <c r="B186" s="35">
        <f t="shared" si="5"/>
        <v>180</v>
      </c>
      <c r="C186" s="43" t="s">
        <v>605</v>
      </c>
      <c r="D186" s="43" t="s">
        <v>939</v>
      </c>
      <c r="E186" s="44" t="s">
        <v>1013</v>
      </c>
      <c r="F186" s="44" t="s">
        <v>33</v>
      </c>
      <c r="G186" s="44" t="s">
        <v>605</v>
      </c>
      <c r="H186" s="44" t="s">
        <v>120</v>
      </c>
      <c r="I186" s="44" t="s">
        <v>309</v>
      </c>
      <c r="J186" s="44"/>
      <c r="K186" s="56">
        <f>SUMIF('TB-Jan-25'!$A$12:$A$167,'Working-Jan-25'!C186,'TB-Jan-25'!$E$12:$E$167)</f>
        <v>0</v>
      </c>
      <c r="L186" s="56">
        <f>SUMIF('TB-Jan-25'!I:I,C186,'TB-Jan-25'!M:M)</f>
        <v>0</v>
      </c>
      <c r="M186" s="56">
        <f t="shared" si="4"/>
        <v>0</v>
      </c>
      <c r="N186" s="57">
        <f>IFERROR(VLOOKUP(C186,'[1]TB-Jun-24'!A:F,6,FALSE),0)</f>
        <v>0</v>
      </c>
      <c r="O186" s="35">
        <f>IFERROR(VLOOKUP(C186,'[1]TB-Jun-24'!I:N,6,FALSE),0)</f>
        <v>0</v>
      </c>
      <c r="Q186" s="35" t="s">
        <v>120</v>
      </c>
    </row>
    <row r="187" hidden="1" spans="2:17">
      <c r="B187" s="35">
        <f t="shared" si="5"/>
        <v>181</v>
      </c>
      <c r="C187" s="43" t="s">
        <v>769</v>
      </c>
      <c r="D187" s="43" t="s">
        <v>939</v>
      </c>
      <c r="E187" s="44" t="s">
        <v>1130</v>
      </c>
      <c r="F187" s="44" t="s">
        <v>33</v>
      </c>
      <c r="G187" s="44" t="s">
        <v>558</v>
      </c>
      <c r="H187" s="44" t="s">
        <v>120</v>
      </c>
      <c r="I187" s="44" t="s">
        <v>309</v>
      </c>
      <c r="J187" s="44"/>
      <c r="K187" s="56">
        <f>SUMIF('TB-Jan-25'!$A$12:$A$167,'Working-Jan-25'!C187,'TB-Jan-25'!$E$12:$E$167)</f>
        <v>150000</v>
      </c>
      <c r="L187" s="56">
        <f>SUMIF('TB-Jan-25'!I:I,C187,'TB-Jan-25'!M:M)</f>
        <v>0</v>
      </c>
      <c r="M187" s="56">
        <f t="shared" si="4"/>
        <v>150000</v>
      </c>
      <c r="N187" s="57" t="e">
        <f>SUMIF([6]Final!$B:$B,C187,[6]Final!$F:$F)-M187</f>
        <v>#VALUE!</v>
      </c>
      <c r="O187" s="35">
        <f>IFERROR(VLOOKUP(C187,'[1]TB-Jun-24'!I:N,6,FALSE),0)</f>
        <v>0</v>
      </c>
      <c r="Q187" s="35" t="s">
        <v>120</v>
      </c>
    </row>
    <row r="188" hidden="1" spans="2:17">
      <c r="B188" s="35">
        <f t="shared" si="5"/>
        <v>182</v>
      </c>
      <c r="C188" s="43" t="s">
        <v>770</v>
      </c>
      <c r="D188" s="43" t="s">
        <v>939</v>
      </c>
      <c r="E188" s="44" t="s">
        <v>1013</v>
      </c>
      <c r="F188" s="44" t="s">
        <v>33</v>
      </c>
      <c r="G188" s="44" t="s">
        <v>588</v>
      </c>
      <c r="H188" s="44" t="s">
        <v>120</v>
      </c>
      <c r="I188" s="44" t="s">
        <v>309</v>
      </c>
      <c r="J188" s="44"/>
      <c r="K188" s="56">
        <f>SUMIF('TB-Jan-25'!$A$12:$A$167,'Working-Jan-25'!C188,'TB-Jan-25'!$E$12:$E$167)</f>
        <v>19906</v>
      </c>
      <c r="L188" s="56">
        <f>SUMIF('TB-Jan-25'!I:I,C188,'TB-Jan-25'!M:M)</f>
        <v>0</v>
      </c>
      <c r="M188" s="56">
        <f t="shared" si="4"/>
        <v>19906</v>
      </c>
      <c r="N188" s="57" t="e">
        <f>SUMIF([6]Final!$B:$B,C188,[6]Final!$F:$F)-M188</f>
        <v>#VALUE!</v>
      </c>
      <c r="O188" s="35">
        <f>IFERROR(VLOOKUP(C188,'[1]TB-Jun-24'!I:N,6,FALSE),0)</f>
        <v>0</v>
      </c>
      <c r="Q188" s="35" t="s">
        <v>120</v>
      </c>
    </row>
    <row r="189" hidden="1" spans="2:17">
      <c r="B189" s="35">
        <f t="shared" si="5"/>
        <v>183</v>
      </c>
      <c r="C189" s="43" t="s">
        <v>772</v>
      </c>
      <c r="D189" s="43" t="s">
        <v>939</v>
      </c>
      <c r="E189" s="44" t="s">
        <v>1131</v>
      </c>
      <c r="F189" s="44" t="s">
        <v>33</v>
      </c>
      <c r="G189" s="44" t="s">
        <v>577</v>
      </c>
      <c r="H189" s="44" t="s">
        <v>120</v>
      </c>
      <c r="I189" s="44" t="s">
        <v>309</v>
      </c>
      <c r="J189" s="44"/>
      <c r="K189" s="56">
        <f>SUMIF('TB-Jan-25'!$A$12:$A$167,'Working-Jan-25'!C189,'TB-Jan-25'!$E$12:$E$167)</f>
        <v>3750</v>
      </c>
      <c r="L189" s="56">
        <f>SUMIF('TB-Jan-25'!I:I,C189,'TB-Jan-25'!M:M)</f>
        <v>0</v>
      </c>
      <c r="M189" s="56">
        <f t="shared" si="4"/>
        <v>3750</v>
      </c>
      <c r="N189" s="57" t="e">
        <f>SUMIF([6]Final!$B:$B,C189,[6]Final!$F:$F)-M189</f>
        <v>#VALUE!</v>
      </c>
      <c r="O189" s="35">
        <f>IFERROR(VLOOKUP(C189,'[1]TB-Jun-24'!I:N,6,FALSE),0)</f>
        <v>0</v>
      </c>
      <c r="Q189" s="35" t="s">
        <v>120</v>
      </c>
    </row>
    <row r="190" hidden="1" spans="2:17">
      <c r="B190" s="35">
        <f t="shared" si="5"/>
        <v>184</v>
      </c>
      <c r="C190" s="43" t="s">
        <v>609</v>
      </c>
      <c r="D190" s="43" t="s">
        <v>939</v>
      </c>
      <c r="E190" s="44" t="s">
        <v>1013</v>
      </c>
      <c r="F190" s="44" t="s">
        <v>33</v>
      </c>
      <c r="G190" s="44" t="s">
        <v>609</v>
      </c>
      <c r="H190" s="44" t="s">
        <v>120</v>
      </c>
      <c r="I190" s="44" t="s">
        <v>309</v>
      </c>
      <c r="J190" s="44"/>
      <c r="K190" s="56">
        <f>SUMIF('TB-Jan-25'!$A$12:$A$167,'Working-Jan-25'!C190,'TB-Jan-25'!$E$12:$E$167)</f>
        <v>0</v>
      </c>
      <c r="L190" s="56">
        <f>SUMIF('TB-Jan-25'!I:I,C190,'TB-Jan-25'!M:M)</f>
        <v>0</v>
      </c>
      <c r="M190" s="56">
        <f t="shared" si="4"/>
        <v>0</v>
      </c>
      <c r="N190" s="57">
        <f>IFERROR(VLOOKUP(C190,'[1]TB-Jun-24'!A:F,6,FALSE),0)</f>
        <v>0</v>
      </c>
      <c r="O190" s="35">
        <f>IFERROR(VLOOKUP(C190,'[1]TB-Jun-24'!I:N,6,FALSE),0)</f>
        <v>0</v>
      </c>
      <c r="Q190" s="35" t="s">
        <v>120</v>
      </c>
    </row>
    <row r="191" hidden="1" spans="2:17">
      <c r="B191" s="35">
        <f t="shared" si="5"/>
        <v>185</v>
      </c>
      <c r="C191" s="43" t="s">
        <v>774</v>
      </c>
      <c r="D191" s="43" t="s">
        <v>939</v>
      </c>
      <c r="E191" s="44" t="s">
        <v>1132</v>
      </c>
      <c r="F191" s="44" t="s">
        <v>33</v>
      </c>
      <c r="G191" s="44" t="s">
        <v>610</v>
      </c>
      <c r="H191" s="44" t="s">
        <v>120</v>
      </c>
      <c r="I191" s="44" t="s">
        <v>309</v>
      </c>
      <c r="J191" s="44"/>
      <c r="K191" s="56">
        <f>SUMIF('TB-Jan-25'!$A$12:$A$167,'Working-Jan-25'!C191,'TB-Jan-25'!$E$12:$E$167)</f>
        <v>-258.88</v>
      </c>
      <c r="L191" s="56">
        <f>SUMIF('TB-Jan-25'!I:I,C191,'TB-Jan-25'!M:M)</f>
        <v>-3.87</v>
      </c>
      <c r="M191" s="56">
        <f t="shared" si="4"/>
        <v>-262.75</v>
      </c>
      <c r="N191" s="57" t="e">
        <f>SUMIF([6]Final!$B:$B,C191,[6]Final!$F:$F)-M191</f>
        <v>#VALUE!</v>
      </c>
      <c r="O191" s="35">
        <f>IFERROR(VLOOKUP(C191,'[1]TB-Jun-24'!I:N,6,FALSE),0)</f>
        <v>648.58</v>
      </c>
      <c r="Q191" s="35" t="s">
        <v>120</v>
      </c>
    </row>
    <row r="192" hidden="1" spans="2:17">
      <c r="B192" s="35">
        <f t="shared" si="5"/>
        <v>186</v>
      </c>
      <c r="C192" s="43" t="s">
        <v>1133</v>
      </c>
      <c r="D192" s="43" t="s">
        <v>939</v>
      </c>
      <c r="E192" s="44" t="s">
        <v>1104</v>
      </c>
      <c r="F192" s="44" t="s">
        <v>33</v>
      </c>
      <c r="G192" s="44" t="s">
        <v>594</v>
      </c>
      <c r="H192" s="44" t="s">
        <v>120</v>
      </c>
      <c r="I192" s="44" t="s">
        <v>309</v>
      </c>
      <c r="J192" s="44"/>
      <c r="K192" s="56">
        <f>SUMIF('TB-Jan-25'!$A$12:$A$167,'Working-Jan-25'!C192,'TB-Jan-25'!$E$12:$E$167)</f>
        <v>0</v>
      </c>
      <c r="L192" s="56">
        <f>SUMIF('TB-Jan-25'!I:I,C192,'TB-Jan-25'!M:M)</f>
        <v>0</v>
      </c>
      <c r="M192" s="56">
        <f t="shared" si="4"/>
        <v>0</v>
      </c>
      <c r="N192" s="57">
        <f>IFERROR(VLOOKUP(C192,'[1]TB-Jun-24'!A:F,6,FALSE),0)</f>
        <v>0</v>
      </c>
      <c r="O192" s="35">
        <f>IFERROR(VLOOKUP(C192,'[1]TB-Jun-24'!I:N,6,FALSE),0)</f>
        <v>0</v>
      </c>
      <c r="Q192" s="35" t="s">
        <v>120</v>
      </c>
    </row>
    <row r="193" spans="2:17">
      <c r="B193" s="35">
        <f t="shared" si="5"/>
        <v>187</v>
      </c>
      <c r="C193" s="43" t="s">
        <v>1134</v>
      </c>
      <c r="D193" s="46" t="s">
        <v>939</v>
      </c>
      <c r="E193" s="47" t="s">
        <v>1013</v>
      </c>
      <c r="F193" s="47" t="s">
        <v>33</v>
      </c>
      <c r="G193" s="44" t="s">
        <v>515</v>
      </c>
      <c r="H193" s="44" t="s">
        <v>120</v>
      </c>
      <c r="I193" s="44" t="s">
        <v>309</v>
      </c>
      <c r="J193" s="44"/>
      <c r="K193" s="56">
        <f>SUMIF('TB-Jan-25'!$A$12:$A$167,'Working-Jan-25'!C193,'TB-Jan-25'!$E$12:$E$167)</f>
        <v>0</v>
      </c>
      <c r="L193" s="56">
        <f>SUMIF('TB-Jan-25'!I:I,C193,'TB-Jan-25'!M:M)</f>
        <v>0</v>
      </c>
      <c r="M193" s="56">
        <f t="shared" si="4"/>
        <v>0</v>
      </c>
      <c r="N193" s="57">
        <f>IFERROR(VLOOKUP(C193,'[1]TB-Jun-24'!A:F,6,FALSE),0)</f>
        <v>0</v>
      </c>
      <c r="O193" s="35">
        <f>IFERROR(VLOOKUP(C193,'[1]TB-Jun-24'!I:N,6,FALSE),0)</f>
        <v>0</v>
      </c>
      <c r="Q193" s="35" t="s">
        <v>120</v>
      </c>
    </row>
    <row r="194" hidden="1" spans="2:17">
      <c r="B194" s="35">
        <f t="shared" si="5"/>
        <v>188</v>
      </c>
      <c r="C194" s="43" t="s">
        <v>1135</v>
      </c>
      <c r="D194" s="43" t="s">
        <v>939</v>
      </c>
      <c r="E194" s="44" t="s">
        <v>1013</v>
      </c>
      <c r="F194" s="44" t="s">
        <v>33</v>
      </c>
      <c r="G194" s="44" t="s">
        <v>588</v>
      </c>
      <c r="H194" s="44" t="s">
        <v>120</v>
      </c>
      <c r="I194" s="44" t="s">
        <v>309</v>
      </c>
      <c r="J194" s="44"/>
      <c r="K194" s="56">
        <f>SUMIF('TB-Jan-25'!$A$12:$A$167,'Working-Jan-25'!C194,'TB-Jan-25'!$E$12:$E$167)</f>
        <v>0</v>
      </c>
      <c r="L194" s="56">
        <f>SUMIF('TB-Jan-25'!I:I,C194,'TB-Jan-25'!M:M)</f>
        <v>0</v>
      </c>
      <c r="M194" s="56">
        <f t="shared" ref="M194:M281" si="6">K194+L194</f>
        <v>0</v>
      </c>
      <c r="N194" s="57">
        <f>IFERROR(VLOOKUP(C194,'[1]TB-Jun-24'!A:F,6,FALSE),0)</f>
        <v>0</v>
      </c>
      <c r="O194" s="35">
        <f>IFERROR(VLOOKUP(C194,'[1]TB-Jun-24'!I:N,6,FALSE),0)</f>
        <v>0</v>
      </c>
      <c r="Q194" s="35" t="s">
        <v>120</v>
      </c>
    </row>
    <row r="195" hidden="1" spans="2:17">
      <c r="B195" s="35">
        <f t="shared" si="5"/>
        <v>189</v>
      </c>
      <c r="C195" s="43" t="s">
        <v>1136</v>
      </c>
      <c r="D195" s="43" t="s">
        <v>939</v>
      </c>
      <c r="E195" s="44" t="s">
        <v>1013</v>
      </c>
      <c r="F195" s="44" t="s">
        <v>33</v>
      </c>
      <c r="G195" s="44" t="s">
        <v>609</v>
      </c>
      <c r="H195" s="44" t="s">
        <v>120</v>
      </c>
      <c r="I195" s="44" t="s">
        <v>309</v>
      </c>
      <c r="J195" s="44"/>
      <c r="K195" s="56">
        <f>SUMIF('TB-Jan-25'!$A$12:$A$167,'Working-Jan-25'!C195,'TB-Jan-25'!$E$12:$E$167)</f>
        <v>0</v>
      </c>
      <c r="L195" s="56">
        <f>SUMIF('TB-Jan-25'!I:I,C195,'TB-Jan-25'!M:M)</f>
        <v>0</v>
      </c>
      <c r="M195" s="56">
        <f t="shared" si="6"/>
        <v>0</v>
      </c>
      <c r="N195" s="57">
        <f>IFERROR(VLOOKUP(C195,'[1]TB-Jun-24'!A:F,6,FALSE),0)</f>
        <v>0</v>
      </c>
      <c r="O195" s="35">
        <f>IFERROR(VLOOKUP(C195,'[1]TB-Jun-24'!I:N,6,FALSE),0)</f>
        <v>0</v>
      </c>
      <c r="Q195" s="35" t="s">
        <v>120</v>
      </c>
    </row>
    <row r="196" hidden="1" spans="2:17">
      <c r="B196" s="35">
        <f t="shared" si="5"/>
        <v>190</v>
      </c>
      <c r="C196" s="43" t="s">
        <v>776</v>
      </c>
      <c r="D196" s="43" t="s">
        <v>939</v>
      </c>
      <c r="E196" s="44" t="s">
        <v>1137</v>
      </c>
      <c r="F196" s="44" t="s">
        <v>33</v>
      </c>
      <c r="G196" s="44" t="s">
        <v>554</v>
      </c>
      <c r="H196" s="44" t="s">
        <v>120</v>
      </c>
      <c r="I196" s="44" t="s">
        <v>309</v>
      </c>
      <c r="J196" s="44"/>
      <c r="K196" s="56">
        <f>SUMIF('TB-Jan-25'!$A$12:$A$167,'Working-Jan-25'!C196,'TB-Jan-25'!$E$12:$E$167)</f>
        <v>100000</v>
      </c>
      <c r="L196" s="56">
        <f>SUMIF('TB-Jan-25'!I:I,C196,'TB-Jan-25'!M:M)</f>
        <v>0</v>
      </c>
      <c r="M196" s="56">
        <f t="shared" si="6"/>
        <v>100000</v>
      </c>
      <c r="N196" s="57" t="e">
        <f>SUMIF([6]Final!$B:$B,C196,[6]Final!$F:$F)-M196</f>
        <v>#VALUE!</v>
      </c>
      <c r="O196" s="35">
        <f>IFERROR(VLOOKUP(C196,'[1]TB-Jun-24'!I:N,6,FALSE),0)</f>
        <v>-150000</v>
      </c>
      <c r="Q196" s="35" t="s">
        <v>33</v>
      </c>
    </row>
    <row r="197" hidden="1" spans="2:17">
      <c r="B197" s="35">
        <f t="shared" si="5"/>
        <v>191</v>
      </c>
      <c r="C197" s="43" t="s">
        <v>1138</v>
      </c>
      <c r="D197" s="43" t="s">
        <v>939</v>
      </c>
      <c r="E197" s="44" t="s">
        <v>1013</v>
      </c>
      <c r="F197" s="44" t="s">
        <v>33</v>
      </c>
      <c r="G197" s="44" t="s">
        <v>613</v>
      </c>
      <c r="H197" s="44" t="s">
        <v>120</v>
      </c>
      <c r="I197" s="44" t="s">
        <v>309</v>
      </c>
      <c r="J197" s="44"/>
      <c r="K197" s="56">
        <f>SUMIF('TB-Jan-25'!$A$12:$A$167,'Working-Jan-25'!C197,'TB-Jan-25'!$E$12:$E$167)</f>
        <v>0</v>
      </c>
      <c r="L197" s="56">
        <f>SUMIF('TB-Jan-25'!I:I,C197,'TB-Jan-25'!M:M)</f>
        <v>0</v>
      </c>
      <c r="M197" s="56">
        <f t="shared" si="6"/>
        <v>0</v>
      </c>
      <c r="N197" s="57">
        <f>IFERROR(VLOOKUP(C197,'[1]TB-Jun-24'!A:F,6,FALSE),0)</f>
        <v>0</v>
      </c>
      <c r="O197" s="35">
        <f>IFERROR(VLOOKUP(C197,'[1]TB-Jun-24'!I:N,6,FALSE),0)</f>
        <v>0</v>
      </c>
      <c r="Q197" s="35" t="s">
        <v>120</v>
      </c>
    </row>
    <row r="198" spans="2:17">
      <c r="B198" s="35">
        <f t="shared" si="5"/>
        <v>192</v>
      </c>
      <c r="C198" s="43" t="s">
        <v>778</v>
      </c>
      <c r="D198" s="46" t="s">
        <v>939</v>
      </c>
      <c r="E198" s="47" t="s">
        <v>1105</v>
      </c>
      <c r="F198" s="47" t="s">
        <v>33</v>
      </c>
      <c r="G198" s="44" t="s">
        <v>515</v>
      </c>
      <c r="H198" s="44" t="s">
        <v>121</v>
      </c>
      <c r="I198" s="44" t="s">
        <v>309</v>
      </c>
      <c r="J198" s="44"/>
      <c r="K198" s="56">
        <f>SUMIF('TB-Jan-25'!$A$12:$A$167,'Working-Jan-25'!C198,'TB-Jan-25'!$E$12:$E$167)</f>
        <v>11440</v>
      </c>
      <c r="L198" s="56">
        <f>SUMIF('TB-Jan-25'!I:I,C198,'TB-Jan-25'!M:M)</f>
        <v>500000</v>
      </c>
      <c r="M198" s="56">
        <f t="shared" si="6"/>
        <v>511440</v>
      </c>
      <c r="N198" s="57" t="e">
        <f>SUMIF([6]Final!$B:$B,C198,[6]Final!$F:$F)-M198</f>
        <v>#VALUE!</v>
      </c>
      <c r="O198" s="35">
        <f>IFERROR(VLOOKUP(C198,'[1]TB-Jun-24'!I:N,6,FALSE),0)</f>
        <v>228577</v>
      </c>
      <c r="Q198" s="35" t="s">
        <v>121</v>
      </c>
    </row>
    <row r="199" hidden="1" spans="2:17">
      <c r="B199" s="35">
        <f t="shared" si="5"/>
        <v>193</v>
      </c>
      <c r="C199" s="43" t="s">
        <v>779</v>
      </c>
      <c r="D199" s="43" t="s">
        <v>939</v>
      </c>
      <c r="E199" s="44" t="s">
        <v>1139</v>
      </c>
      <c r="F199" s="44" t="s">
        <v>33</v>
      </c>
      <c r="G199" s="44" t="s">
        <v>554</v>
      </c>
      <c r="H199" s="44" t="s">
        <v>120</v>
      </c>
      <c r="I199" s="44" t="s">
        <v>309</v>
      </c>
      <c r="J199" s="44"/>
      <c r="K199" s="56">
        <f>SUMIF('TB-Jan-25'!$A$12:$A$167,'Working-Jan-25'!C199,'TB-Jan-25'!$E$12:$E$167)</f>
        <v>23750</v>
      </c>
      <c r="L199" s="56">
        <f>SUMIF('TB-Jan-25'!I:I,C199,'TB-Jan-25'!M:M)</f>
        <v>0</v>
      </c>
      <c r="M199" s="56">
        <f t="shared" si="6"/>
        <v>23750</v>
      </c>
      <c r="N199" s="57" t="e">
        <f>SUMIF([6]Final!$B:$B,C199,[6]Final!$F:$F)-M199</f>
        <v>#VALUE!</v>
      </c>
      <c r="O199" s="35">
        <f>IFERROR(VLOOKUP(C199,'[1]TB-Jun-24'!I:N,6,FALSE),0)</f>
        <v>0</v>
      </c>
      <c r="Q199" s="35" t="s">
        <v>120</v>
      </c>
    </row>
    <row r="200" hidden="1" spans="2:17">
      <c r="B200" s="35">
        <f t="shared" ref="B200:B262" si="7">+B199+1</f>
        <v>194</v>
      </c>
      <c r="C200" s="43" t="s">
        <v>1140</v>
      </c>
      <c r="D200" s="43" t="s">
        <v>935</v>
      </c>
      <c r="E200" s="44" t="s">
        <v>1141</v>
      </c>
      <c r="F200" s="44" t="s">
        <v>33</v>
      </c>
      <c r="G200" s="44" t="s">
        <v>489</v>
      </c>
      <c r="H200" s="44" t="s">
        <v>33</v>
      </c>
      <c r="I200" s="44" t="s">
        <v>309</v>
      </c>
      <c r="J200" s="44"/>
      <c r="K200" s="56">
        <f>SUMIF('TB-Jan-25'!$A$12:$A$167,'Working-Jan-25'!C200,'TB-Jan-25'!$E$12:$E$167)</f>
        <v>0</v>
      </c>
      <c r="L200" s="56">
        <f>SUMIF('TB-Jan-25'!I:I,C200,'TB-Jan-25'!M:M)</f>
        <v>0</v>
      </c>
      <c r="M200" s="56">
        <f t="shared" si="6"/>
        <v>0</v>
      </c>
      <c r="N200" s="57">
        <f>IFERROR(VLOOKUP(C200,'[1]TB-Jun-24'!A:F,6,FALSE),0)</f>
        <v>0</v>
      </c>
      <c r="O200" s="35">
        <f>IFERROR(VLOOKUP(C200,'[1]TB-Jun-24'!I:N,6,FALSE),0)</f>
        <v>0</v>
      </c>
      <c r="Q200" s="35" t="s">
        <v>33</v>
      </c>
    </row>
    <row r="201" hidden="1" spans="2:17">
      <c r="B201" s="35">
        <f t="shared" si="7"/>
        <v>195</v>
      </c>
      <c r="C201" s="43" t="s">
        <v>1142</v>
      </c>
      <c r="D201" s="43" t="s">
        <v>935</v>
      </c>
      <c r="E201" s="44" t="s">
        <v>1141</v>
      </c>
      <c r="F201" s="44" t="s">
        <v>33</v>
      </c>
      <c r="G201" s="44" t="s">
        <v>489</v>
      </c>
      <c r="H201" s="44" t="s">
        <v>33</v>
      </c>
      <c r="I201" s="44" t="s">
        <v>309</v>
      </c>
      <c r="J201" s="44"/>
      <c r="K201" s="56">
        <f>SUMIF('TB-Jan-25'!$A$12:$A$167,'Working-Jan-25'!C201,'TB-Jan-25'!$E$12:$E$167)</f>
        <v>0</v>
      </c>
      <c r="L201" s="56">
        <f>SUMIF('TB-Jan-25'!I:I,C201,'TB-Jan-25'!M:M)</f>
        <v>0</v>
      </c>
      <c r="M201" s="56">
        <f t="shared" si="6"/>
        <v>0</v>
      </c>
      <c r="N201" s="57">
        <f>IFERROR(VLOOKUP(C201,'[1]TB-Jun-24'!A:F,6,FALSE),0)</f>
        <v>0</v>
      </c>
      <c r="O201" s="35">
        <f>IFERROR(VLOOKUP(C201,'[1]TB-Jun-24'!I:N,6,FALSE),0)</f>
        <v>0</v>
      </c>
      <c r="Q201" s="35" t="s">
        <v>33</v>
      </c>
    </row>
    <row r="202" hidden="1" spans="2:17">
      <c r="B202" s="35">
        <f t="shared" si="7"/>
        <v>196</v>
      </c>
      <c r="C202" s="43" t="s">
        <v>782</v>
      </c>
      <c r="D202" s="43" t="s">
        <v>935</v>
      </c>
      <c r="E202" s="44" t="s">
        <v>1141</v>
      </c>
      <c r="F202" s="44" t="s">
        <v>33</v>
      </c>
      <c r="G202" s="44" t="s">
        <v>489</v>
      </c>
      <c r="H202" s="44" t="s">
        <v>33</v>
      </c>
      <c r="I202" s="44" t="s">
        <v>309</v>
      </c>
      <c r="J202" s="44"/>
      <c r="K202" s="56">
        <f>SUMIF('TB-Jan-25'!$A$12:$A$167,'Working-Jan-25'!C202,'TB-Jan-25'!$E$12:$E$167)</f>
        <v>344200</v>
      </c>
      <c r="L202" s="56">
        <f>SUMIF('TB-Jan-25'!I:I,C202,'TB-Jan-25'!M:M)</f>
        <v>0</v>
      </c>
      <c r="M202" s="56">
        <f t="shared" si="6"/>
        <v>344200</v>
      </c>
      <c r="N202" s="57" t="e">
        <f>SUMIF([6]Final!$B:$B,C202,[6]Final!$F:$F)-M202</f>
        <v>#VALUE!</v>
      </c>
      <c r="O202" s="35">
        <f>IFERROR(VLOOKUP(C202,'[1]TB-Jun-24'!I:N,6,FALSE),0)</f>
        <v>0</v>
      </c>
      <c r="Q202" s="35" t="s">
        <v>33</v>
      </c>
    </row>
    <row r="203" hidden="1" spans="2:17">
      <c r="B203" s="35">
        <f t="shared" si="7"/>
        <v>197</v>
      </c>
      <c r="C203" s="43" t="s">
        <v>1143</v>
      </c>
      <c r="D203" s="43" t="s">
        <v>935</v>
      </c>
      <c r="E203" s="44" t="s">
        <v>1141</v>
      </c>
      <c r="F203" s="44" t="s">
        <v>33</v>
      </c>
      <c r="G203" s="44" t="s">
        <v>489</v>
      </c>
      <c r="H203" s="44" t="s">
        <v>33</v>
      </c>
      <c r="I203" s="44" t="s">
        <v>309</v>
      </c>
      <c r="J203" s="44"/>
      <c r="K203" s="56">
        <f>SUMIF('TB-Jan-25'!$A$12:$A$167,'Working-Jan-25'!C203,'TB-Jan-25'!$E$12:$E$167)</f>
        <v>0</v>
      </c>
      <c r="L203" s="56">
        <f>SUMIF('TB-Jan-25'!I:I,C203,'TB-Jan-25'!M:M)</f>
        <v>0</v>
      </c>
      <c r="M203" s="56">
        <f t="shared" si="6"/>
        <v>0</v>
      </c>
      <c r="N203" s="57">
        <f>IFERROR(VLOOKUP(C203,'[1]TB-Jun-24'!A:F,6,FALSE),0)</f>
        <v>0</v>
      </c>
      <c r="O203" s="35">
        <f>IFERROR(VLOOKUP(C203,'[1]TB-Jun-24'!I:N,6,FALSE),0)</f>
        <v>0</v>
      </c>
      <c r="Q203" s="35" t="s">
        <v>33</v>
      </c>
    </row>
    <row r="204" hidden="1" spans="2:17">
      <c r="B204" s="35">
        <f t="shared" si="7"/>
        <v>198</v>
      </c>
      <c r="C204" s="43" t="s">
        <v>1144</v>
      </c>
      <c r="D204" s="43" t="s">
        <v>935</v>
      </c>
      <c r="E204" s="44" t="s">
        <v>1141</v>
      </c>
      <c r="F204" s="44" t="s">
        <v>33</v>
      </c>
      <c r="G204" s="44" t="s">
        <v>489</v>
      </c>
      <c r="H204" s="44" t="s">
        <v>33</v>
      </c>
      <c r="I204" s="44" t="s">
        <v>309</v>
      </c>
      <c r="J204" s="44"/>
      <c r="K204" s="56">
        <f>SUMIF('TB-Jan-25'!$A$12:$A$167,'Working-Jan-25'!C204,'TB-Jan-25'!$E$12:$E$167)</f>
        <v>0</v>
      </c>
      <c r="L204" s="56">
        <f>SUMIF('TB-Jan-25'!I:I,C204,'TB-Jan-25'!M:M)</f>
        <v>0</v>
      </c>
      <c r="M204" s="56">
        <f t="shared" si="6"/>
        <v>0</v>
      </c>
      <c r="N204" s="57">
        <f>IFERROR(VLOOKUP(C204,'[1]TB-Jun-24'!A:F,6,FALSE),0)</f>
        <v>0</v>
      </c>
      <c r="O204" s="35">
        <f>IFERROR(VLOOKUP(C204,'[1]TB-Jun-24'!I:N,6,FALSE),0)</f>
        <v>0</v>
      </c>
      <c r="Q204" s="35" t="s">
        <v>33</v>
      </c>
    </row>
    <row r="205" hidden="1" spans="2:17">
      <c r="B205" s="35">
        <f t="shared" si="7"/>
        <v>199</v>
      </c>
      <c r="C205" s="43" t="s">
        <v>785</v>
      </c>
      <c r="D205" s="43" t="s">
        <v>935</v>
      </c>
      <c r="E205" s="44" t="s">
        <v>975</v>
      </c>
      <c r="F205" s="44" t="s">
        <v>33</v>
      </c>
      <c r="G205" s="44" t="s">
        <v>474</v>
      </c>
      <c r="H205" s="44" t="s">
        <v>33</v>
      </c>
      <c r="I205" s="44" t="s">
        <v>309</v>
      </c>
      <c r="J205" s="44"/>
      <c r="K205" s="56">
        <f>SUMIF('TB-Jan-25'!$A$12:$A$167,'Working-Jan-25'!C205,'TB-Jan-25'!$E$12:$E$167)</f>
        <v>1750000</v>
      </c>
      <c r="L205" s="56">
        <f>SUMIF('TB-Jan-25'!I:I,C205,'TB-Jan-25'!M:M)</f>
        <v>0</v>
      </c>
      <c r="M205" s="56">
        <f t="shared" si="6"/>
        <v>1750000</v>
      </c>
      <c r="N205" s="57" t="e">
        <f>SUMIF([6]Final!$B:$B,C205,[6]Final!$F:$F)-M205</f>
        <v>#VALUE!</v>
      </c>
      <c r="O205" s="35">
        <f>IFERROR(VLOOKUP(C205,'[1]TB-Jun-24'!I:N,6,FALSE),0)</f>
        <v>0</v>
      </c>
      <c r="Q205" s="35" t="s">
        <v>33</v>
      </c>
    </row>
    <row r="206" hidden="1" spans="2:17">
      <c r="B206" s="35">
        <f t="shared" si="7"/>
        <v>200</v>
      </c>
      <c r="C206" s="43" t="s">
        <v>796</v>
      </c>
      <c r="D206" s="43" t="s">
        <v>935</v>
      </c>
      <c r="E206" s="44" t="s">
        <v>942</v>
      </c>
      <c r="F206" s="44" t="s">
        <v>33</v>
      </c>
      <c r="G206" s="44" t="s">
        <v>493</v>
      </c>
      <c r="H206" s="44" t="s">
        <v>120</v>
      </c>
      <c r="I206" s="44" t="s">
        <v>309</v>
      </c>
      <c r="J206" s="44"/>
      <c r="K206" s="56">
        <f>SUMIF('TB-Jan-25'!$A$12:$A$167,'Working-Jan-25'!C206,'TB-Jan-25'!$E$12:$E$167)</f>
        <v>0</v>
      </c>
      <c r="L206" s="56">
        <f>SUMIF('TB-Jan-25'!I:I,C206,'TB-Jan-25'!M:M)</f>
        <v>167016</v>
      </c>
      <c r="M206" s="56">
        <f t="shared" si="6"/>
        <v>167016</v>
      </c>
      <c r="N206" s="57" t="e">
        <f>SUMIF([6]Final!$B:$B,C206,[6]Final!$F:$F)-M206</f>
        <v>#VALUE!</v>
      </c>
      <c r="O206" s="35">
        <f>IFERROR(VLOOKUP(C206,'[1]TB-Jun-24'!I:N,6,FALSE),0)</f>
        <v>198060</v>
      </c>
      <c r="Q206" s="35" t="s">
        <v>33</v>
      </c>
    </row>
    <row r="207" hidden="1" spans="2:17">
      <c r="B207" s="35">
        <f t="shared" si="7"/>
        <v>201</v>
      </c>
      <c r="C207" s="43" t="s">
        <v>798</v>
      </c>
      <c r="D207" s="43" t="s">
        <v>935</v>
      </c>
      <c r="E207" s="44" t="s">
        <v>942</v>
      </c>
      <c r="F207" s="44" t="s">
        <v>33</v>
      </c>
      <c r="G207" s="44" t="s">
        <v>493</v>
      </c>
      <c r="H207" s="44" t="s">
        <v>120</v>
      </c>
      <c r="I207" s="44" t="s">
        <v>309</v>
      </c>
      <c r="J207" s="44"/>
      <c r="K207" s="56">
        <f>SUMIF('TB-Jan-25'!$A$12:$A$167,'Working-Jan-25'!C207,'TB-Jan-25'!$E$12:$E$167)</f>
        <v>0</v>
      </c>
      <c r="L207" s="56">
        <f>SUMIF('TB-Jan-25'!I:I,C207,'TB-Jan-25'!M:M)</f>
        <v>341548</v>
      </c>
      <c r="M207" s="56">
        <f t="shared" si="6"/>
        <v>341548</v>
      </c>
      <c r="N207" s="57" t="e">
        <f>SUMIF([6]Final!$B:$B,C207,[6]Final!$F:$F)-M207</f>
        <v>#VALUE!</v>
      </c>
      <c r="O207" s="35">
        <f>IFERROR(VLOOKUP(C207,'[1]TB-Jun-24'!I:N,6,FALSE),0)</f>
        <v>420742</v>
      </c>
      <c r="Q207" s="35" t="s">
        <v>33</v>
      </c>
    </row>
    <row r="208" hidden="1" spans="2:17">
      <c r="B208" s="35">
        <f t="shared" si="7"/>
        <v>202</v>
      </c>
      <c r="C208" s="43" t="s">
        <v>1145</v>
      </c>
      <c r="D208" s="43" t="s">
        <v>935</v>
      </c>
      <c r="E208" s="44" t="s">
        <v>942</v>
      </c>
      <c r="F208" s="44" t="s">
        <v>33</v>
      </c>
      <c r="G208" s="44" t="s">
        <v>1146</v>
      </c>
      <c r="H208" s="44" t="s">
        <v>1146</v>
      </c>
      <c r="I208" s="44" t="s">
        <v>309</v>
      </c>
      <c r="J208" s="44"/>
      <c r="K208" s="56">
        <f>SUMIF('TB-Jan-25'!$A$12:$A$167,'Working-Jan-25'!C208,'TB-Jan-25'!$E$12:$E$167)</f>
        <v>0</v>
      </c>
      <c r="L208" s="56">
        <f>SUMIF('TB-Jan-25'!I:I,C208,'TB-Jan-25'!M:M)</f>
        <v>0</v>
      </c>
      <c r="M208" s="56">
        <f t="shared" si="6"/>
        <v>0</v>
      </c>
      <c r="N208" s="57">
        <f>IFERROR(VLOOKUP(C208,'[1]TB-Jun-24'!A:F,6,FALSE),0)</f>
        <v>0</v>
      </c>
      <c r="O208" s="35">
        <f>IFERROR(VLOOKUP(C208,'[1]TB-Jun-24'!I:N,6,FALSE),0)</f>
        <v>0</v>
      </c>
      <c r="Q208" s="35" t="s">
        <v>1146</v>
      </c>
    </row>
    <row r="209" hidden="1" spans="2:17">
      <c r="B209" s="35">
        <f t="shared" si="7"/>
        <v>203</v>
      </c>
      <c r="C209" s="43" t="s">
        <v>1147</v>
      </c>
      <c r="D209" s="43" t="s">
        <v>939</v>
      </c>
      <c r="E209" s="44" t="s">
        <v>1148</v>
      </c>
      <c r="F209" s="44" t="s">
        <v>33</v>
      </c>
      <c r="G209" s="44" t="s">
        <v>569</v>
      </c>
      <c r="H209" s="44" t="s">
        <v>120</v>
      </c>
      <c r="I209" s="44" t="s">
        <v>309</v>
      </c>
      <c r="J209" s="44"/>
      <c r="K209" s="56">
        <f>SUMIF('TB-Jan-25'!$A$12:$A$167,'Working-Jan-25'!C209,'TB-Jan-25'!$E$12:$E$167)</f>
        <v>0</v>
      </c>
      <c r="L209" s="56">
        <f>SUMIF('TB-Jan-25'!I:I,C209,'TB-Jan-25'!M:M)</f>
        <v>0</v>
      </c>
      <c r="M209" s="56">
        <f t="shared" si="6"/>
        <v>0</v>
      </c>
      <c r="N209" s="57">
        <f>IFERROR(VLOOKUP(C209,'[1]TB-Jun-24'!A:F,6,FALSE),0)</f>
        <v>0</v>
      </c>
      <c r="O209" s="35">
        <f>IFERROR(VLOOKUP(C209,'[1]TB-Jun-24'!I:N,6,FALSE),0)</f>
        <v>0</v>
      </c>
      <c r="Q209" s="35" t="s">
        <v>120</v>
      </c>
    </row>
    <row r="210" hidden="1" spans="2:17">
      <c r="B210" s="35">
        <f t="shared" si="7"/>
        <v>204</v>
      </c>
      <c r="C210" s="43" t="s">
        <v>802</v>
      </c>
      <c r="D210" s="43" t="s">
        <v>939</v>
      </c>
      <c r="E210" s="44" t="s">
        <v>1148</v>
      </c>
      <c r="F210" s="44" t="s">
        <v>33</v>
      </c>
      <c r="G210" s="44" t="s">
        <v>569</v>
      </c>
      <c r="H210" s="44" t="s">
        <v>120</v>
      </c>
      <c r="I210" s="44" t="s">
        <v>309</v>
      </c>
      <c r="J210" s="44"/>
      <c r="K210" s="56">
        <f>SUMIF('TB-Jan-25'!$A$12:$A$167,'Working-Jan-25'!C210,'TB-Jan-25'!$E$12:$E$167)</f>
        <v>0</v>
      </c>
      <c r="L210" s="56">
        <f>SUMIF('TB-Jan-25'!I:I,C210,'TB-Jan-25'!M:M)</f>
        <v>150000</v>
      </c>
      <c r="M210" s="56">
        <f t="shared" si="6"/>
        <v>150000</v>
      </c>
      <c r="N210" s="57" t="e">
        <f>SUMIF([6]Final!$B:$B,C210,[6]Final!$F:$F)-M210</f>
        <v>#VALUE!</v>
      </c>
      <c r="O210" s="35">
        <f>IFERROR(VLOOKUP(C210,'[1]TB-Jun-24'!I:N,6,FALSE),0)</f>
        <v>150000</v>
      </c>
      <c r="Q210" s="35" t="s">
        <v>120</v>
      </c>
    </row>
    <row r="211" hidden="1" spans="2:17">
      <c r="B211" s="35">
        <f t="shared" si="7"/>
        <v>205</v>
      </c>
      <c r="C211" s="43" t="s">
        <v>1149</v>
      </c>
      <c r="D211" s="43" t="s">
        <v>939</v>
      </c>
      <c r="E211" s="44" t="s">
        <v>1148</v>
      </c>
      <c r="F211" s="44" t="s">
        <v>33</v>
      </c>
      <c r="G211" s="44" t="s">
        <v>569</v>
      </c>
      <c r="H211" s="44" t="s">
        <v>120</v>
      </c>
      <c r="I211" s="44" t="s">
        <v>309</v>
      </c>
      <c r="J211" s="44"/>
      <c r="K211" s="56">
        <f>SUMIF('TB-Jan-25'!$A$12:$A$167,'Working-Jan-25'!C211,'TB-Jan-25'!$E$12:$E$167)</f>
        <v>0</v>
      </c>
      <c r="L211" s="56">
        <f>SUMIF('TB-Jan-25'!I:I,C211,'TB-Jan-25'!M:M)</f>
        <v>0</v>
      </c>
      <c r="M211" s="56">
        <f t="shared" si="6"/>
        <v>0</v>
      </c>
      <c r="N211" s="57">
        <f>IFERROR(VLOOKUP(C211,'[1]TB-Jun-24'!A:F,6,FALSE),0)</f>
        <v>0</v>
      </c>
      <c r="O211" s="35">
        <f>IFERROR(VLOOKUP(C211,'[1]TB-Jun-24'!I:N,6,FALSE),0)</f>
        <v>0</v>
      </c>
      <c r="Q211" s="35" t="s">
        <v>120</v>
      </c>
    </row>
    <row r="212" hidden="1" spans="2:17">
      <c r="B212" s="35">
        <f t="shared" si="7"/>
        <v>206</v>
      </c>
      <c r="C212" s="43" t="s">
        <v>791</v>
      </c>
      <c r="D212" s="43" t="s">
        <v>939</v>
      </c>
      <c r="E212" s="44" t="s">
        <v>1148</v>
      </c>
      <c r="F212" s="44" t="s">
        <v>33</v>
      </c>
      <c r="G212" s="44" t="s">
        <v>569</v>
      </c>
      <c r="H212" s="44" t="s">
        <v>120</v>
      </c>
      <c r="I212" s="44" t="s">
        <v>309</v>
      </c>
      <c r="J212" s="44"/>
      <c r="K212" s="56">
        <f>SUMIF('TB-Jan-25'!$A$12:$A$167,'Working-Jan-25'!C212,'TB-Jan-25'!$E$12:$E$167)</f>
        <v>17185</v>
      </c>
      <c r="L212" s="56">
        <f>SUMIF('TB-Jan-25'!I:I,C212,'TB-Jan-25'!M:M)</f>
        <v>400</v>
      </c>
      <c r="M212" s="56">
        <f t="shared" si="6"/>
        <v>17585</v>
      </c>
      <c r="N212" s="57" t="e">
        <f>SUMIF([6]Final!$B:$B,C212,[6]Final!$F:$F)-M212</f>
        <v>#VALUE!</v>
      </c>
      <c r="O212" s="35">
        <f>IFERROR(VLOOKUP(C212,'[1]TB-Jun-24'!I:N,6,FALSE),0)</f>
        <v>0</v>
      </c>
      <c r="Q212" s="35" t="s">
        <v>120</v>
      </c>
    </row>
    <row r="213" hidden="1" spans="2:17">
      <c r="B213" s="35">
        <f t="shared" si="7"/>
        <v>207</v>
      </c>
      <c r="C213" s="43" t="s">
        <v>1150</v>
      </c>
      <c r="D213" s="43" t="s">
        <v>939</v>
      </c>
      <c r="E213" s="44" t="s">
        <v>1148</v>
      </c>
      <c r="F213" s="44" t="s">
        <v>33</v>
      </c>
      <c r="G213" s="44" t="s">
        <v>569</v>
      </c>
      <c r="H213" s="44" t="s">
        <v>120</v>
      </c>
      <c r="I213" s="44" t="s">
        <v>309</v>
      </c>
      <c r="J213" s="44"/>
      <c r="K213" s="56">
        <f>SUMIF('TB-Jan-25'!$A$12:$A$167,'Working-Jan-25'!C213,'TB-Jan-25'!$E$12:$E$167)</f>
        <v>0</v>
      </c>
      <c r="L213" s="56">
        <f>SUMIF('TB-Jan-25'!I:I,C213,'TB-Jan-25'!M:M)</f>
        <v>0</v>
      </c>
      <c r="M213" s="56">
        <f t="shared" si="6"/>
        <v>0</v>
      </c>
      <c r="N213" s="57">
        <f>IFERROR(VLOOKUP(C213,'[1]TB-Jun-24'!A:F,6,FALSE),0)</f>
        <v>0</v>
      </c>
      <c r="O213" s="35">
        <f>IFERROR(VLOOKUP(C213,'[1]TB-Jun-24'!I:N,6,FALSE),0)</f>
        <v>0</v>
      </c>
      <c r="Q213" s="35" t="s">
        <v>120</v>
      </c>
    </row>
    <row r="214" hidden="1" spans="2:17">
      <c r="B214" s="35">
        <f t="shared" si="7"/>
        <v>208</v>
      </c>
      <c r="C214" s="43" t="s">
        <v>1151</v>
      </c>
      <c r="D214" s="43" t="s">
        <v>939</v>
      </c>
      <c r="E214" s="44" t="s">
        <v>1148</v>
      </c>
      <c r="F214" s="44" t="s">
        <v>33</v>
      </c>
      <c r="G214" s="44" t="s">
        <v>569</v>
      </c>
      <c r="H214" s="44" t="s">
        <v>120</v>
      </c>
      <c r="I214" s="44" t="s">
        <v>309</v>
      </c>
      <c r="J214" s="44"/>
      <c r="K214" s="56">
        <f>SUMIF('TB-Jan-25'!$A$12:$A$167,'Working-Jan-25'!C214,'TB-Jan-25'!$E$12:$E$167)</f>
        <v>0</v>
      </c>
      <c r="L214" s="56">
        <f>SUMIF('TB-Jan-25'!I:I,C214,'TB-Jan-25'!M:M)</f>
        <v>0</v>
      </c>
      <c r="M214" s="56">
        <f t="shared" si="6"/>
        <v>0</v>
      </c>
      <c r="N214" s="57">
        <f>IFERROR(VLOOKUP(C214,'[1]TB-Jun-24'!A:F,6,FALSE),0)</f>
        <v>11020</v>
      </c>
      <c r="O214" s="35">
        <f>IFERROR(VLOOKUP(C214,'[1]TB-Jun-24'!I:N,6,FALSE),0)</f>
        <v>0</v>
      </c>
      <c r="Q214" s="35" t="s">
        <v>120</v>
      </c>
    </row>
    <row r="215" hidden="1" spans="2:17">
      <c r="B215" s="35">
        <f t="shared" si="7"/>
        <v>209</v>
      </c>
      <c r="C215" s="43" t="s">
        <v>792</v>
      </c>
      <c r="D215" s="43" t="s">
        <v>939</v>
      </c>
      <c r="E215" s="44" t="s">
        <v>1148</v>
      </c>
      <c r="F215" s="44" t="s">
        <v>33</v>
      </c>
      <c r="G215" s="44" t="s">
        <v>569</v>
      </c>
      <c r="H215" s="44" t="s">
        <v>120</v>
      </c>
      <c r="I215" s="44" t="s">
        <v>309</v>
      </c>
      <c r="J215" s="44"/>
      <c r="K215" s="56">
        <f>SUMIF('TB-Jan-25'!$A$12:$A$167,'Working-Jan-25'!C215,'TB-Jan-25'!$E$12:$E$167)</f>
        <v>1050</v>
      </c>
      <c r="L215" s="56">
        <f>SUMIF('TB-Jan-25'!I:I,C215,'TB-Jan-25'!M:M)</f>
        <v>0</v>
      </c>
      <c r="M215" s="56">
        <f t="shared" si="6"/>
        <v>1050</v>
      </c>
      <c r="N215" s="57" t="e">
        <f>SUMIF([6]Final!$B:$B,C215,[6]Final!$F:$F)-M215</f>
        <v>#VALUE!</v>
      </c>
      <c r="O215" s="35">
        <f>IFERROR(VLOOKUP(C215,'[1]TB-Jun-24'!I:N,6,FALSE),0)</f>
        <v>0</v>
      </c>
      <c r="Q215" s="35" t="s">
        <v>120</v>
      </c>
    </row>
    <row r="216" hidden="1" spans="2:17">
      <c r="B216" s="35">
        <f t="shared" si="7"/>
        <v>210</v>
      </c>
      <c r="C216" s="43" t="s">
        <v>793</v>
      </c>
      <c r="D216" s="43" t="s">
        <v>939</v>
      </c>
      <c r="E216" s="44" t="s">
        <v>1148</v>
      </c>
      <c r="F216" s="44" t="s">
        <v>33</v>
      </c>
      <c r="G216" s="44" t="s">
        <v>569</v>
      </c>
      <c r="H216" s="44" t="s">
        <v>120</v>
      </c>
      <c r="I216" s="44" t="s">
        <v>309</v>
      </c>
      <c r="J216" s="44"/>
      <c r="K216" s="56">
        <f>SUMIF('TB-Jan-25'!$A$12:$A$167,'Working-Jan-25'!C216,'TB-Jan-25'!$E$12:$E$167)</f>
        <v>70700</v>
      </c>
      <c r="L216" s="56">
        <f>SUMIF('TB-Jan-25'!I:I,C216,'TB-Jan-25'!M:M)</f>
        <v>0</v>
      </c>
      <c r="M216" s="56">
        <f t="shared" si="6"/>
        <v>70700</v>
      </c>
      <c r="N216" s="57" t="e">
        <f>SUMIF([6]Final!$B:$B,C216,[6]Final!$F:$F)-M216</f>
        <v>#VALUE!</v>
      </c>
      <c r="O216" s="35">
        <f>IFERROR(VLOOKUP(C216,'[1]TB-Jun-24'!I:N,6,FALSE),0)</f>
        <v>0</v>
      </c>
      <c r="Q216" s="35" t="s">
        <v>120</v>
      </c>
    </row>
    <row r="217" hidden="1" spans="2:17">
      <c r="B217" s="35">
        <f t="shared" si="7"/>
        <v>211</v>
      </c>
      <c r="C217" s="43" t="s">
        <v>805</v>
      </c>
      <c r="D217" s="43" t="s">
        <v>939</v>
      </c>
      <c r="E217" s="44" t="s">
        <v>1148</v>
      </c>
      <c r="F217" s="44" t="s">
        <v>33</v>
      </c>
      <c r="G217" s="44" t="s">
        <v>569</v>
      </c>
      <c r="H217" s="44" t="s">
        <v>120</v>
      </c>
      <c r="I217" s="44" t="s">
        <v>309</v>
      </c>
      <c r="J217" s="44"/>
      <c r="K217" s="56">
        <f>SUMIF('TB-Jan-25'!$A$12:$A$167,'Working-Jan-25'!C217,'TB-Jan-25'!$E$12:$E$167)</f>
        <v>0</v>
      </c>
      <c r="L217" s="56">
        <f>SUMIF('TB-Jan-25'!I:I,C217,'TB-Jan-25'!M:M)</f>
        <v>360</v>
      </c>
      <c r="M217" s="56">
        <f t="shared" si="6"/>
        <v>360</v>
      </c>
      <c r="N217" s="57" t="e">
        <f>SUMIF([6]Final!$B:$B,C217,[6]Final!$F:$F)-M217</f>
        <v>#VALUE!</v>
      </c>
      <c r="O217" s="35">
        <f>IFERROR(VLOOKUP(C217,'[1]TB-Jun-24'!I:N,6,FALSE),0)</f>
        <v>0</v>
      </c>
      <c r="Q217" s="35" t="s">
        <v>120</v>
      </c>
    </row>
    <row r="218" hidden="1" spans="2:17">
      <c r="B218" s="35">
        <f t="shared" si="7"/>
        <v>212</v>
      </c>
      <c r="C218" s="43" t="s">
        <v>1152</v>
      </c>
      <c r="D218" s="43" t="s">
        <v>939</v>
      </c>
      <c r="E218" s="44" t="s">
        <v>1148</v>
      </c>
      <c r="F218" s="44" t="s">
        <v>33</v>
      </c>
      <c r="G218" s="44" t="s">
        <v>569</v>
      </c>
      <c r="H218" s="44" t="s">
        <v>120</v>
      </c>
      <c r="I218" s="44" t="s">
        <v>309</v>
      </c>
      <c r="J218" s="44"/>
      <c r="K218" s="56">
        <f>SUMIF('TB-Jan-25'!$A$12:$A$167,'Working-Jan-25'!C218,'TB-Jan-25'!$E$12:$E$167)</f>
        <v>0</v>
      </c>
      <c r="L218" s="56">
        <f>SUMIF('TB-Jan-25'!I:I,C218,'TB-Jan-25'!M:M)</f>
        <v>0</v>
      </c>
      <c r="M218" s="56">
        <f t="shared" si="6"/>
        <v>0</v>
      </c>
      <c r="N218" s="57">
        <f>IFERROR(VLOOKUP(C218,'[1]TB-Jun-24'!A:F,6,FALSE),0)</f>
        <v>0</v>
      </c>
      <c r="O218" s="35">
        <f>IFERROR(VLOOKUP(C218,'[1]TB-Jun-24'!I:N,6,FALSE),0)</f>
        <v>0</v>
      </c>
      <c r="Q218" s="35" t="s">
        <v>120</v>
      </c>
    </row>
    <row r="219" hidden="1" spans="2:17">
      <c r="B219" s="35">
        <f t="shared" si="7"/>
        <v>213</v>
      </c>
      <c r="C219" s="43" t="s">
        <v>795</v>
      </c>
      <c r="D219" s="43" t="s">
        <v>939</v>
      </c>
      <c r="E219" s="44" t="s">
        <v>1148</v>
      </c>
      <c r="F219" s="44" t="s">
        <v>33</v>
      </c>
      <c r="G219" s="44" t="s">
        <v>569</v>
      </c>
      <c r="H219" s="44" t="s">
        <v>120</v>
      </c>
      <c r="I219" s="44" t="s">
        <v>309</v>
      </c>
      <c r="J219" s="44"/>
      <c r="K219" s="56">
        <f>SUMIF('TB-Jan-25'!$A$12:$A$167,'Working-Jan-25'!C219,'TB-Jan-25'!$E$12:$E$167)</f>
        <v>6894</v>
      </c>
      <c r="L219" s="56">
        <f>SUMIF('TB-Jan-25'!I:I,C219,'TB-Jan-25'!M:M)</f>
        <v>0</v>
      </c>
      <c r="M219" s="56">
        <f t="shared" si="6"/>
        <v>6894</v>
      </c>
      <c r="N219" s="57" t="e">
        <f>SUMIF([6]Final!$B:$B,C219,[6]Final!$F:$F)-M219</f>
        <v>#VALUE!</v>
      </c>
      <c r="O219" s="35">
        <f>IFERROR(VLOOKUP(C219,'[1]TB-Jun-24'!I:N,6,FALSE),0)</f>
        <v>0</v>
      </c>
      <c r="Q219" s="35" t="s">
        <v>120</v>
      </c>
    </row>
    <row r="220" hidden="1" spans="2:17">
      <c r="B220" s="35">
        <f t="shared" si="7"/>
        <v>214</v>
      </c>
      <c r="C220" s="43" t="s">
        <v>807</v>
      </c>
      <c r="D220" s="43" t="s">
        <v>939</v>
      </c>
      <c r="E220" s="44" t="s">
        <v>1148</v>
      </c>
      <c r="F220" s="44" t="s">
        <v>33</v>
      </c>
      <c r="G220" s="44" t="s">
        <v>569</v>
      </c>
      <c r="H220" s="44" t="s">
        <v>120</v>
      </c>
      <c r="I220" s="44" t="s">
        <v>309</v>
      </c>
      <c r="J220" s="44"/>
      <c r="K220" s="56">
        <f>SUMIF('TB-Jan-25'!$A$12:$A$167,'Working-Jan-25'!C220,'TB-Jan-25'!$E$12:$E$167)</f>
        <v>0</v>
      </c>
      <c r="L220" s="56">
        <f>SUMIF('TB-Jan-25'!I:I,C220,'TB-Jan-25'!M:M)</f>
        <v>800</v>
      </c>
      <c r="M220" s="56">
        <f t="shared" si="6"/>
        <v>800</v>
      </c>
      <c r="N220" s="57" t="e">
        <f>SUMIF([6]Final!$B:$B,C220,[6]Final!$F:$F)-M220</f>
        <v>#VALUE!</v>
      </c>
      <c r="O220" s="35">
        <f>IFERROR(VLOOKUP(C220,'[1]TB-Jun-24'!I:N,6,FALSE),0)</f>
        <v>0</v>
      </c>
      <c r="Q220" s="35" t="s">
        <v>120</v>
      </c>
    </row>
    <row r="221" hidden="1" spans="2:17">
      <c r="B221" s="35">
        <f t="shared" si="7"/>
        <v>215</v>
      </c>
      <c r="C221" s="43" t="s">
        <v>1153</v>
      </c>
      <c r="D221" s="43" t="s">
        <v>939</v>
      </c>
      <c r="E221" s="44" t="s">
        <v>1148</v>
      </c>
      <c r="F221" s="44" t="s">
        <v>33</v>
      </c>
      <c r="G221" s="44" t="s">
        <v>569</v>
      </c>
      <c r="H221" s="44" t="s">
        <v>120</v>
      </c>
      <c r="I221" s="44" t="s">
        <v>309</v>
      </c>
      <c r="J221" s="44"/>
      <c r="K221" s="56">
        <f>SUMIF('TB-Jan-25'!$A$12:$A$167,'Working-Jan-25'!C221,'TB-Jan-25'!$E$12:$E$167)</f>
        <v>0</v>
      </c>
      <c r="L221" s="56">
        <f>SUMIF('TB-Jan-25'!I:I,C221,'TB-Jan-25'!M:M)</f>
        <v>0</v>
      </c>
      <c r="M221" s="56">
        <f t="shared" si="6"/>
        <v>0</v>
      </c>
      <c r="N221" s="57">
        <f>IFERROR(VLOOKUP(C221,'[1]TB-Jun-24'!A:F,6,FALSE),0)</f>
        <v>66341</v>
      </c>
      <c r="O221" s="35">
        <f>IFERROR(VLOOKUP(C221,'[1]TB-Jun-24'!I:N,6,FALSE),0)</f>
        <v>0</v>
      </c>
      <c r="Q221" s="35" t="s">
        <v>120</v>
      </c>
    </row>
    <row r="222" hidden="1" spans="2:17">
      <c r="B222" s="35">
        <f t="shared" si="7"/>
        <v>216</v>
      </c>
      <c r="C222" s="43" t="s">
        <v>809</v>
      </c>
      <c r="D222" s="43" t="s">
        <v>939</v>
      </c>
      <c r="E222" s="44" t="s">
        <v>1148</v>
      </c>
      <c r="F222" s="44" t="s">
        <v>33</v>
      </c>
      <c r="G222" s="44" t="s">
        <v>569</v>
      </c>
      <c r="H222" s="44" t="s">
        <v>120</v>
      </c>
      <c r="I222" s="44" t="s">
        <v>309</v>
      </c>
      <c r="J222" s="44"/>
      <c r="K222" s="56">
        <f>SUMIF('TB-Jan-25'!$A$12:$A$167,'Working-Jan-25'!C222,'TB-Jan-25'!$E$12:$E$167)</f>
        <v>0</v>
      </c>
      <c r="L222" s="56">
        <f>SUMIF('TB-Jan-25'!I:I,C222,'TB-Jan-25'!M:M)</f>
        <v>5450</v>
      </c>
      <c r="M222" s="56">
        <f t="shared" si="6"/>
        <v>5450</v>
      </c>
      <c r="N222" s="57" t="e">
        <f>SUMIF([6]Final!$B:$B,C222,[6]Final!$F:$F)-M222</f>
        <v>#VALUE!</v>
      </c>
      <c r="O222" s="35">
        <f>IFERROR(VLOOKUP(C222,'[1]TB-Jun-24'!I:N,6,FALSE),0)</f>
        <v>0</v>
      </c>
      <c r="Q222" s="35" t="s">
        <v>120</v>
      </c>
    </row>
    <row r="223" hidden="1" spans="2:17">
      <c r="B223" s="35">
        <f t="shared" si="7"/>
        <v>217</v>
      </c>
      <c r="C223" s="43" t="s">
        <v>797</v>
      </c>
      <c r="D223" s="43" t="s">
        <v>939</v>
      </c>
      <c r="E223" s="44" t="s">
        <v>1148</v>
      </c>
      <c r="F223" s="44" t="s">
        <v>33</v>
      </c>
      <c r="G223" s="44" t="s">
        <v>569</v>
      </c>
      <c r="H223" s="44" t="s">
        <v>120</v>
      </c>
      <c r="I223" s="44" t="s">
        <v>309</v>
      </c>
      <c r="J223" s="44"/>
      <c r="K223" s="56">
        <f>SUMIF('TB-Jan-25'!$A$12:$A$167,'Working-Jan-25'!C223,'TB-Jan-25'!$E$12:$E$167)</f>
        <v>128732</v>
      </c>
      <c r="L223" s="56">
        <f>SUMIF('TB-Jan-25'!I:I,C223,'TB-Jan-25'!M:M)</f>
        <v>376</v>
      </c>
      <c r="M223" s="56">
        <f t="shared" si="6"/>
        <v>129108</v>
      </c>
      <c r="N223" s="57" t="e">
        <f>SUMIF([6]Final!$B:$B,C223,[6]Final!$F:$F)-M223</f>
        <v>#VALUE!</v>
      </c>
      <c r="O223" s="35">
        <f>IFERROR(VLOOKUP(C223,'[1]TB-Jun-24'!I:N,6,FALSE),0)</f>
        <v>106</v>
      </c>
      <c r="Q223" s="35" t="s">
        <v>120</v>
      </c>
    </row>
    <row r="224" hidden="1" spans="2:17">
      <c r="B224" s="35">
        <f t="shared" si="7"/>
        <v>218</v>
      </c>
      <c r="C224" s="43" t="s">
        <v>812</v>
      </c>
      <c r="D224" s="43" t="s">
        <v>939</v>
      </c>
      <c r="E224" s="44" t="s">
        <v>1148</v>
      </c>
      <c r="F224" s="44" t="s">
        <v>33</v>
      </c>
      <c r="G224" s="44" t="s">
        <v>569</v>
      </c>
      <c r="H224" s="44" t="s">
        <v>120</v>
      </c>
      <c r="I224" s="44" t="s">
        <v>309</v>
      </c>
      <c r="J224" s="44"/>
      <c r="K224" s="56">
        <f>SUMIF('TB-Jan-25'!$A$12:$A$167,'Working-Jan-25'!C224,'TB-Jan-25'!$E$12:$E$167)</f>
        <v>0</v>
      </c>
      <c r="L224" s="56">
        <f>SUMIF('TB-Jan-25'!I:I,C224,'TB-Jan-25'!M:M)</f>
        <v>35</v>
      </c>
      <c r="M224" s="56">
        <f t="shared" si="6"/>
        <v>35</v>
      </c>
      <c r="N224" s="57" t="e">
        <f>SUMIF([6]Final!$B:$B,C224,[6]Final!$F:$F)-M224</f>
        <v>#VALUE!</v>
      </c>
      <c r="O224" s="35">
        <f>IFERROR(VLOOKUP(C224,'[1]TB-Jun-24'!I:N,6,FALSE),0)</f>
        <v>105</v>
      </c>
      <c r="Q224" s="35" t="s">
        <v>120</v>
      </c>
    </row>
    <row r="225" hidden="1" spans="2:17">
      <c r="B225" s="35">
        <f t="shared" si="7"/>
        <v>219</v>
      </c>
      <c r="C225" s="43" t="s">
        <v>799</v>
      </c>
      <c r="D225" s="43" t="s">
        <v>939</v>
      </c>
      <c r="E225" s="44" t="s">
        <v>1148</v>
      </c>
      <c r="F225" s="44" t="s">
        <v>33</v>
      </c>
      <c r="G225" s="44" t="s">
        <v>569</v>
      </c>
      <c r="H225" s="44" t="s">
        <v>120</v>
      </c>
      <c r="I225" s="44" t="s">
        <v>309</v>
      </c>
      <c r="J225" s="44"/>
      <c r="K225" s="56">
        <f>SUMIF('TB-Jan-25'!$A$12:$A$167,'Working-Jan-25'!C225,'TB-Jan-25'!$E$12:$E$167)</f>
        <v>37500</v>
      </c>
      <c r="L225" s="56">
        <f>SUMIF('TB-Jan-25'!I:I,C225,'TB-Jan-25'!M:M)</f>
        <v>0</v>
      </c>
      <c r="M225" s="56">
        <f t="shared" si="6"/>
        <v>37500</v>
      </c>
      <c r="N225" s="57" t="e">
        <f>SUMIF([6]Final!$B:$B,C225,[6]Final!$F:$F)-M225</f>
        <v>#VALUE!</v>
      </c>
      <c r="O225" s="35">
        <f>IFERROR(VLOOKUP(C225,'[1]TB-Jun-24'!I:N,6,FALSE),0)</f>
        <v>0</v>
      </c>
      <c r="Q225" s="35" t="s">
        <v>120</v>
      </c>
    </row>
    <row r="226" hidden="1" spans="2:17">
      <c r="B226" s="35">
        <f t="shared" si="7"/>
        <v>220</v>
      </c>
      <c r="C226" s="43" t="s">
        <v>1154</v>
      </c>
      <c r="D226" s="43" t="s">
        <v>935</v>
      </c>
      <c r="E226" s="44" t="s">
        <v>942</v>
      </c>
      <c r="F226" s="44" t="s">
        <v>33</v>
      </c>
      <c r="G226" s="44" t="s">
        <v>493</v>
      </c>
      <c r="H226" s="44" t="s">
        <v>120</v>
      </c>
      <c r="I226" s="44" t="s">
        <v>309</v>
      </c>
      <c r="J226" s="44"/>
      <c r="K226" s="56">
        <f>SUMIF('TB-Jan-25'!$A$12:$A$167,'Working-Jan-25'!C226,'TB-Jan-25'!$E$12:$E$167)</f>
        <v>0</v>
      </c>
      <c r="L226" s="56">
        <f>SUMIF('TB-Jan-25'!I:I,C226,'TB-Jan-25'!M:M)</f>
        <v>0</v>
      </c>
      <c r="M226" s="56">
        <f t="shared" si="6"/>
        <v>0</v>
      </c>
      <c r="N226" s="57">
        <f>IFERROR(VLOOKUP(C226,'[1]TB-Jun-24'!A:F,6,FALSE),0)</f>
        <v>0</v>
      </c>
      <c r="O226" s="35">
        <f>IFERROR(VLOOKUP(C226,'[1]TB-Jun-24'!I:N,6,FALSE),0)</f>
        <v>0</v>
      </c>
      <c r="Q226" s="35" t="s">
        <v>493</v>
      </c>
    </row>
    <row r="227" hidden="1" spans="2:17">
      <c r="B227" s="49">
        <f t="shared" si="7"/>
        <v>221</v>
      </c>
      <c r="C227" s="43" t="s">
        <v>1155</v>
      </c>
      <c r="D227" s="43" t="s">
        <v>935</v>
      </c>
      <c r="E227" s="44"/>
      <c r="F227" s="44" t="s">
        <v>936</v>
      </c>
      <c r="G227" s="44" t="s">
        <v>483</v>
      </c>
      <c r="H227" s="44" t="s">
        <v>937</v>
      </c>
      <c r="I227" s="44" t="s">
        <v>309</v>
      </c>
      <c r="J227" s="44"/>
      <c r="K227" s="56">
        <f>SUMIF('TB-Jan-25'!$A$12:$A$167,'Working-Jan-25'!C227,'TB-Jan-25'!$E$12:$E$167)</f>
        <v>0</v>
      </c>
      <c r="L227" s="56">
        <f>SUMIF('TB-Jan-25'!I:I,C227,'TB-Jan-25'!M:M)</f>
        <v>0</v>
      </c>
      <c r="M227" s="56">
        <f t="shared" si="6"/>
        <v>0</v>
      </c>
      <c r="N227" s="57">
        <f>IFERROR(VLOOKUP(C227,'[1]TB-Jun-24'!A:F,6,FALSE),0)</f>
        <v>0</v>
      </c>
      <c r="O227" s="35">
        <f>IFERROR(VLOOKUP(C227,'[1]TB-Jun-24'!I:N,6,FALSE),0)</f>
        <v>250495</v>
      </c>
      <c r="Q227" s="35" t="s">
        <v>937</v>
      </c>
    </row>
    <row r="228" hidden="1" spans="2:17">
      <c r="B228" s="49">
        <f t="shared" si="7"/>
        <v>222</v>
      </c>
      <c r="C228" s="43" t="s">
        <v>1156</v>
      </c>
      <c r="D228" s="43" t="s">
        <v>935</v>
      </c>
      <c r="E228" s="44"/>
      <c r="F228" s="44" t="s">
        <v>936</v>
      </c>
      <c r="G228" s="44" t="s">
        <v>483</v>
      </c>
      <c r="H228" s="44" t="s">
        <v>937</v>
      </c>
      <c r="I228" s="44" t="s">
        <v>309</v>
      </c>
      <c r="J228" s="44"/>
      <c r="K228" s="56">
        <f>SUMIF('TB-Jan-25'!$A$12:$A$167,'Working-Jan-25'!C228,'TB-Jan-25'!$E$12:$E$167)</f>
        <v>0</v>
      </c>
      <c r="L228" s="56">
        <f>SUMIF('TB-Jan-25'!I:I,C228,'TB-Jan-25'!M:M)</f>
        <v>0</v>
      </c>
      <c r="M228" s="56">
        <f t="shared" si="6"/>
        <v>0</v>
      </c>
      <c r="N228" s="57"/>
      <c r="Q228" s="35" t="s">
        <v>937</v>
      </c>
    </row>
    <row r="229" hidden="1" spans="2:17">
      <c r="B229" s="49">
        <f>+B227+1</f>
        <v>222</v>
      </c>
      <c r="C229" s="43" t="s">
        <v>1157</v>
      </c>
      <c r="D229" s="43" t="s">
        <v>935</v>
      </c>
      <c r="E229" s="44"/>
      <c r="F229" s="44" t="s">
        <v>1011</v>
      </c>
      <c r="G229" s="44" t="s">
        <v>473</v>
      </c>
      <c r="H229" s="44" t="s">
        <v>115</v>
      </c>
      <c r="I229" s="44" t="s">
        <v>309</v>
      </c>
      <c r="J229" s="44"/>
      <c r="K229" s="56">
        <f>SUMIF('TB-Jan-25'!$A$12:$A$167,'Working-Jan-25'!C229,'TB-Jan-25'!$E$12:$E$167)</f>
        <v>0</v>
      </c>
      <c r="L229" s="56">
        <f>SUMIF('TB-Jan-25'!I:I,C229,'TB-Jan-25'!M:M)</f>
        <v>0</v>
      </c>
      <c r="M229" s="56">
        <f t="shared" si="6"/>
        <v>0</v>
      </c>
      <c r="N229" s="57">
        <f>IFERROR(VLOOKUP(C229,'[1]TB-Jun-24'!A:F,6,FALSE),0)</f>
        <v>0</v>
      </c>
      <c r="O229" s="35">
        <f>IFERROR(VLOOKUP(C229,'[1]TB-Jun-24'!I:N,6,FALSE),0)</f>
        <v>146</v>
      </c>
      <c r="Q229" s="35" t="s">
        <v>115</v>
      </c>
    </row>
    <row r="230" hidden="1" spans="2:17">
      <c r="B230" s="49">
        <f t="shared" si="7"/>
        <v>223</v>
      </c>
      <c r="C230" s="43" t="s">
        <v>1158</v>
      </c>
      <c r="D230" s="43" t="s">
        <v>935</v>
      </c>
      <c r="E230" s="44"/>
      <c r="F230" s="44" t="s">
        <v>1011</v>
      </c>
      <c r="G230" s="44" t="s">
        <v>483</v>
      </c>
      <c r="H230" s="44" t="s">
        <v>115</v>
      </c>
      <c r="I230" s="44" t="s">
        <v>309</v>
      </c>
      <c r="J230" s="44"/>
      <c r="K230" s="56">
        <f>SUMIF('TB-Jan-25'!$A$12:$A$167,'Working-Jan-25'!C230,'TB-Jan-25'!$E$12:$E$167)</f>
        <v>0</v>
      </c>
      <c r="L230" s="56">
        <f>SUMIF('TB-Jan-25'!I:I,C230,'TB-Jan-25'!M:M)</f>
        <v>0</v>
      </c>
      <c r="M230" s="56">
        <f t="shared" si="6"/>
        <v>0</v>
      </c>
      <c r="N230" s="57">
        <f>IFERROR(VLOOKUP(C230,'[1]TB-Jun-24'!A:F,6,FALSE),0)</f>
        <v>0</v>
      </c>
      <c r="O230" s="35">
        <f>IFERROR(VLOOKUP(C230,'[1]TB-Jun-24'!I:N,6,FALSE),0)</f>
        <v>17944</v>
      </c>
      <c r="Q230" s="35" t="s">
        <v>115</v>
      </c>
    </row>
    <row r="231" hidden="1" spans="2:17">
      <c r="B231" s="49">
        <f t="shared" si="7"/>
        <v>224</v>
      </c>
      <c r="C231" s="43" t="s">
        <v>1159</v>
      </c>
      <c r="D231" s="43" t="s">
        <v>935</v>
      </c>
      <c r="E231" s="44"/>
      <c r="F231" s="44" t="s">
        <v>1011</v>
      </c>
      <c r="G231" s="44" t="s">
        <v>483</v>
      </c>
      <c r="H231" s="44" t="s">
        <v>115</v>
      </c>
      <c r="I231" s="44" t="s">
        <v>309</v>
      </c>
      <c r="J231" s="44"/>
      <c r="K231" s="56">
        <f>SUMIF('TB-Jan-25'!$A$12:$A$167,'Working-Jan-25'!C231,'TB-Jan-25'!$E$12:$E$167)</f>
        <v>0</v>
      </c>
      <c r="L231" s="56">
        <f>SUMIF('TB-Jan-25'!I:I,C231,'TB-Jan-25'!M:M)</f>
        <v>0</v>
      </c>
      <c r="M231" s="56">
        <f t="shared" si="6"/>
        <v>0</v>
      </c>
      <c r="N231" s="57">
        <f>IFERROR(VLOOKUP(C231,'[1]TB-Jun-24'!A:F,6,FALSE),0)</f>
        <v>0</v>
      </c>
      <c r="O231" s="35">
        <f>IFERROR(VLOOKUP(C231,'[1]TB-Jun-24'!I:N,6,FALSE),0)</f>
        <v>863</v>
      </c>
      <c r="Q231" s="35" t="s">
        <v>115</v>
      </c>
    </row>
    <row r="232" hidden="1" spans="2:17">
      <c r="B232" s="49">
        <f t="shared" si="7"/>
        <v>225</v>
      </c>
      <c r="C232" s="43" t="s">
        <v>1160</v>
      </c>
      <c r="D232" s="43" t="s">
        <v>935</v>
      </c>
      <c r="E232" s="44"/>
      <c r="F232" s="44" t="s">
        <v>1011</v>
      </c>
      <c r="G232" s="44" t="s">
        <v>483</v>
      </c>
      <c r="H232" s="44" t="s">
        <v>115</v>
      </c>
      <c r="I232" s="44" t="s">
        <v>309</v>
      </c>
      <c r="J232" s="44"/>
      <c r="K232" s="56">
        <f>SUMIF('TB-Jan-25'!$A$12:$A$167,'Working-Jan-25'!C232,'TB-Jan-25'!$E$12:$E$167)</f>
        <v>0</v>
      </c>
      <c r="L232" s="56">
        <f>SUMIF('TB-Jan-25'!I:I,C232,'TB-Jan-25'!M:M)</f>
        <v>0</v>
      </c>
      <c r="M232" s="56">
        <f t="shared" si="6"/>
        <v>0</v>
      </c>
      <c r="N232" s="57">
        <f>IFERROR(VLOOKUP(C232,'[1]TB-Jun-24'!A:F,6,FALSE),0)</f>
        <v>0</v>
      </c>
      <c r="O232" s="35">
        <f>IFERROR(VLOOKUP(C232,'[1]TB-Jun-24'!I:N,6,FALSE),0)</f>
        <v>25508</v>
      </c>
      <c r="Q232" s="35" t="s">
        <v>115</v>
      </c>
    </row>
    <row r="233" hidden="1" spans="2:17">
      <c r="B233" s="49">
        <f t="shared" si="7"/>
        <v>226</v>
      </c>
      <c r="C233" s="43" t="s">
        <v>1161</v>
      </c>
      <c r="D233" s="43" t="s">
        <v>935</v>
      </c>
      <c r="E233" s="44"/>
      <c r="F233" s="44" t="s">
        <v>1011</v>
      </c>
      <c r="G233" s="44" t="s">
        <v>483</v>
      </c>
      <c r="H233" s="44" t="s">
        <v>115</v>
      </c>
      <c r="I233" s="44" t="s">
        <v>309</v>
      </c>
      <c r="J233" s="44"/>
      <c r="K233" s="56">
        <f>SUMIF('TB-Jan-25'!$A$12:$A$167,'Working-Jan-25'!C233,'TB-Jan-25'!$E$12:$E$167)</f>
        <v>0</v>
      </c>
      <c r="L233" s="56">
        <f>SUMIF('TB-Jan-25'!I:I,C233,'TB-Jan-25'!M:M)</f>
        <v>0</v>
      </c>
      <c r="M233" s="56">
        <f t="shared" si="6"/>
        <v>0</v>
      </c>
      <c r="N233" s="57">
        <f>IFERROR(VLOOKUP(C233,'[1]TB-Jun-24'!A:F,6,FALSE),0)</f>
        <v>0</v>
      </c>
      <c r="O233" s="35">
        <f>IFERROR(VLOOKUP(C233,'[1]TB-Jun-24'!I:N,6,FALSE),0)</f>
        <v>269</v>
      </c>
      <c r="Q233" s="35" t="s">
        <v>115</v>
      </c>
    </row>
    <row r="234" hidden="1" spans="2:14">
      <c r="B234" s="49">
        <f t="shared" si="7"/>
        <v>227</v>
      </c>
      <c r="C234" s="43" t="s">
        <v>705</v>
      </c>
      <c r="D234" s="43" t="s">
        <v>935</v>
      </c>
      <c r="E234" s="44"/>
      <c r="F234" s="44" t="s">
        <v>1162</v>
      </c>
      <c r="G234" s="44" t="s">
        <v>535</v>
      </c>
      <c r="H234" s="44" t="s">
        <v>1163</v>
      </c>
      <c r="I234" s="44" t="s">
        <v>309</v>
      </c>
      <c r="J234" s="44"/>
      <c r="K234" s="56">
        <f>SUMIF('TB-Jan-25'!$A$12:$A$167,'Working-Jan-25'!C234,'TB-Jan-25'!$E$12:$E$167)</f>
        <v>268143.23</v>
      </c>
      <c r="L234" s="56">
        <f>SUMIF('TB-Jan-25'!I:I,C234,'TB-Jan-25'!M:M)</f>
        <v>0</v>
      </c>
      <c r="M234" s="56">
        <f t="shared" si="6"/>
        <v>268143.23</v>
      </c>
      <c r="N234" s="57" t="e">
        <f>SUMIF([6]Final!$B:$B,C234,[6]Final!$F:$F)-M234</f>
        <v>#VALUE!</v>
      </c>
    </row>
    <row r="235" hidden="1" spans="2:17">
      <c r="B235" s="49">
        <f t="shared" si="7"/>
        <v>228</v>
      </c>
      <c r="C235" s="43" t="s">
        <v>703</v>
      </c>
      <c r="D235" s="43" t="s">
        <v>935</v>
      </c>
      <c r="E235" s="44"/>
      <c r="F235" s="44" t="s">
        <v>1162</v>
      </c>
      <c r="G235" s="44" t="s">
        <v>473</v>
      </c>
      <c r="H235" s="44" t="s">
        <v>1163</v>
      </c>
      <c r="I235" s="44" t="s">
        <v>309</v>
      </c>
      <c r="J235" s="44"/>
      <c r="K235" s="56">
        <f>SUMIF('TB-Jan-25'!$A$12:$A$167,'Working-Jan-25'!C235,'TB-Jan-25'!$E$12:$E$167)</f>
        <v>409877.51</v>
      </c>
      <c r="L235" s="56">
        <f>SUMIF('TB-Jan-25'!I:I,C235,'TB-Jan-25'!M:M)</f>
        <v>-247666</v>
      </c>
      <c r="M235" s="56">
        <f t="shared" si="6"/>
        <v>162211.51</v>
      </c>
      <c r="N235" s="57" t="e">
        <f>SUMIF([6]Final!$B:$B,C235,[6]Final!$F:$F)-M235</f>
        <v>#VALUE!</v>
      </c>
      <c r="O235" s="35">
        <f>IFERROR(VLOOKUP(C235,'[1]TB-Jun-24'!I:N,6,FALSE),0)</f>
        <v>10971</v>
      </c>
      <c r="Q235" s="35" t="s">
        <v>1163</v>
      </c>
    </row>
    <row r="236" hidden="1" spans="2:17">
      <c r="B236" s="49">
        <f t="shared" si="7"/>
        <v>229</v>
      </c>
      <c r="C236" s="43" t="s">
        <v>1164</v>
      </c>
      <c r="D236" s="43" t="s">
        <v>935</v>
      </c>
      <c r="E236" s="44"/>
      <c r="F236" s="44" t="s">
        <v>1162</v>
      </c>
      <c r="G236" s="44" t="s">
        <v>473</v>
      </c>
      <c r="H236" s="44" t="s">
        <v>1163</v>
      </c>
      <c r="I236" s="44" t="s">
        <v>309</v>
      </c>
      <c r="J236" s="44"/>
      <c r="K236" s="56">
        <f>SUMIF('TB-Jan-25'!$A$12:$A$167,'Working-Jan-25'!C236,'TB-Jan-25'!$E$12:$E$167)</f>
        <v>0</v>
      </c>
      <c r="L236" s="56">
        <f>SUMIF('TB-Jan-25'!I:I,C236,'TB-Jan-25'!M:M)</f>
        <v>0</v>
      </c>
      <c r="M236" s="56">
        <f t="shared" si="6"/>
        <v>0</v>
      </c>
      <c r="N236" s="57">
        <f>IFERROR(VLOOKUP(C236,'[1]TB-Jun-24'!A:F,6,FALSE),0)</f>
        <v>0</v>
      </c>
      <c r="O236" s="35">
        <f>IFERROR(VLOOKUP(C236,'[1]TB-Jun-24'!I:N,6,FALSE),0)</f>
        <v>9594</v>
      </c>
      <c r="Q236" s="35" t="s">
        <v>1163</v>
      </c>
    </row>
    <row r="237" hidden="1" spans="2:17">
      <c r="B237" s="49">
        <f t="shared" si="7"/>
        <v>230</v>
      </c>
      <c r="C237" s="43" t="s">
        <v>1165</v>
      </c>
      <c r="D237" s="43" t="s">
        <v>935</v>
      </c>
      <c r="E237" s="44"/>
      <c r="F237" s="44" t="s">
        <v>1162</v>
      </c>
      <c r="G237" s="44" t="s">
        <v>473</v>
      </c>
      <c r="H237" s="44" t="s">
        <v>1163</v>
      </c>
      <c r="I237" s="44" t="s">
        <v>309</v>
      </c>
      <c r="J237" s="44"/>
      <c r="K237" s="56">
        <f>SUMIF('TB-Jan-25'!$A$12:$A$167,'Working-Jan-25'!C237,'TB-Jan-25'!$E$12:$E$167)</f>
        <v>0</v>
      </c>
      <c r="L237" s="56">
        <f>SUMIF('TB-Jan-25'!I:I,C237,'TB-Jan-25'!M:M)</f>
        <v>0</v>
      </c>
      <c r="M237" s="56">
        <f t="shared" si="6"/>
        <v>0</v>
      </c>
      <c r="N237" s="57"/>
      <c r="Q237" s="35" t="s">
        <v>1163</v>
      </c>
    </row>
    <row r="238" hidden="1" spans="2:17">
      <c r="B238" s="49">
        <f t="shared" si="7"/>
        <v>231</v>
      </c>
      <c r="C238" s="43" t="s">
        <v>731</v>
      </c>
      <c r="D238" s="43" t="s">
        <v>935</v>
      </c>
      <c r="E238" s="44"/>
      <c r="F238" s="44" t="s">
        <v>1162</v>
      </c>
      <c r="G238" s="44" t="s">
        <v>483</v>
      </c>
      <c r="H238" s="44" t="s">
        <v>1163</v>
      </c>
      <c r="I238" s="44" t="s">
        <v>309</v>
      </c>
      <c r="J238" s="44"/>
      <c r="K238" s="56">
        <f>SUMIF('TB-Jan-25'!$A$12:$A$167,'Working-Jan-25'!C238,'TB-Jan-25'!$E$12:$E$167)</f>
        <v>0</v>
      </c>
      <c r="L238" s="56">
        <f>SUMIF('TB-Jan-25'!I:I,C238,'TB-Jan-25'!M:M)</f>
        <v>33583</v>
      </c>
      <c r="M238" s="56">
        <f t="shared" si="6"/>
        <v>33583</v>
      </c>
      <c r="N238" s="57" t="e">
        <f>SUMIF([6]Final!$B:$B,C238,[6]Final!$F:$F)-M238</f>
        <v>#VALUE!</v>
      </c>
      <c r="O238" s="35">
        <f>IFERROR(VLOOKUP(C238,'[1]TB-Jun-24'!I:N,6,FALSE),0)</f>
        <v>55887</v>
      </c>
      <c r="Q238" s="35" t="s">
        <v>1163</v>
      </c>
    </row>
    <row r="239" hidden="1" spans="2:17">
      <c r="B239" s="49">
        <f t="shared" si="7"/>
        <v>232</v>
      </c>
      <c r="C239" s="43" t="s">
        <v>733</v>
      </c>
      <c r="D239" s="43" t="s">
        <v>935</v>
      </c>
      <c r="E239" s="44"/>
      <c r="F239" s="44" t="s">
        <v>1162</v>
      </c>
      <c r="G239" s="44" t="s">
        <v>483</v>
      </c>
      <c r="H239" s="44" t="s">
        <v>1163</v>
      </c>
      <c r="I239" s="44" t="s">
        <v>309</v>
      </c>
      <c r="J239" s="44"/>
      <c r="K239" s="56">
        <f>SUMIF('TB-Jan-25'!$A$12:$A$167,'Working-Jan-25'!C239,'TB-Jan-25'!$E$12:$E$167)</f>
        <v>0</v>
      </c>
      <c r="L239" s="56">
        <f>SUMIF('TB-Jan-25'!I:I,C239,'TB-Jan-25'!M:M)</f>
        <v>162212</v>
      </c>
      <c r="M239" s="56">
        <f t="shared" si="6"/>
        <v>162212</v>
      </c>
      <c r="N239" s="57" t="e">
        <f>SUMIF([6]Final!$B:$B,C239,[6]Final!$F:$F)-M239</f>
        <v>#VALUE!</v>
      </c>
      <c r="O239" s="35">
        <f>IFERROR(VLOOKUP(C239,'[1]TB-Jun-24'!I:N,6,FALSE),0)</f>
        <v>15750</v>
      </c>
      <c r="Q239" s="35" t="s">
        <v>1163</v>
      </c>
    </row>
    <row r="240" hidden="1" spans="2:17">
      <c r="B240" s="49">
        <f t="shared" si="7"/>
        <v>233</v>
      </c>
      <c r="C240" s="43" t="s">
        <v>735</v>
      </c>
      <c r="D240" s="43" t="s">
        <v>935</v>
      </c>
      <c r="E240" s="44"/>
      <c r="F240" s="44" t="s">
        <v>1162</v>
      </c>
      <c r="G240" s="44" t="s">
        <v>483</v>
      </c>
      <c r="H240" s="44" t="s">
        <v>1163</v>
      </c>
      <c r="I240" s="44" t="s">
        <v>309</v>
      </c>
      <c r="J240" s="44"/>
      <c r="K240" s="56">
        <f>SUMIF('TB-Jan-25'!$A$12:$A$167,'Working-Jan-25'!C240,'TB-Jan-25'!$E$12:$E$167)</f>
        <v>0</v>
      </c>
      <c r="L240" s="56">
        <f>SUMIF('TB-Jan-25'!I:I,C240,'TB-Jan-25'!M:M)</f>
        <v>18459</v>
      </c>
      <c r="M240" s="56">
        <f t="shared" si="6"/>
        <v>18459</v>
      </c>
      <c r="N240" s="57" t="e">
        <f>SUMIF([6]Final!$B:$B,C240,[6]Final!$F:$F)-M240</f>
        <v>#VALUE!</v>
      </c>
      <c r="O240" s="35">
        <f>IFERROR(VLOOKUP(C240,'[1]TB-Jun-24'!I:N,6,FALSE),0)</f>
        <v>69352</v>
      </c>
      <c r="Q240" s="35" t="s">
        <v>1163</v>
      </c>
    </row>
    <row r="241" hidden="1" spans="2:17">
      <c r="B241" s="49">
        <f t="shared" si="7"/>
        <v>234</v>
      </c>
      <c r="C241" s="43" t="s">
        <v>1166</v>
      </c>
      <c r="D241" s="43" t="s">
        <v>935</v>
      </c>
      <c r="E241" s="44"/>
      <c r="F241" s="44" t="s">
        <v>1162</v>
      </c>
      <c r="G241" s="44" t="s">
        <v>483</v>
      </c>
      <c r="H241" s="44" t="s">
        <v>1163</v>
      </c>
      <c r="I241" s="44" t="s">
        <v>309</v>
      </c>
      <c r="J241" s="44"/>
      <c r="K241" s="56">
        <f>SUMIF('TB-Jan-25'!$A$12:$A$167,'Working-Jan-25'!C241,'TB-Jan-25'!$E$12:$E$167)</f>
        <v>0</v>
      </c>
      <c r="L241" s="56">
        <f>SUMIF('TB-Jan-25'!I:I,C241,'TB-Jan-25'!M:M)</f>
        <v>0</v>
      </c>
      <c r="M241" s="56">
        <f t="shared" si="6"/>
        <v>0</v>
      </c>
      <c r="N241" s="57">
        <f>IFERROR(VLOOKUP(C241,'[1]TB-Jun-24'!A:F,6,FALSE),0)</f>
        <v>0</v>
      </c>
      <c r="O241" s="35">
        <f>IFERROR(VLOOKUP(C241,'[1]TB-Jun-24'!I:N,6,FALSE),0)</f>
        <v>101</v>
      </c>
      <c r="Q241" s="35" t="s">
        <v>1163</v>
      </c>
    </row>
    <row r="242" hidden="1" spans="2:17">
      <c r="B242" s="49">
        <f t="shared" si="7"/>
        <v>235</v>
      </c>
      <c r="C242" s="43" t="s">
        <v>1167</v>
      </c>
      <c r="D242" s="43" t="s">
        <v>935</v>
      </c>
      <c r="E242" s="44"/>
      <c r="F242" s="44" t="s">
        <v>1162</v>
      </c>
      <c r="G242" s="44" t="s">
        <v>483</v>
      </c>
      <c r="H242" s="44" t="s">
        <v>1163</v>
      </c>
      <c r="I242" s="44" t="s">
        <v>309</v>
      </c>
      <c r="J242" s="44"/>
      <c r="K242" s="56">
        <f>SUMIF('TB-Jan-25'!$A$12:$A$167,'Working-Jan-25'!C242,'TB-Jan-25'!$E$12:$E$167)</f>
        <v>0</v>
      </c>
      <c r="L242" s="56">
        <f>SUMIF('TB-Jan-25'!I:I,C242,'TB-Jan-25'!M:M)</f>
        <v>0</v>
      </c>
      <c r="M242" s="56">
        <f t="shared" si="6"/>
        <v>0</v>
      </c>
      <c r="N242" s="57"/>
      <c r="Q242" s="35" t="s">
        <v>1163</v>
      </c>
    </row>
    <row r="243" hidden="1" spans="2:17">
      <c r="B243" s="49">
        <f t="shared" si="7"/>
        <v>236</v>
      </c>
      <c r="C243" s="43" t="s">
        <v>905</v>
      </c>
      <c r="D243" s="43" t="s">
        <v>935</v>
      </c>
      <c r="E243" s="44" t="s">
        <v>571</v>
      </c>
      <c r="F243" s="44" t="s">
        <v>33</v>
      </c>
      <c r="G243" s="44" t="s">
        <v>571</v>
      </c>
      <c r="H243" s="44" t="s">
        <v>33</v>
      </c>
      <c r="I243" s="44" t="s">
        <v>309</v>
      </c>
      <c r="J243" s="44"/>
      <c r="K243" s="56">
        <f>SUMIF('TB-Jan-25'!$A$12:$A$167,'Working-Jan-25'!C243,'TB-Jan-25'!$E$12:$E$167)</f>
        <v>0</v>
      </c>
      <c r="L243" s="56">
        <f>SUMIF('TB-Jan-25'!I:I,C243,'TB-Jan-25'!M:M)</f>
        <v>19073</v>
      </c>
      <c r="M243" s="56">
        <f t="shared" si="6"/>
        <v>19073</v>
      </c>
      <c r="N243" s="57" t="e">
        <f>SUMIF([6]Final!$B:$B,C243,[6]Final!$F:$F)-M243</f>
        <v>#VALUE!</v>
      </c>
      <c r="O243" s="35">
        <f>IFERROR(VLOOKUP(C243,'[1]TB-Jun-24'!I:N,6,FALSE),0)</f>
        <v>31378</v>
      </c>
      <c r="Q243" s="35" t="s">
        <v>33</v>
      </c>
    </row>
    <row r="244" hidden="1" spans="2:14">
      <c r="B244" s="49">
        <f t="shared" si="7"/>
        <v>237</v>
      </c>
      <c r="C244" s="43" t="s">
        <v>909</v>
      </c>
      <c r="D244" s="43" t="s">
        <v>935</v>
      </c>
      <c r="E244" s="44" t="s">
        <v>1168</v>
      </c>
      <c r="F244" s="44" t="s">
        <v>1162</v>
      </c>
      <c r="G244" s="44" t="s">
        <v>563</v>
      </c>
      <c r="H244" s="44" t="s">
        <v>1163</v>
      </c>
      <c r="I244" s="44" t="s">
        <v>309</v>
      </c>
      <c r="J244" s="44"/>
      <c r="K244" s="56">
        <f>SUMIF('TB-Jan-25'!$A$12:$A$167,'Working-Jan-25'!C244,'TB-Jan-25'!$E$12:$E$167)</f>
        <v>0</v>
      </c>
      <c r="L244" s="56">
        <f>SUMIF('TB-Jan-25'!I:I,C244,'TB-Jan-25'!M:M)</f>
        <v>113456.43</v>
      </c>
      <c r="M244" s="56">
        <f t="shared" si="6"/>
        <v>113456.43</v>
      </c>
      <c r="N244" s="57" t="e">
        <f>SUMIF([6]Final!$B:$B,C244,[6]Final!$F:$F)-M244</f>
        <v>#VALUE!</v>
      </c>
    </row>
    <row r="245" hidden="1" spans="2:14">
      <c r="B245" s="49">
        <f>B244+1</f>
        <v>238</v>
      </c>
      <c r="C245" s="43" t="s">
        <v>1169</v>
      </c>
      <c r="D245" s="43" t="s">
        <v>935</v>
      </c>
      <c r="E245" s="44" t="s">
        <v>1168</v>
      </c>
      <c r="F245" s="44" t="s">
        <v>1162</v>
      </c>
      <c r="G245" s="44" t="s">
        <v>563</v>
      </c>
      <c r="H245" s="44" t="s">
        <v>1163</v>
      </c>
      <c r="I245" s="44" t="s">
        <v>309</v>
      </c>
      <c r="J245" s="44"/>
      <c r="K245" s="56">
        <f>SUMIF('TB-Jan-25'!$A$12:$A$167,'Working-Jan-25'!C245,'TB-Jan-25'!$E$12:$E$167)</f>
        <v>0</v>
      </c>
      <c r="L245" s="56">
        <f>SUMIF('TB-Jan-25'!I:I,C245,'TB-Jan-25'!M:M)</f>
        <v>0</v>
      </c>
      <c r="M245" s="56">
        <f t="shared" si="6"/>
        <v>0</v>
      </c>
      <c r="N245" s="57"/>
    </row>
    <row r="246" hidden="1" spans="1:17">
      <c r="A246" s="35" t="s">
        <v>563</v>
      </c>
      <c r="B246" s="49">
        <f>B245+1</f>
        <v>239</v>
      </c>
      <c r="C246" s="43" t="s">
        <v>911</v>
      </c>
      <c r="D246" s="43" t="s">
        <v>935</v>
      </c>
      <c r="E246" s="44" t="s">
        <v>1168</v>
      </c>
      <c r="F246" s="44" t="s">
        <v>1162</v>
      </c>
      <c r="G246" s="44" t="s">
        <v>563</v>
      </c>
      <c r="H246" s="44" t="s">
        <v>1163</v>
      </c>
      <c r="I246" s="44" t="s">
        <v>309</v>
      </c>
      <c r="J246" s="44"/>
      <c r="K246" s="56">
        <f>SUMIF('TB-Jan-25'!$A$12:$A$167,'Working-Jan-25'!C246,'TB-Jan-25'!$E$12:$E$167)</f>
        <v>0</v>
      </c>
      <c r="L246" s="56">
        <f>SUMIF('TB-Jan-25'!I:I,C246,'TB-Jan-25'!M:M)</f>
        <v>212727</v>
      </c>
      <c r="M246" s="56">
        <f t="shared" si="6"/>
        <v>212727</v>
      </c>
      <c r="N246" s="57" t="e">
        <f>SUMIF([6]Final!$B:$B,C246,[6]Final!$F:$F)-M246</f>
        <v>#VALUE!</v>
      </c>
      <c r="O246" s="35">
        <f>IFERROR(VLOOKUP(C246,'[1]TB-Jun-24'!I:N,6,FALSE),0)</f>
        <v>60239</v>
      </c>
      <c r="Q246" s="35" t="s">
        <v>1163</v>
      </c>
    </row>
    <row r="247" hidden="1" spans="2:14">
      <c r="B247" s="49">
        <f t="shared" si="7"/>
        <v>240</v>
      </c>
      <c r="C247" s="43" t="s">
        <v>1170</v>
      </c>
      <c r="D247" s="43" t="s">
        <v>935</v>
      </c>
      <c r="E247" s="44"/>
      <c r="F247" s="44" t="s">
        <v>1162</v>
      </c>
      <c r="G247" s="44" t="s">
        <v>483</v>
      </c>
      <c r="H247" s="44" t="s">
        <v>1163</v>
      </c>
      <c r="I247" s="44" t="s">
        <v>309</v>
      </c>
      <c r="J247" s="44"/>
      <c r="K247" s="56">
        <f>SUMIF('TB-Jan-25'!$A$12:$A$167,'Working-Jan-25'!C247,'TB-Jan-25'!$E$12:$E$167)</f>
        <v>0</v>
      </c>
      <c r="L247" s="56">
        <f>SUMIF('TB-Jan-25'!I:I,C247,'TB-Jan-25'!M:M)</f>
        <v>0</v>
      </c>
      <c r="M247" s="56">
        <f t="shared" si="6"/>
        <v>0</v>
      </c>
      <c r="N247" s="57"/>
    </row>
    <row r="248" hidden="1" spans="1:17">
      <c r="A248" s="35" t="s">
        <v>563</v>
      </c>
      <c r="B248" s="49">
        <f>+B246+1</f>
        <v>240</v>
      </c>
      <c r="C248" s="43" t="s">
        <v>912</v>
      </c>
      <c r="D248" s="43" t="s">
        <v>935</v>
      </c>
      <c r="E248" s="44"/>
      <c r="F248" s="44" t="s">
        <v>1162</v>
      </c>
      <c r="G248" s="44" t="s">
        <v>563</v>
      </c>
      <c r="H248" s="44" t="s">
        <v>1163</v>
      </c>
      <c r="I248" s="44" t="s">
        <v>309</v>
      </c>
      <c r="J248" s="44"/>
      <c r="K248" s="56">
        <f>SUMIF('TB-Jan-25'!$A$12:$A$167,'Working-Jan-25'!C248,'TB-Jan-25'!$E$12:$E$167)</f>
        <v>0</v>
      </c>
      <c r="L248" s="56">
        <f>SUMIF('TB-Jan-25'!I:I,C248,'TB-Jan-25'!M:M)</f>
        <v>100283</v>
      </c>
      <c r="M248" s="56">
        <f t="shared" si="6"/>
        <v>100283</v>
      </c>
      <c r="N248" s="57" t="e">
        <f>SUMIF([6]Final!$B:$B,C248,[6]Final!$F:$F)-M248</f>
        <v>#VALUE!</v>
      </c>
      <c r="O248" s="35">
        <f>IFERROR(VLOOKUP(C248,'[1]TB-Jun-24'!I:N,6,FALSE),0)</f>
        <v>34021</v>
      </c>
      <c r="Q248" s="35" t="s">
        <v>1163</v>
      </c>
    </row>
    <row r="249" hidden="1" spans="2:17">
      <c r="B249" s="49">
        <f t="shared" si="7"/>
        <v>241</v>
      </c>
      <c r="C249" s="43" t="s">
        <v>727</v>
      </c>
      <c r="D249" s="43" t="s">
        <v>935</v>
      </c>
      <c r="E249" s="44"/>
      <c r="F249" s="44" t="s">
        <v>1162</v>
      </c>
      <c r="G249" s="44" t="s">
        <v>563</v>
      </c>
      <c r="H249" s="44" t="s">
        <v>1163</v>
      </c>
      <c r="I249" s="44" t="s">
        <v>309</v>
      </c>
      <c r="J249" s="44"/>
      <c r="K249" s="56">
        <f>SUMIF('TB-Jan-25'!$A$12:$A$167,'Working-Jan-25'!C249,'TB-Jan-25'!$E$12:$E$167)</f>
        <v>0</v>
      </c>
      <c r="L249" s="56">
        <f>SUMIF('TB-Jan-25'!I:I,C249,'TB-Jan-25'!M:M)</f>
        <v>42320</v>
      </c>
      <c r="M249" s="56">
        <f t="shared" si="6"/>
        <v>42320</v>
      </c>
      <c r="N249" s="57" t="e">
        <f>SUMIF([6]Final!$B:$B,C249,[6]Final!$F:$F)-M249</f>
        <v>#VALUE!</v>
      </c>
      <c r="Q249" s="35" t="s">
        <v>1163</v>
      </c>
    </row>
    <row r="250" hidden="1" spans="1:17">
      <c r="A250" s="35" t="s">
        <v>1171</v>
      </c>
      <c r="B250" s="49">
        <f>+B248+1</f>
        <v>241</v>
      </c>
      <c r="C250" s="43" t="s">
        <v>919</v>
      </c>
      <c r="D250" s="43" t="s">
        <v>935</v>
      </c>
      <c r="E250" s="45"/>
      <c r="F250" s="44"/>
      <c r="G250" s="44" t="s">
        <v>484</v>
      </c>
      <c r="H250" s="44" t="s">
        <v>121</v>
      </c>
      <c r="I250" s="44" t="s">
        <v>309</v>
      </c>
      <c r="J250" s="44"/>
      <c r="K250" s="56">
        <f>SUMIF('TB-Jan-25'!$A$12:$A$167,'Working-Jan-25'!C250,'TB-Jan-25'!$E$12:$E$167)</f>
        <v>0</v>
      </c>
      <c r="L250" s="56">
        <f>SUMIF('TB-Jan-25'!I:I,C250,'TB-Jan-25'!M:M)</f>
        <v>116871</v>
      </c>
      <c r="M250" s="56">
        <f t="shared" si="6"/>
        <v>116871</v>
      </c>
      <c r="N250" s="57" t="e">
        <f>SUMIF([6]Final!$B:$B,C250,[6]Final!$F:$F)-M250</f>
        <v>#VALUE!</v>
      </c>
      <c r="O250" s="35">
        <f>IFERROR(VLOOKUP(C250,'[1]TB-Jun-24'!I:N,6,FALSE),0)</f>
        <v>85815</v>
      </c>
      <c r="Q250" s="35" t="s">
        <v>121</v>
      </c>
    </row>
    <row r="251" hidden="1" spans="2:17">
      <c r="B251" s="35">
        <f>+B226+1</f>
        <v>221</v>
      </c>
      <c r="C251" s="43" t="s">
        <v>1172</v>
      </c>
      <c r="D251" s="43" t="s">
        <v>939</v>
      </c>
      <c r="E251" s="44" t="s">
        <v>1148</v>
      </c>
      <c r="F251" s="44" t="s">
        <v>33</v>
      </c>
      <c r="G251" s="44" t="s">
        <v>569</v>
      </c>
      <c r="H251" s="44" t="s">
        <v>120</v>
      </c>
      <c r="I251" s="44" t="s">
        <v>309</v>
      </c>
      <c r="J251" s="44"/>
      <c r="K251" s="56">
        <f>SUMIF('TB-Jan-25'!$A$12:$A$167,'Working-Jan-25'!C251,'TB-Jan-25'!$E$12:$E$167)</f>
        <v>0</v>
      </c>
      <c r="L251" s="56">
        <f>SUMIF('TB-Jan-25'!I:I,C251,'TB-Jan-25'!M:M)</f>
        <v>0</v>
      </c>
      <c r="M251" s="56">
        <f t="shared" si="6"/>
        <v>0</v>
      </c>
      <c r="N251" s="57">
        <f>IFERROR(VLOOKUP(C251,'[1]TB-Jun-24'!A:F,6,FALSE),0)</f>
        <v>0</v>
      </c>
      <c r="O251" s="35">
        <f>IFERROR(VLOOKUP(C251,'[1]TB-Jun-24'!I:N,6,FALSE),0)</f>
        <v>0</v>
      </c>
      <c r="Q251" s="35" t="s">
        <v>120</v>
      </c>
    </row>
    <row r="252" hidden="1" spans="2:17">
      <c r="B252" s="35">
        <f t="shared" si="7"/>
        <v>222</v>
      </c>
      <c r="C252" s="43" t="s">
        <v>1173</v>
      </c>
      <c r="D252" s="43" t="s">
        <v>939</v>
      </c>
      <c r="E252" s="44" t="s">
        <v>1148</v>
      </c>
      <c r="F252" s="44" t="s">
        <v>33</v>
      </c>
      <c r="G252" s="44" t="s">
        <v>569</v>
      </c>
      <c r="H252" s="44" t="s">
        <v>120</v>
      </c>
      <c r="I252" s="44" t="s">
        <v>309</v>
      </c>
      <c r="J252" s="44"/>
      <c r="K252" s="56">
        <f>SUMIF('TB-Jan-25'!$A$12:$A$167,'Working-Jan-25'!C252,'TB-Jan-25'!$E$12:$E$167)</f>
        <v>0</v>
      </c>
      <c r="L252" s="56">
        <f>SUMIF('TB-Jan-25'!I:I,C252,'TB-Jan-25'!M:M)</f>
        <v>0</v>
      </c>
      <c r="M252" s="56">
        <f t="shared" si="6"/>
        <v>0</v>
      </c>
      <c r="N252" s="57">
        <f>IFERROR(VLOOKUP(C252,'[1]TB-Jun-24'!A:F,6,FALSE),0)</f>
        <v>0</v>
      </c>
      <c r="O252" s="35">
        <f>IFERROR(VLOOKUP(C252,'[1]TB-Jun-24'!I:N,6,FALSE),0)</f>
        <v>0</v>
      </c>
      <c r="Q252" s="35" t="s">
        <v>120</v>
      </c>
    </row>
    <row r="253" hidden="1" spans="2:17">
      <c r="B253" s="35">
        <f t="shared" si="7"/>
        <v>223</v>
      </c>
      <c r="C253" s="43" t="s">
        <v>800</v>
      </c>
      <c r="D253" s="43" t="s">
        <v>939</v>
      </c>
      <c r="E253" s="44" t="s">
        <v>1148</v>
      </c>
      <c r="F253" s="44" t="s">
        <v>33</v>
      </c>
      <c r="G253" s="44" t="s">
        <v>569</v>
      </c>
      <c r="H253" s="44" t="s">
        <v>120</v>
      </c>
      <c r="I253" s="44" t="s">
        <v>309</v>
      </c>
      <c r="J253" s="44"/>
      <c r="K253" s="56">
        <f>SUMIF('TB-Jan-25'!$A$12:$A$167,'Working-Jan-25'!C253,'TB-Jan-25'!$E$12:$E$167)</f>
        <v>45070</v>
      </c>
      <c r="L253" s="56">
        <f>SUMIF('TB-Jan-25'!I:I,C253,'TB-Jan-25'!M:M)</f>
        <v>450</v>
      </c>
      <c r="M253" s="56">
        <f t="shared" si="6"/>
        <v>45520</v>
      </c>
      <c r="N253" s="57" t="e">
        <f>SUMIF([6]Final!$B:$B,C253,[6]Final!$F:$F)-M253</f>
        <v>#VALUE!</v>
      </c>
      <c r="O253" s="35">
        <f>IFERROR(VLOOKUP(C253,'[1]TB-Jun-24'!I:N,6,FALSE),0)</f>
        <v>105</v>
      </c>
      <c r="Q253" s="35" t="s">
        <v>120</v>
      </c>
    </row>
    <row r="254" hidden="1" spans="2:17">
      <c r="B254" s="35">
        <f t="shared" si="7"/>
        <v>224</v>
      </c>
      <c r="C254" s="43" t="s">
        <v>1174</v>
      </c>
      <c r="D254" s="43" t="s">
        <v>939</v>
      </c>
      <c r="E254" s="44" t="s">
        <v>1148</v>
      </c>
      <c r="F254" s="44" t="s">
        <v>33</v>
      </c>
      <c r="G254" s="44" t="s">
        <v>569</v>
      </c>
      <c r="H254" s="44" t="s">
        <v>120</v>
      </c>
      <c r="I254" s="44" t="s">
        <v>309</v>
      </c>
      <c r="J254" s="44"/>
      <c r="K254" s="56">
        <f>SUMIF('TB-Jan-25'!$A$12:$A$167,'Working-Jan-25'!C254,'TB-Jan-25'!$E$12:$E$167)</f>
        <v>0</v>
      </c>
      <c r="L254" s="56">
        <f>SUMIF('TB-Jan-25'!I:I,C254,'TB-Jan-25'!M:M)</f>
        <v>0</v>
      </c>
      <c r="M254" s="56">
        <f t="shared" si="6"/>
        <v>0</v>
      </c>
      <c r="N254" s="57">
        <f>IFERROR(VLOOKUP(C254,'[1]TB-Jun-24'!A:F,6,FALSE),0)</f>
        <v>0</v>
      </c>
      <c r="O254" s="35">
        <f>IFERROR(VLOOKUP(C254,'[1]TB-Jun-24'!I:N,6,FALSE),0)</f>
        <v>0</v>
      </c>
      <c r="Q254" s="35" t="s">
        <v>120</v>
      </c>
    </row>
    <row r="255" hidden="1" spans="2:17">
      <c r="B255" s="35">
        <f t="shared" si="7"/>
        <v>225</v>
      </c>
      <c r="C255" s="43" t="s">
        <v>1175</v>
      </c>
      <c r="D255" s="43" t="s">
        <v>939</v>
      </c>
      <c r="E255" s="44" t="s">
        <v>1148</v>
      </c>
      <c r="F255" s="44" t="s">
        <v>33</v>
      </c>
      <c r="G255" s="44" t="s">
        <v>569</v>
      </c>
      <c r="H255" s="44" t="s">
        <v>120</v>
      </c>
      <c r="I255" s="44" t="s">
        <v>309</v>
      </c>
      <c r="J255" s="44"/>
      <c r="K255" s="56">
        <f>SUMIF('TB-Jan-25'!$A$12:$A$167,'Working-Jan-25'!C255,'TB-Jan-25'!$E$12:$E$167)</f>
        <v>0</v>
      </c>
      <c r="L255" s="56">
        <f>SUMIF('TB-Jan-25'!I:I,C255,'TB-Jan-25'!M:M)</f>
        <v>0</v>
      </c>
      <c r="M255" s="56">
        <f t="shared" si="6"/>
        <v>0</v>
      </c>
      <c r="N255" s="57">
        <f>IFERROR(VLOOKUP(C255,'[1]TB-Jun-24'!A:F,6,FALSE),0)</f>
        <v>0</v>
      </c>
      <c r="O255" s="35">
        <f>IFERROR(VLOOKUP(C255,'[1]TB-Jun-24'!I:N,6,FALSE),0)</f>
        <v>0</v>
      </c>
      <c r="Q255" s="35" t="s">
        <v>120</v>
      </c>
    </row>
    <row r="256" hidden="1" spans="2:17">
      <c r="B256" s="35">
        <f t="shared" si="7"/>
        <v>226</v>
      </c>
      <c r="C256" s="43" t="s">
        <v>815</v>
      </c>
      <c r="D256" s="43" t="s">
        <v>939</v>
      </c>
      <c r="E256" s="44" t="s">
        <v>1176</v>
      </c>
      <c r="F256" s="44" t="s">
        <v>33</v>
      </c>
      <c r="G256" s="44" t="s">
        <v>538</v>
      </c>
      <c r="H256" s="44" t="s">
        <v>120</v>
      </c>
      <c r="I256" s="44" t="s">
        <v>309</v>
      </c>
      <c r="J256" s="44"/>
      <c r="K256" s="56">
        <f>SUMIF('TB-Jan-25'!$A$12:$A$167,'Working-Jan-25'!C256,'TB-Jan-25'!$E$12:$E$167)</f>
        <v>0</v>
      </c>
      <c r="L256" s="56">
        <f>SUMIF('TB-Jan-25'!I:I,C256,'TB-Jan-25'!M:M)</f>
        <v>1857</v>
      </c>
      <c r="M256" s="56">
        <f t="shared" si="6"/>
        <v>1857</v>
      </c>
      <c r="N256" s="57" t="e">
        <f>SUMIF([6]Final!$B:$B,C256,[6]Final!$F:$F)-M256</f>
        <v>#VALUE!</v>
      </c>
      <c r="O256" s="35">
        <f>IFERROR(VLOOKUP(C256,'[1]TB-Jun-24'!I:N,6,FALSE),0)</f>
        <v>230</v>
      </c>
      <c r="Q256" s="35" t="s">
        <v>120</v>
      </c>
    </row>
    <row r="257" hidden="1" spans="2:17">
      <c r="B257" s="35">
        <f t="shared" si="7"/>
        <v>227</v>
      </c>
      <c r="C257" s="43" t="s">
        <v>1177</v>
      </c>
      <c r="D257" s="43" t="s">
        <v>939</v>
      </c>
      <c r="E257" s="44" t="s">
        <v>1178</v>
      </c>
      <c r="F257" s="44" t="s">
        <v>33</v>
      </c>
      <c r="G257" s="44" t="s">
        <v>565</v>
      </c>
      <c r="H257" s="44" t="s">
        <v>120</v>
      </c>
      <c r="I257" s="44" t="s">
        <v>309</v>
      </c>
      <c r="J257" s="44"/>
      <c r="K257" s="56">
        <f>SUMIF('TB-Jan-25'!$A$12:$A$167,'Working-Jan-25'!C257,'TB-Jan-25'!$E$12:$E$167)</f>
        <v>0</v>
      </c>
      <c r="L257" s="56">
        <f>SUMIF('TB-Jan-25'!I:I,C257,'TB-Jan-25'!M:M)</f>
        <v>0</v>
      </c>
      <c r="M257" s="56">
        <f t="shared" si="6"/>
        <v>0</v>
      </c>
      <c r="N257" s="57">
        <f>IFERROR(VLOOKUP(C257,'[1]TB-Jun-24'!A:F,6,FALSE),0)</f>
        <v>0</v>
      </c>
      <c r="O257" s="35">
        <f>IFERROR(VLOOKUP(C257,'[1]TB-Jun-24'!I:N,6,FALSE),0)</f>
        <v>0</v>
      </c>
      <c r="Q257" s="35" t="s">
        <v>120</v>
      </c>
    </row>
    <row r="258" hidden="1" spans="2:17">
      <c r="B258" s="35">
        <f t="shared" si="7"/>
        <v>228</v>
      </c>
      <c r="C258" s="43" t="s">
        <v>1179</v>
      </c>
      <c r="D258" s="43" t="s">
        <v>939</v>
      </c>
      <c r="E258" s="44" t="s">
        <v>1176</v>
      </c>
      <c r="F258" s="44" t="s">
        <v>33</v>
      </c>
      <c r="G258" s="44" t="s">
        <v>538</v>
      </c>
      <c r="H258" s="44" t="s">
        <v>120</v>
      </c>
      <c r="I258" s="44" t="s">
        <v>309</v>
      </c>
      <c r="J258" s="44"/>
      <c r="K258" s="56">
        <f>SUMIF('TB-Jan-25'!$A$12:$A$167,'Working-Jan-25'!C258,'TB-Jan-25'!$E$12:$E$167)</f>
        <v>0</v>
      </c>
      <c r="L258" s="56">
        <f>SUMIF('TB-Jan-25'!I:I,C258,'TB-Jan-25'!M:M)</f>
        <v>0</v>
      </c>
      <c r="M258" s="56">
        <f t="shared" si="6"/>
        <v>0</v>
      </c>
      <c r="N258" s="57">
        <f>IFERROR(VLOOKUP(C258,'[1]TB-Jun-24'!A:F,6,FALSE),0)</f>
        <v>3000</v>
      </c>
      <c r="O258" s="35">
        <f>IFERROR(VLOOKUP(C258,'[1]TB-Jun-24'!I:N,6,FALSE),0)</f>
        <v>1600</v>
      </c>
      <c r="Q258" s="35" t="s">
        <v>120</v>
      </c>
    </row>
    <row r="259" spans="2:17">
      <c r="B259" s="35">
        <f t="shared" si="7"/>
        <v>229</v>
      </c>
      <c r="C259" s="43" t="s">
        <v>817</v>
      </c>
      <c r="D259" s="46" t="s">
        <v>935</v>
      </c>
      <c r="E259" s="47" t="s">
        <v>537</v>
      </c>
      <c r="F259" s="47" t="s">
        <v>33</v>
      </c>
      <c r="G259" s="44" t="s">
        <v>537</v>
      </c>
      <c r="H259" s="44" t="s">
        <v>120</v>
      </c>
      <c r="I259" s="44" t="s">
        <v>309</v>
      </c>
      <c r="J259" s="44"/>
      <c r="K259" s="56">
        <f>SUMIF('TB-Jan-25'!$A$12:$A$167,'Working-Jan-25'!C259,'TB-Jan-25'!$E$12:$E$167)</f>
        <v>0</v>
      </c>
      <c r="L259" s="56">
        <f>SUMIF('TB-Jan-25'!I:I,C259,'TB-Jan-25'!M:M)</f>
        <v>0</v>
      </c>
      <c r="M259" s="56">
        <f t="shared" si="6"/>
        <v>0</v>
      </c>
      <c r="N259" s="57" t="e">
        <f>SUMIF([6]Final!$B:$B,C259,[6]Final!$F:$F)-M259</f>
        <v>#VALUE!</v>
      </c>
      <c r="O259" s="35">
        <f>IFERROR(VLOOKUP(C259,'[1]TB-Jun-24'!I:N,6,FALSE),0)</f>
        <v>0</v>
      </c>
      <c r="Q259" s="35" t="s">
        <v>120</v>
      </c>
    </row>
    <row r="260" hidden="1" spans="2:17">
      <c r="B260" s="35">
        <f t="shared" si="7"/>
        <v>230</v>
      </c>
      <c r="C260" s="43" t="s">
        <v>1180</v>
      </c>
      <c r="D260" s="43" t="s">
        <v>935</v>
      </c>
      <c r="E260" s="44" t="s">
        <v>942</v>
      </c>
      <c r="F260" s="44" t="s">
        <v>33</v>
      </c>
      <c r="G260" s="44" t="s">
        <v>493</v>
      </c>
      <c r="H260" s="44" t="s">
        <v>120</v>
      </c>
      <c r="I260" s="44" t="s">
        <v>309</v>
      </c>
      <c r="J260" s="44"/>
      <c r="K260" s="56">
        <f>SUMIF('TB-Jan-25'!$A$12:$A$167,'Working-Jan-25'!C260,'TB-Jan-25'!$E$12:$E$167)</f>
        <v>0</v>
      </c>
      <c r="L260" s="56">
        <f>SUMIF('TB-Jan-25'!I:I,C260,'TB-Jan-25'!M:M)</f>
        <v>0</v>
      </c>
      <c r="M260" s="56">
        <f t="shared" si="6"/>
        <v>0</v>
      </c>
      <c r="N260" s="57">
        <f>IFERROR(VLOOKUP(C260,'[1]TB-Jun-24'!A:F,6,FALSE),0)</f>
        <v>0</v>
      </c>
      <c r="O260" s="35">
        <f>IFERROR(VLOOKUP(C260,'[1]TB-Jun-24'!I:N,6,FALSE),0)</f>
        <v>0</v>
      </c>
      <c r="Q260" s="35" t="s">
        <v>493</v>
      </c>
    </row>
    <row r="261" hidden="1" spans="2:17">
      <c r="B261" s="35">
        <f t="shared" si="7"/>
        <v>231</v>
      </c>
      <c r="C261" s="43" t="s">
        <v>1181</v>
      </c>
      <c r="D261" s="43" t="s">
        <v>935</v>
      </c>
      <c r="E261" s="44" t="s">
        <v>942</v>
      </c>
      <c r="F261" s="44" t="s">
        <v>33</v>
      </c>
      <c r="G261" s="44" t="s">
        <v>542</v>
      </c>
      <c r="H261" s="44" t="s">
        <v>493</v>
      </c>
      <c r="I261" s="44" t="s">
        <v>309</v>
      </c>
      <c r="J261" s="44"/>
      <c r="K261" s="56">
        <f>SUMIF('TB-Jan-25'!$A$12:$A$167,'Working-Jan-25'!C261,'TB-Jan-25'!$E$12:$E$167)</f>
        <v>0</v>
      </c>
      <c r="L261" s="56">
        <f>SUMIF('TB-Jan-25'!I:I,C261,'TB-Jan-25'!M:M)</f>
        <v>0</v>
      </c>
      <c r="M261" s="56">
        <f t="shared" si="6"/>
        <v>0</v>
      </c>
      <c r="N261" s="57">
        <f>IFERROR(VLOOKUP(C261,'[1]TB-Jun-24'!A:F,6,FALSE),0)</f>
        <v>0</v>
      </c>
      <c r="O261" s="35">
        <f>IFERROR(VLOOKUP(C261,'[1]TB-Jun-24'!I:N,6,FALSE),0)</f>
        <v>0</v>
      </c>
      <c r="Q261" s="35" t="s">
        <v>493</v>
      </c>
    </row>
    <row r="262" hidden="1" spans="2:17">
      <c r="B262" s="35">
        <f t="shared" si="7"/>
        <v>232</v>
      </c>
      <c r="C262" s="43" t="s">
        <v>819</v>
      </c>
      <c r="D262" s="43" t="s">
        <v>939</v>
      </c>
      <c r="E262" s="44" t="s">
        <v>1075</v>
      </c>
      <c r="F262" s="44" t="s">
        <v>33</v>
      </c>
      <c r="G262" s="44" t="s">
        <v>502</v>
      </c>
      <c r="H262" s="44" t="s">
        <v>120</v>
      </c>
      <c r="I262" s="44" t="s">
        <v>309</v>
      </c>
      <c r="J262" s="44"/>
      <c r="K262" s="56">
        <f>SUMIF('TB-Jan-25'!$A$12:$A$167,'Working-Jan-25'!C262,'TB-Jan-25'!$E$12:$E$167)</f>
        <v>0</v>
      </c>
      <c r="L262" s="56">
        <f>SUMIF('TB-Jan-25'!I:I,C262,'TB-Jan-25'!M:M)</f>
        <v>500</v>
      </c>
      <c r="M262" s="56">
        <f t="shared" si="6"/>
        <v>500</v>
      </c>
      <c r="N262" s="57" t="e">
        <f>SUMIF([6]Final!$B:$B,C262,[6]Final!$F:$F)-M262</f>
        <v>#VALUE!</v>
      </c>
      <c r="O262" s="35">
        <f>IFERROR(VLOOKUP(C262,'[1]TB-Jun-24'!I:N,6,FALSE),0)</f>
        <v>1000</v>
      </c>
      <c r="Q262" s="35" t="s">
        <v>120</v>
      </c>
    </row>
    <row r="263" hidden="1" spans="2:17">
      <c r="B263" s="35">
        <f t="shared" ref="B263:B272" si="8">+B262+1</f>
        <v>233</v>
      </c>
      <c r="C263" s="43" t="s">
        <v>1182</v>
      </c>
      <c r="D263" s="43" t="s">
        <v>939</v>
      </c>
      <c r="E263" s="44" t="s">
        <v>1075</v>
      </c>
      <c r="F263" s="44" t="s">
        <v>33</v>
      </c>
      <c r="G263" s="44" t="s">
        <v>502</v>
      </c>
      <c r="H263" s="44" t="s">
        <v>120</v>
      </c>
      <c r="I263" s="44" t="s">
        <v>309</v>
      </c>
      <c r="J263" s="44"/>
      <c r="K263" s="56">
        <f>SUMIF('TB-Jan-25'!$A$12:$A$167,'Working-Jan-25'!C263,'TB-Jan-25'!$E$12:$E$167)</f>
        <v>0</v>
      </c>
      <c r="L263" s="56">
        <f>SUMIF('TB-Jan-25'!I:I,C263,'TB-Jan-25'!M:M)</f>
        <v>0</v>
      </c>
      <c r="M263" s="56">
        <f t="shared" si="6"/>
        <v>0</v>
      </c>
      <c r="N263" s="57">
        <f>IFERROR(VLOOKUP(C263,'[1]TB-Jun-24'!A:F,6,FALSE),0)</f>
        <v>0</v>
      </c>
      <c r="O263" s="35">
        <f>IFERROR(VLOOKUP(C263,'[1]TB-Jun-24'!I:N,6,FALSE),0)</f>
        <v>0</v>
      </c>
      <c r="Q263" s="35" t="s">
        <v>120</v>
      </c>
    </row>
    <row r="264" hidden="1" spans="2:17">
      <c r="B264" s="35">
        <f t="shared" si="8"/>
        <v>234</v>
      </c>
      <c r="C264" s="43" t="s">
        <v>1183</v>
      </c>
      <c r="D264" s="43" t="s">
        <v>939</v>
      </c>
      <c r="E264" s="44" t="s">
        <v>1075</v>
      </c>
      <c r="F264" s="44" t="s">
        <v>33</v>
      </c>
      <c r="G264" s="44" t="s">
        <v>502</v>
      </c>
      <c r="H264" s="44" t="s">
        <v>120</v>
      </c>
      <c r="I264" s="44" t="s">
        <v>309</v>
      </c>
      <c r="J264" s="44"/>
      <c r="K264" s="56">
        <f>SUMIF('TB-Jan-25'!$A$12:$A$167,'Working-Jan-25'!C264,'TB-Jan-25'!$E$12:$E$167)</f>
        <v>0</v>
      </c>
      <c r="L264" s="56">
        <f>SUMIF('TB-Jan-25'!I:I,C264,'TB-Jan-25'!M:M)</f>
        <v>0</v>
      </c>
      <c r="M264" s="56">
        <f t="shared" si="6"/>
        <v>0</v>
      </c>
      <c r="N264" s="57">
        <f>IFERROR(VLOOKUP(C264,'[1]TB-Jun-24'!A:F,6,FALSE),0)</f>
        <v>0</v>
      </c>
      <c r="O264" s="35">
        <f>IFERROR(VLOOKUP(C264,'[1]TB-Jun-24'!I:N,6,FALSE),0)</f>
        <v>0</v>
      </c>
      <c r="Q264" s="35" t="s">
        <v>120</v>
      </c>
    </row>
    <row r="265" hidden="1" spans="2:17">
      <c r="B265" s="35">
        <f t="shared" si="8"/>
        <v>235</v>
      </c>
      <c r="C265" s="43" t="s">
        <v>803</v>
      </c>
      <c r="D265" s="43" t="s">
        <v>935</v>
      </c>
      <c r="E265" s="44" t="s">
        <v>580</v>
      </c>
      <c r="F265" s="44" t="s">
        <v>33</v>
      </c>
      <c r="G265" s="44" t="s">
        <v>618</v>
      </c>
      <c r="H265" s="44" t="s">
        <v>120</v>
      </c>
      <c r="I265" s="44" t="s">
        <v>309</v>
      </c>
      <c r="J265" s="44"/>
      <c r="K265" s="56">
        <f>SUMIF('TB-Jan-25'!$A$12:$A$167,'Working-Jan-25'!C265,'TB-Jan-25'!$E$12:$E$167)</f>
        <v>28054.35</v>
      </c>
      <c r="L265" s="56">
        <f>SUMIF('TB-Jan-25'!I:I,C265,'TB-Jan-25'!M:M)</f>
        <v>0</v>
      </c>
      <c r="M265" s="56">
        <f t="shared" si="6"/>
        <v>28054.35</v>
      </c>
      <c r="N265" s="57" t="e">
        <f>SUMIF([6]Final!$B:$B,C265,[6]Final!$F:$F)-M265</f>
        <v>#VALUE!</v>
      </c>
      <c r="O265" s="35">
        <f>IFERROR(VLOOKUP(C265,'[1]TB-Jun-24'!I:N,6,FALSE),0)</f>
        <v>0</v>
      </c>
      <c r="Q265" s="35" t="s">
        <v>120</v>
      </c>
    </row>
    <row r="266" hidden="1" spans="2:17">
      <c r="B266" s="35">
        <f t="shared" si="8"/>
        <v>236</v>
      </c>
      <c r="C266" s="43" t="s">
        <v>804</v>
      </c>
      <c r="D266" s="43" t="s">
        <v>935</v>
      </c>
      <c r="E266" s="44" t="s">
        <v>580</v>
      </c>
      <c r="F266" s="44" t="s">
        <v>33</v>
      </c>
      <c r="G266" s="44" t="s">
        <v>618</v>
      </c>
      <c r="H266" s="44" t="s">
        <v>120</v>
      </c>
      <c r="I266" s="44" t="s">
        <v>309</v>
      </c>
      <c r="J266" s="44"/>
      <c r="K266" s="56">
        <f>SUMIF('TB-Jan-25'!$A$12:$A$167,'Working-Jan-25'!C266,'TB-Jan-25'!$E$12:$E$167)</f>
        <v>22465.9</v>
      </c>
      <c r="L266" s="56">
        <f>SUMIF('TB-Jan-25'!I:I,C266,'TB-Jan-25'!M:M)</f>
        <v>0</v>
      </c>
      <c r="M266" s="56">
        <f t="shared" si="6"/>
        <v>22465.9</v>
      </c>
      <c r="N266" s="57" t="e">
        <f>SUMIF([6]Final!$B:$B,C266,[6]Final!$F:$F)-M266</f>
        <v>#VALUE!</v>
      </c>
      <c r="O266" s="35">
        <f>IFERROR(VLOOKUP(C266,'[1]TB-Jun-24'!I:N,6,FALSE),0)</f>
        <v>0</v>
      </c>
      <c r="Q266" s="35" t="s">
        <v>120</v>
      </c>
    </row>
    <row r="267" hidden="1" spans="2:17">
      <c r="B267" s="35">
        <f t="shared" si="8"/>
        <v>237</v>
      </c>
      <c r="C267" s="43" t="s">
        <v>1184</v>
      </c>
      <c r="D267" s="43" t="s">
        <v>935</v>
      </c>
      <c r="E267" s="44" t="s">
        <v>485</v>
      </c>
      <c r="F267" s="44" t="s">
        <v>33</v>
      </c>
      <c r="G267" s="44" t="s">
        <v>473</v>
      </c>
      <c r="H267" s="44" t="s">
        <v>33</v>
      </c>
      <c r="I267" s="44" t="s">
        <v>309</v>
      </c>
      <c r="J267" s="44"/>
      <c r="K267" s="56">
        <f>SUMIF('TB-Jan-25'!$A$12:$A$167,'Working-Jan-25'!C267,'TB-Jan-25'!$E$12:$E$167)</f>
        <v>0</v>
      </c>
      <c r="L267" s="56">
        <f>SUMIF('TB-Jan-25'!I:I,C267,'TB-Jan-25'!M:M)</f>
        <v>0</v>
      </c>
      <c r="M267" s="56">
        <f t="shared" si="6"/>
        <v>0</v>
      </c>
      <c r="N267" s="57">
        <f>IFERROR(VLOOKUP(C267,'[1]TB-Jun-24'!A:F,6,FALSE),0)</f>
        <v>0</v>
      </c>
      <c r="O267" s="35">
        <f>IFERROR(VLOOKUP(C267,'[1]TB-Jun-24'!I:N,6,FALSE),0)</f>
        <v>0</v>
      </c>
      <c r="Q267" s="35" t="s">
        <v>33</v>
      </c>
    </row>
    <row r="268" hidden="1" spans="2:17">
      <c r="B268" s="35">
        <f t="shared" si="8"/>
        <v>238</v>
      </c>
      <c r="C268" s="43" t="s">
        <v>1185</v>
      </c>
      <c r="D268" s="43" t="s">
        <v>935</v>
      </c>
      <c r="E268" s="44" t="s">
        <v>485</v>
      </c>
      <c r="F268" s="44" t="s">
        <v>33</v>
      </c>
      <c r="G268" s="44" t="s">
        <v>473</v>
      </c>
      <c r="H268" s="44" t="s">
        <v>33</v>
      </c>
      <c r="I268" s="44" t="s">
        <v>309</v>
      </c>
      <c r="J268" s="44"/>
      <c r="K268" s="56">
        <f>SUMIF('TB-Jan-25'!$A$12:$A$167,'Working-Jan-25'!C268,'TB-Jan-25'!$E$12:$E$167)</f>
        <v>0</v>
      </c>
      <c r="L268" s="56">
        <f>SUMIF('TB-Jan-25'!I:I,C268,'TB-Jan-25'!M:M)</f>
        <v>0</v>
      </c>
      <c r="M268" s="56">
        <f t="shared" si="6"/>
        <v>0</v>
      </c>
      <c r="N268" s="57">
        <f>IFERROR(VLOOKUP(C268,'[1]TB-Jun-24'!A:F,6,FALSE),0)</f>
        <v>0</v>
      </c>
      <c r="O268" s="35">
        <f>IFERROR(VLOOKUP(C268,'[1]TB-Jun-24'!I:N,6,FALSE),0)</f>
        <v>0</v>
      </c>
      <c r="Q268" s="35" t="s">
        <v>33</v>
      </c>
    </row>
    <row r="269" hidden="1" spans="2:17">
      <c r="B269" s="35">
        <f t="shared" si="8"/>
        <v>239</v>
      </c>
      <c r="C269" s="43" t="s">
        <v>821</v>
      </c>
      <c r="D269" s="43" t="s">
        <v>935</v>
      </c>
      <c r="E269" s="44" t="s">
        <v>485</v>
      </c>
      <c r="F269" s="44" t="s">
        <v>33</v>
      </c>
      <c r="G269" s="44" t="s">
        <v>473</v>
      </c>
      <c r="H269" s="44" t="s">
        <v>33</v>
      </c>
      <c r="I269" s="44" t="s">
        <v>309</v>
      </c>
      <c r="J269" s="44"/>
      <c r="K269" s="56">
        <f>SUMIF('TB-Jan-25'!$A$12:$A$167,'Working-Jan-25'!C269,'TB-Jan-25'!$E$12:$E$167)</f>
        <v>0</v>
      </c>
      <c r="L269" s="56">
        <f>SUMIF('TB-Jan-25'!I:I,C269,'TB-Jan-25'!M:M)</f>
        <v>53328</v>
      </c>
      <c r="M269" s="56">
        <f t="shared" si="6"/>
        <v>53328</v>
      </c>
      <c r="N269" s="57" t="e">
        <f>SUMIF([6]Final!$B:$B,C269,[6]Final!$F:$F)-M269</f>
        <v>#VALUE!</v>
      </c>
      <c r="O269" s="35">
        <f>IFERROR(VLOOKUP(C269,'[1]TB-Jun-24'!I:N,6,FALSE),0)</f>
        <v>0</v>
      </c>
      <c r="Q269" s="35" t="s">
        <v>33</v>
      </c>
    </row>
    <row r="270" hidden="1" spans="2:17">
      <c r="B270" s="35">
        <f t="shared" si="8"/>
        <v>240</v>
      </c>
      <c r="C270" s="43" t="s">
        <v>823</v>
      </c>
      <c r="D270" s="43" t="s">
        <v>935</v>
      </c>
      <c r="E270" s="44" t="s">
        <v>485</v>
      </c>
      <c r="F270" s="44" t="s">
        <v>33</v>
      </c>
      <c r="G270" s="44" t="s">
        <v>473</v>
      </c>
      <c r="H270" s="44" t="s">
        <v>33</v>
      </c>
      <c r="I270" s="44" t="s">
        <v>309</v>
      </c>
      <c r="J270" s="44"/>
      <c r="K270" s="56">
        <f>SUMIF('TB-Jan-25'!$A$12:$A$167,'Working-Jan-25'!C270,'TB-Jan-25'!$E$12:$E$167)</f>
        <v>0</v>
      </c>
      <c r="L270" s="56">
        <f>SUMIF('TB-Jan-25'!I:I,C270,'TB-Jan-25'!M:M)</f>
        <v>168892</v>
      </c>
      <c r="M270" s="56">
        <f t="shared" si="6"/>
        <v>168892</v>
      </c>
      <c r="N270" s="57" t="e">
        <f>SUMIF([6]Final!$B:$B,C270,[6]Final!$F:$F)-M270</f>
        <v>#VALUE!</v>
      </c>
      <c r="O270" s="35">
        <f>IFERROR(VLOOKUP(C270,'[1]TB-Jun-24'!I:N,6,FALSE),0)</f>
        <v>0</v>
      </c>
      <c r="Q270" s="35" t="s">
        <v>33</v>
      </c>
    </row>
    <row r="271" hidden="1" spans="2:17">
      <c r="B271" s="35">
        <f t="shared" si="8"/>
        <v>241</v>
      </c>
      <c r="C271" s="43" t="s">
        <v>825</v>
      </c>
      <c r="D271" s="43" t="s">
        <v>935</v>
      </c>
      <c r="E271" s="44" t="s">
        <v>485</v>
      </c>
      <c r="F271" s="44" t="s">
        <v>33</v>
      </c>
      <c r="G271" s="44" t="s">
        <v>473</v>
      </c>
      <c r="H271" s="44" t="s">
        <v>33</v>
      </c>
      <c r="I271" s="44" t="s">
        <v>309</v>
      </c>
      <c r="J271" s="44"/>
      <c r="K271" s="56">
        <f>SUMIF('TB-Jan-25'!$A$12:$A$167,'Working-Jan-25'!C271,'TB-Jan-25'!$E$12:$E$167)</f>
        <v>0</v>
      </c>
      <c r="L271" s="56">
        <f>SUMIF('TB-Jan-25'!I:I,C271,'TB-Jan-25'!M:M)</f>
        <v>61865</v>
      </c>
      <c r="M271" s="56">
        <f t="shared" si="6"/>
        <v>61865</v>
      </c>
      <c r="N271" s="57" t="e">
        <f>SUMIF([6]Final!$B:$B,C271,[6]Final!$F:$F)-M271</f>
        <v>#VALUE!</v>
      </c>
      <c r="O271" s="35">
        <f>IFERROR(VLOOKUP(C271,'[1]TB-Jun-24'!I:N,6,FALSE),0)</f>
        <v>0</v>
      </c>
      <c r="Q271" s="35" t="s">
        <v>33</v>
      </c>
    </row>
    <row r="272" hidden="1" spans="2:17">
      <c r="B272" s="35">
        <f t="shared" si="8"/>
        <v>242</v>
      </c>
      <c r="C272" s="43" t="s">
        <v>1186</v>
      </c>
      <c r="D272" s="43" t="s">
        <v>935</v>
      </c>
      <c r="E272" s="44" t="s">
        <v>485</v>
      </c>
      <c r="F272" s="44" t="s">
        <v>33</v>
      </c>
      <c r="G272" s="44" t="s">
        <v>473</v>
      </c>
      <c r="H272" s="44" t="s">
        <v>33</v>
      </c>
      <c r="I272" s="44" t="s">
        <v>309</v>
      </c>
      <c r="J272" s="44"/>
      <c r="K272" s="56">
        <f>SUMIF('TB-Jan-25'!$A$12:$A$167,'Working-Jan-25'!C272,'TB-Jan-25'!$E$12:$E$167)</f>
        <v>0</v>
      </c>
      <c r="L272" s="56">
        <f>SUMIF('TB-Jan-25'!I:I,C272,'TB-Jan-25'!M:M)</f>
        <v>0</v>
      </c>
      <c r="M272" s="56">
        <f t="shared" si="6"/>
        <v>0</v>
      </c>
      <c r="N272" s="57">
        <f>IFERROR(VLOOKUP(C272,'[1]TB-Jun-24'!A:F,6,FALSE),0)</f>
        <v>0</v>
      </c>
      <c r="O272" s="35">
        <f>IFERROR(VLOOKUP(C272,'[1]TB-Jun-24'!I:N,6,FALSE),0)</f>
        <v>0</v>
      </c>
      <c r="Q272" s="35" t="s">
        <v>33</v>
      </c>
    </row>
    <row r="273" hidden="1" spans="2:17">
      <c r="B273" s="35">
        <f>+B271+1</f>
        <v>242</v>
      </c>
      <c r="C273" s="43" t="s">
        <v>827</v>
      </c>
      <c r="D273" s="43" t="s">
        <v>939</v>
      </c>
      <c r="E273" s="44" t="s">
        <v>1075</v>
      </c>
      <c r="F273" s="44" t="s">
        <v>33</v>
      </c>
      <c r="G273" s="44" t="s">
        <v>502</v>
      </c>
      <c r="H273" s="44" t="s">
        <v>120</v>
      </c>
      <c r="I273" s="44" t="s">
        <v>309</v>
      </c>
      <c r="J273" s="44"/>
      <c r="K273" s="56">
        <f>SUMIF('TB-Jan-25'!$A$12:$A$167,'Working-Jan-25'!C273,'TB-Jan-25'!$E$12:$E$167)</f>
        <v>0</v>
      </c>
      <c r="L273" s="56">
        <f>SUMIF('TB-Jan-25'!I:I,C273,'TB-Jan-25'!M:M)</f>
        <v>1500</v>
      </c>
      <c r="M273" s="56">
        <f t="shared" si="6"/>
        <v>1500</v>
      </c>
      <c r="N273" s="57" t="e">
        <f>SUMIF([6]Final!$B:$B,C273,[6]Final!$F:$F)-M273</f>
        <v>#VALUE!</v>
      </c>
      <c r="O273" s="35">
        <f>IFERROR(VLOOKUP(C273,'[1]TB-Jun-24'!I:N,6,FALSE),0)</f>
        <v>750</v>
      </c>
      <c r="Q273" s="35" t="s">
        <v>120</v>
      </c>
    </row>
    <row r="274" hidden="1" spans="2:17">
      <c r="B274" s="35">
        <f t="shared" ref="B274:B337" si="9">+B273+1</f>
        <v>243</v>
      </c>
      <c r="C274" s="43" t="s">
        <v>1187</v>
      </c>
      <c r="D274" s="43" t="s">
        <v>939</v>
      </c>
      <c r="E274" s="44" t="s">
        <v>1075</v>
      </c>
      <c r="F274" s="44" t="s">
        <v>33</v>
      </c>
      <c r="G274" s="44" t="s">
        <v>502</v>
      </c>
      <c r="H274" s="44" t="s">
        <v>120</v>
      </c>
      <c r="I274" s="44" t="s">
        <v>309</v>
      </c>
      <c r="J274" s="44"/>
      <c r="K274" s="56">
        <f>SUMIF('TB-Jan-25'!$A$12:$A$167,'Working-Jan-25'!C274,'TB-Jan-25'!$E$12:$E$167)</f>
        <v>0</v>
      </c>
      <c r="L274" s="56">
        <f>SUMIF('TB-Jan-25'!I:I,C274,'TB-Jan-25'!M:M)</f>
        <v>0</v>
      </c>
      <c r="M274" s="56">
        <f t="shared" si="6"/>
        <v>0</v>
      </c>
      <c r="N274" s="57">
        <f>IFERROR(VLOOKUP(C274,'[1]TB-Jun-24'!A:F,6,FALSE),0)</f>
        <v>0</v>
      </c>
      <c r="O274" s="35">
        <f>IFERROR(VLOOKUP(C274,'[1]TB-Jun-24'!I:N,6,FALSE),0)</f>
        <v>0</v>
      </c>
      <c r="Q274" s="35" t="s">
        <v>120</v>
      </c>
    </row>
    <row r="275" hidden="1" spans="2:17">
      <c r="B275" s="35">
        <f t="shared" si="9"/>
        <v>244</v>
      </c>
      <c r="C275" s="43" t="s">
        <v>806</v>
      </c>
      <c r="D275" s="43" t="s">
        <v>935</v>
      </c>
      <c r="E275" s="44" t="s">
        <v>485</v>
      </c>
      <c r="F275" s="44" t="s">
        <v>33</v>
      </c>
      <c r="G275" s="44" t="s">
        <v>473</v>
      </c>
      <c r="H275" s="44" t="s">
        <v>33</v>
      </c>
      <c r="I275" s="44" t="s">
        <v>309</v>
      </c>
      <c r="J275" s="44"/>
      <c r="K275" s="56">
        <f>SUMIF('TB-Jan-25'!$A$12:$A$167,'Working-Jan-25'!C275,'TB-Jan-25'!$E$12:$E$167)</f>
        <v>-29084.92</v>
      </c>
      <c r="L275" s="56">
        <f>SUMIF('TB-Jan-25'!I:I,C275,'TB-Jan-25'!M:M)</f>
        <v>0</v>
      </c>
      <c r="M275" s="56">
        <f t="shared" si="6"/>
        <v>-29084.92</v>
      </c>
      <c r="N275" s="57" t="e">
        <f>SUMIF([6]Final!$B:$B,C275,[6]Final!$F:$F)-M275</f>
        <v>#VALUE!</v>
      </c>
      <c r="O275" s="35">
        <f>IFERROR(VLOOKUP(C275,'[1]TB-Jun-24'!I:N,6,FALSE),0)</f>
        <v>0</v>
      </c>
      <c r="Q275" s="35" t="s">
        <v>33</v>
      </c>
    </row>
    <row r="276" hidden="1" spans="2:17">
      <c r="B276" s="35">
        <f t="shared" si="9"/>
        <v>245</v>
      </c>
      <c r="C276" s="43" t="s">
        <v>1188</v>
      </c>
      <c r="D276" s="43" t="s">
        <v>935</v>
      </c>
      <c r="E276" s="44" t="s">
        <v>485</v>
      </c>
      <c r="F276" s="44" t="s">
        <v>33</v>
      </c>
      <c r="G276" s="44" t="s">
        <v>473</v>
      </c>
      <c r="H276" s="44" t="s">
        <v>33</v>
      </c>
      <c r="I276" s="44" t="s">
        <v>309</v>
      </c>
      <c r="J276" s="44"/>
      <c r="K276" s="56">
        <f>SUMIF('TB-Jan-25'!$A$12:$A$167,'Working-Jan-25'!C276,'TB-Jan-25'!$E$12:$E$167)</f>
        <v>0</v>
      </c>
      <c r="L276" s="56">
        <f>SUMIF('TB-Jan-25'!I:I,C276,'TB-Jan-25'!M:M)</f>
        <v>0</v>
      </c>
      <c r="M276" s="56">
        <f t="shared" si="6"/>
        <v>0</v>
      </c>
      <c r="N276" s="57">
        <f>IFERROR(VLOOKUP(C276,'[1]TB-Jun-24'!A:F,6,FALSE),0)</f>
        <v>0</v>
      </c>
      <c r="O276" s="35">
        <f>IFERROR(VLOOKUP(C276,'[1]TB-Jun-24'!I:N,6,FALSE),0)</f>
        <v>0</v>
      </c>
      <c r="Q276" s="35" t="s">
        <v>33</v>
      </c>
    </row>
    <row r="277" hidden="1" spans="2:17">
      <c r="B277" s="35">
        <f t="shared" si="9"/>
        <v>246</v>
      </c>
      <c r="C277" s="43" t="s">
        <v>808</v>
      </c>
      <c r="D277" s="43" t="s">
        <v>935</v>
      </c>
      <c r="E277" s="44" t="s">
        <v>485</v>
      </c>
      <c r="F277" s="44" t="s">
        <v>33</v>
      </c>
      <c r="G277" s="44" t="s">
        <v>535</v>
      </c>
      <c r="H277" s="44" t="s">
        <v>33</v>
      </c>
      <c r="I277" s="44" t="s">
        <v>309</v>
      </c>
      <c r="J277" s="44"/>
      <c r="K277" s="56">
        <f>SUMIF('TB-Jan-25'!$A$12:$A$167,'Working-Jan-25'!C277,'TB-Jan-25'!$E$12:$E$167)</f>
        <v>14008.5</v>
      </c>
      <c r="L277" s="56">
        <f>SUMIF('TB-Jan-25'!I:I,C277,'TB-Jan-25'!M:M)</f>
        <v>0</v>
      </c>
      <c r="M277" s="56">
        <f t="shared" si="6"/>
        <v>14008.5</v>
      </c>
      <c r="N277" s="57" t="e">
        <f>SUMIF([6]Final!$B:$B,C277,[6]Final!$F:$F)-M277</f>
        <v>#VALUE!</v>
      </c>
      <c r="O277" s="35">
        <f>IFERROR(VLOOKUP(C277,'[1]TB-Jun-24'!I:N,6,FALSE),0)</f>
        <v>0</v>
      </c>
      <c r="Q277" s="35" t="s">
        <v>33</v>
      </c>
    </row>
    <row r="278" hidden="1" spans="2:17">
      <c r="B278" s="35">
        <f t="shared" si="9"/>
        <v>247</v>
      </c>
      <c r="C278" s="43" t="s">
        <v>1189</v>
      </c>
      <c r="D278" s="43" t="s">
        <v>935</v>
      </c>
      <c r="E278" s="44" t="s">
        <v>485</v>
      </c>
      <c r="F278" s="44" t="s">
        <v>33</v>
      </c>
      <c r="G278" s="44" t="s">
        <v>473</v>
      </c>
      <c r="H278" s="44" t="s">
        <v>33</v>
      </c>
      <c r="I278" s="44" t="s">
        <v>309</v>
      </c>
      <c r="J278" s="44"/>
      <c r="K278" s="56">
        <f>SUMIF('TB-Jan-25'!$A$12:$A$167,'Working-Jan-25'!C278,'TB-Jan-25'!$E$12:$E$167)</f>
        <v>0</v>
      </c>
      <c r="L278" s="56">
        <f>SUMIF('TB-Jan-25'!I:I,C278,'TB-Jan-25'!M:M)</f>
        <v>0</v>
      </c>
      <c r="M278" s="56">
        <f t="shared" si="6"/>
        <v>0</v>
      </c>
      <c r="N278" s="57">
        <f>IFERROR(VLOOKUP(C278,'[1]TB-Jun-24'!A:F,6,FALSE),0)</f>
        <v>0</v>
      </c>
      <c r="O278" s="35">
        <f>IFERROR(VLOOKUP(C278,'[1]TB-Jun-24'!I:N,6,FALSE),0)</f>
        <v>0</v>
      </c>
      <c r="Q278" s="35" t="s">
        <v>33</v>
      </c>
    </row>
    <row r="279" hidden="1" spans="2:17">
      <c r="B279" s="35">
        <f t="shared" si="9"/>
        <v>248</v>
      </c>
      <c r="C279" s="43" t="s">
        <v>810</v>
      </c>
      <c r="D279" s="43" t="s">
        <v>935</v>
      </c>
      <c r="E279" s="44" t="s">
        <v>485</v>
      </c>
      <c r="F279" s="44" t="s">
        <v>33</v>
      </c>
      <c r="G279" s="44" t="s">
        <v>473</v>
      </c>
      <c r="H279" s="44" t="s">
        <v>33</v>
      </c>
      <c r="I279" s="44" t="s">
        <v>309</v>
      </c>
      <c r="J279" s="44"/>
      <c r="K279" s="56">
        <f>SUMIF('TB-Jan-25'!$A$12:$A$167,'Working-Jan-25'!C279,'TB-Jan-25'!$E$12:$E$167)</f>
        <v>296966.16</v>
      </c>
      <c r="L279" s="56">
        <f>SUMIF('TB-Jan-25'!I:I,C279,'TB-Jan-25'!M:M)</f>
        <v>-115169</v>
      </c>
      <c r="M279" s="56">
        <f t="shared" si="6"/>
        <v>181797.16</v>
      </c>
      <c r="N279" s="57" t="e">
        <f>SUMIF([6]Final!$B:$B,C279,[6]Final!$F:$F)-M279</f>
        <v>#VALUE!</v>
      </c>
      <c r="O279" s="35">
        <f>IFERROR(VLOOKUP(C279,'[1]TB-Jun-24'!I:N,6,FALSE),0)</f>
        <v>149426</v>
      </c>
      <c r="Q279" s="35" t="s">
        <v>33</v>
      </c>
    </row>
    <row r="280" hidden="1" spans="2:17">
      <c r="B280" s="35">
        <f t="shared" si="9"/>
        <v>249</v>
      </c>
      <c r="C280" s="43" t="s">
        <v>811</v>
      </c>
      <c r="D280" s="43" t="s">
        <v>935</v>
      </c>
      <c r="E280" s="44" t="s">
        <v>485</v>
      </c>
      <c r="F280" s="44" t="s">
        <v>33</v>
      </c>
      <c r="G280" s="44" t="s">
        <v>473</v>
      </c>
      <c r="H280" s="44" t="s">
        <v>33</v>
      </c>
      <c r="I280" s="44" t="s">
        <v>309</v>
      </c>
      <c r="J280" s="44"/>
      <c r="K280" s="56">
        <f>SUMIF('TB-Jan-25'!$A$12:$A$167,'Working-Jan-25'!C280,'TB-Jan-25'!$E$12:$E$167)</f>
        <v>12814.04</v>
      </c>
      <c r="L280" s="56">
        <f>SUMIF('TB-Jan-25'!I:I,C280,'TB-Jan-25'!M:M)</f>
        <v>0</v>
      </c>
      <c r="M280" s="56">
        <f t="shared" si="6"/>
        <v>12814.04</v>
      </c>
      <c r="N280" s="57" t="e">
        <f>SUMIF([6]Final!$B:$B,C280,[6]Final!$F:$F)-M280</f>
        <v>#VALUE!</v>
      </c>
      <c r="O280" s="35">
        <f>IFERROR(VLOOKUP(C280,'[1]TB-Jun-24'!I:N,6,FALSE),0)</f>
        <v>0</v>
      </c>
      <c r="Q280" s="35" t="s">
        <v>33</v>
      </c>
    </row>
    <row r="281" hidden="1" spans="2:17">
      <c r="B281" s="35">
        <f t="shared" si="9"/>
        <v>250</v>
      </c>
      <c r="C281" s="43" t="s">
        <v>813</v>
      </c>
      <c r="D281" s="43" t="s">
        <v>935</v>
      </c>
      <c r="E281" s="44" t="s">
        <v>485</v>
      </c>
      <c r="F281" s="44" t="s">
        <v>33</v>
      </c>
      <c r="G281" s="44" t="s">
        <v>473</v>
      </c>
      <c r="H281" s="44" t="s">
        <v>33</v>
      </c>
      <c r="I281" s="44" t="s">
        <v>309</v>
      </c>
      <c r="J281" s="44"/>
      <c r="K281" s="56">
        <f>SUMIF('TB-Jan-25'!$A$12:$A$167,'Working-Jan-25'!C281,'TB-Jan-25'!$E$12:$E$167)</f>
        <v>33631.61</v>
      </c>
      <c r="L281" s="56">
        <f>SUMIF('TB-Jan-25'!I:I,C281,'TB-Jan-25'!M:M)</f>
        <v>-6583</v>
      </c>
      <c r="M281" s="56">
        <f t="shared" si="6"/>
        <v>27048.61</v>
      </c>
      <c r="N281" s="57" t="e">
        <f>SUMIF([6]Final!$B:$B,C281,[6]Final!$F:$F)-M281</f>
        <v>#VALUE!</v>
      </c>
      <c r="O281" s="35">
        <f>IFERROR(VLOOKUP(C281,'[1]TB-Jun-24'!I:N,6,FALSE),0)</f>
        <v>-7673</v>
      </c>
      <c r="Q281" s="35" t="s">
        <v>33</v>
      </c>
    </row>
    <row r="282" hidden="1" spans="2:17">
      <c r="B282" s="35">
        <f t="shared" si="9"/>
        <v>251</v>
      </c>
      <c r="C282" s="43" t="s">
        <v>816</v>
      </c>
      <c r="D282" s="43" t="s">
        <v>935</v>
      </c>
      <c r="E282" s="44" t="s">
        <v>485</v>
      </c>
      <c r="F282" s="44" t="s">
        <v>33</v>
      </c>
      <c r="G282" s="44" t="s">
        <v>1190</v>
      </c>
      <c r="H282" s="44" t="s">
        <v>121</v>
      </c>
      <c r="I282" s="44" t="s">
        <v>309</v>
      </c>
      <c r="J282" s="44"/>
      <c r="K282" s="56">
        <f>SUMIF('TB-Jan-25'!$A$12:$A$167,'Working-Jan-25'!C282,'TB-Jan-25'!$E$12:$E$167)</f>
        <v>292268.68</v>
      </c>
      <c r="L282" s="56">
        <f>SUMIF('TB-Jan-25'!I:I,C282,'TB-Jan-25'!M:M)</f>
        <v>-292269</v>
      </c>
      <c r="M282" s="56">
        <f t="shared" ref="M282:M349" si="10">K282+L282</f>
        <v>-0.320000000006985</v>
      </c>
      <c r="N282" s="57">
        <f>IFERROR(VLOOKUP(C282,'[1]TB-Jun-24'!A:F,6,FALSE),0)</f>
        <v>345512.89</v>
      </c>
      <c r="O282" s="35">
        <f>IFERROR(VLOOKUP(C282,'[1]TB-Jun-24'!I:N,6,FALSE),0)</f>
        <v>0</v>
      </c>
      <c r="Q282" s="35" t="s">
        <v>121</v>
      </c>
    </row>
    <row r="283" hidden="1" spans="2:17">
      <c r="B283" s="35">
        <f t="shared" si="9"/>
        <v>252</v>
      </c>
      <c r="C283" s="43" t="s">
        <v>814</v>
      </c>
      <c r="D283" s="43" t="s">
        <v>935</v>
      </c>
      <c r="E283" s="44" t="s">
        <v>485</v>
      </c>
      <c r="F283" s="44" t="s">
        <v>33</v>
      </c>
      <c r="G283" s="44" t="s">
        <v>1190</v>
      </c>
      <c r="H283" s="44" t="s">
        <v>121</v>
      </c>
      <c r="I283" s="44" t="s">
        <v>309</v>
      </c>
      <c r="J283" s="44"/>
      <c r="K283" s="56">
        <f>SUMIF('TB-Jan-25'!$A$12:$A$167,'Working-Jan-25'!C283,'TB-Jan-25'!$E$12:$E$167)</f>
        <v>263466.25</v>
      </c>
      <c r="L283" s="56">
        <f>SUMIF('TB-Jan-25'!I:I,C283,'TB-Jan-25'!M:M)</f>
        <v>-263466</v>
      </c>
      <c r="M283" s="56">
        <f t="shared" si="10"/>
        <v>0.25</v>
      </c>
      <c r="N283" s="57">
        <f>IFERROR(VLOOKUP(C283,'[1]TB-Jun-24'!A:F,6,FALSE),0)</f>
        <v>299256.01</v>
      </c>
      <c r="O283" s="35">
        <f>IFERROR(VLOOKUP(C283,'[1]TB-Jun-24'!I:N,6,FALSE),0)</f>
        <v>0</v>
      </c>
      <c r="Q283" s="35" t="s">
        <v>121</v>
      </c>
    </row>
    <row r="284" hidden="1" spans="2:17">
      <c r="B284" s="35">
        <f t="shared" si="9"/>
        <v>253</v>
      </c>
      <c r="C284" s="43" t="s">
        <v>1191</v>
      </c>
      <c r="D284" s="43" t="s">
        <v>935</v>
      </c>
      <c r="E284" s="44" t="s">
        <v>485</v>
      </c>
      <c r="F284" s="44" t="s">
        <v>33</v>
      </c>
      <c r="G284" s="44" t="s">
        <v>473</v>
      </c>
      <c r="H284" s="44" t="s">
        <v>33</v>
      </c>
      <c r="I284" s="44" t="s">
        <v>309</v>
      </c>
      <c r="J284" s="44"/>
      <c r="K284" s="56">
        <f>SUMIF('TB-Jan-25'!$A$12:$A$167,'Working-Jan-25'!C284,'TB-Jan-25'!$E$12:$E$167)</f>
        <v>0</v>
      </c>
      <c r="L284" s="56">
        <f>SUMIF('TB-Jan-25'!I:I,C284,'TB-Jan-25'!M:M)</f>
        <v>0</v>
      </c>
      <c r="M284" s="56">
        <f t="shared" si="10"/>
        <v>0</v>
      </c>
      <c r="N284" s="57">
        <f>IFERROR(VLOOKUP(C284,'[1]TB-Jun-24'!A:F,6,FALSE),0)</f>
        <v>1867.55</v>
      </c>
      <c r="O284" s="35">
        <f>IFERROR(VLOOKUP(C284,'[1]TB-Jun-24'!I:N,6,FALSE),0)</f>
        <v>0</v>
      </c>
      <c r="Q284" s="35" t="s">
        <v>33</v>
      </c>
    </row>
    <row r="285" hidden="1" spans="2:17">
      <c r="B285" s="35">
        <f t="shared" si="9"/>
        <v>254</v>
      </c>
      <c r="C285" s="43" t="s">
        <v>1192</v>
      </c>
      <c r="D285" s="43" t="s">
        <v>935</v>
      </c>
      <c r="E285" s="44" t="s">
        <v>485</v>
      </c>
      <c r="F285" s="44" t="s">
        <v>33</v>
      </c>
      <c r="G285" s="44" t="s">
        <v>473</v>
      </c>
      <c r="H285" s="44" t="s">
        <v>33</v>
      </c>
      <c r="I285" s="44" t="s">
        <v>309</v>
      </c>
      <c r="J285" s="44"/>
      <c r="K285" s="56">
        <f>SUMIF('TB-Jan-25'!$A$12:$A$167,'Working-Jan-25'!C285,'TB-Jan-25'!$E$12:$E$167)</f>
        <v>0</v>
      </c>
      <c r="L285" s="56">
        <f>SUMIF('TB-Jan-25'!I:I,C285,'TB-Jan-25'!M:M)</f>
        <v>0</v>
      </c>
      <c r="M285" s="56">
        <f t="shared" si="10"/>
        <v>0</v>
      </c>
      <c r="N285" s="57">
        <f>IFERROR(VLOOKUP(C285,'[1]TB-Jun-24'!A:F,6,FALSE),0)</f>
        <v>0</v>
      </c>
      <c r="O285" s="35">
        <f>IFERROR(VLOOKUP(C285,'[1]TB-Jun-24'!I:N,6,FALSE),0)</f>
        <v>0</v>
      </c>
      <c r="Q285" s="35" t="s">
        <v>33</v>
      </c>
    </row>
    <row r="286" hidden="1" spans="2:17">
      <c r="B286" s="35">
        <f t="shared" si="9"/>
        <v>255</v>
      </c>
      <c r="C286" s="43" t="s">
        <v>1193</v>
      </c>
      <c r="D286" s="43" t="s">
        <v>939</v>
      </c>
      <c r="E286" s="44" t="s">
        <v>1075</v>
      </c>
      <c r="F286" s="44" t="s">
        <v>33</v>
      </c>
      <c r="G286" s="44" t="s">
        <v>502</v>
      </c>
      <c r="H286" s="44" t="s">
        <v>120</v>
      </c>
      <c r="I286" s="44" t="s">
        <v>309</v>
      </c>
      <c r="J286" s="44"/>
      <c r="K286" s="56">
        <f>SUMIF('TB-Jan-25'!$A$12:$A$167,'Working-Jan-25'!C286,'TB-Jan-25'!$E$12:$E$167)</f>
        <v>0</v>
      </c>
      <c r="L286" s="56">
        <f>SUMIF('TB-Jan-25'!I:I,C286,'TB-Jan-25'!M:M)</f>
        <v>0</v>
      </c>
      <c r="M286" s="56">
        <f t="shared" si="10"/>
        <v>0</v>
      </c>
      <c r="N286" s="57">
        <f>IFERROR(VLOOKUP(C286,'[1]TB-Jun-24'!A:F,6,FALSE),0)</f>
        <v>0</v>
      </c>
      <c r="O286" s="35">
        <f>IFERROR(VLOOKUP(C286,'[1]TB-Jun-24'!I:N,6,FALSE),0)</f>
        <v>0</v>
      </c>
      <c r="Q286" s="35" t="s">
        <v>120</v>
      </c>
    </row>
    <row r="287" hidden="1" spans="2:17">
      <c r="B287" s="35">
        <f t="shared" si="9"/>
        <v>256</v>
      </c>
      <c r="C287" s="43" t="s">
        <v>1194</v>
      </c>
      <c r="D287" s="43" t="s">
        <v>935</v>
      </c>
      <c r="E287" s="44" t="s">
        <v>485</v>
      </c>
      <c r="F287" s="44" t="s">
        <v>33</v>
      </c>
      <c r="G287" s="44" t="s">
        <v>473</v>
      </c>
      <c r="H287" s="44" t="s">
        <v>33</v>
      </c>
      <c r="I287" s="44" t="s">
        <v>309</v>
      </c>
      <c r="J287" s="44"/>
      <c r="K287" s="56">
        <f>SUMIF('TB-Jan-25'!$A$12:$A$167,'Working-Jan-25'!C287,'TB-Jan-25'!$E$12:$E$167)</f>
        <v>0</v>
      </c>
      <c r="L287" s="56">
        <f>SUMIF('TB-Jan-25'!I:I,C287,'TB-Jan-25'!M:M)</f>
        <v>0</v>
      </c>
      <c r="M287" s="56">
        <f t="shared" si="10"/>
        <v>0</v>
      </c>
      <c r="N287" s="57">
        <f>IFERROR(VLOOKUP(C287,'[1]TB-Jun-24'!A:F,6,FALSE),0)</f>
        <v>0</v>
      </c>
      <c r="O287" s="35">
        <f>IFERROR(VLOOKUP(C287,'[1]TB-Jun-24'!I:N,6,FALSE),0)</f>
        <v>0</v>
      </c>
      <c r="Q287" s="35" t="s">
        <v>33</v>
      </c>
    </row>
    <row r="288" hidden="1" spans="2:17">
      <c r="B288" s="35">
        <f t="shared" si="9"/>
        <v>257</v>
      </c>
      <c r="C288" s="43" t="s">
        <v>1195</v>
      </c>
      <c r="D288" s="43" t="s">
        <v>939</v>
      </c>
      <c r="E288" s="44" t="s">
        <v>1075</v>
      </c>
      <c r="F288" s="44" t="s">
        <v>33</v>
      </c>
      <c r="G288" s="44" t="s">
        <v>502</v>
      </c>
      <c r="H288" s="44" t="s">
        <v>120</v>
      </c>
      <c r="I288" s="44" t="s">
        <v>309</v>
      </c>
      <c r="J288" s="44"/>
      <c r="K288" s="56">
        <f>SUMIF('TB-Jan-25'!$A$12:$A$167,'Working-Jan-25'!C288,'TB-Jan-25'!$E$12:$E$167)</f>
        <v>0</v>
      </c>
      <c r="L288" s="56">
        <f>SUMIF('TB-Jan-25'!I:I,C288,'TB-Jan-25'!M:M)</f>
        <v>0</v>
      </c>
      <c r="M288" s="56">
        <f t="shared" si="10"/>
        <v>0</v>
      </c>
      <c r="N288" s="57">
        <f>IFERROR(VLOOKUP(C288,'[1]TB-Jun-24'!A:F,6,FALSE),0)</f>
        <v>0</v>
      </c>
      <c r="O288" s="35">
        <f>IFERROR(VLOOKUP(C288,'[1]TB-Jun-24'!I:N,6,FALSE),0)</f>
        <v>0</v>
      </c>
      <c r="Q288" s="35" t="s">
        <v>120</v>
      </c>
    </row>
    <row r="289" hidden="1" spans="2:17">
      <c r="B289" s="35">
        <f t="shared" si="9"/>
        <v>258</v>
      </c>
      <c r="C289" s="43" t="s">
        <v>1196</v>
      </c>
      <c r="D289" s="43" t="s">
        <v>939</v>
      </c>
      <c r="E289" s="44" t="s">
        <v>1075</v>
      </c>
      <c r="F289" s="44" t="s">
        <v>33</v>
      </c>
      <c r="G289" s="44" t="s">
        <v>502</v>
      </c>
      <c r="H289" s="44" t="s">
        <v>120</v>
      </c>
      <c r="I289" s="44" t="s">
        <v>309</v>
      </c>
      <c r="J289" s="44"/>
      <c r="K289" s="56">
        <f>SUMIF('TB-Jan-25'!$A$12:$A$167,'Working-Jan-25'!C289,'TB-Jan-25'!$E$12:$E$167)</f>
        <v>0</v>
      </c>
      <c r="L289" s="56">
        <f>SUMIF('TB-Jan-25'!I:I,C289,'TB-Jan-25'!M:M)</f>
        <v>0</v>
      </c>
      <c r="M289" s="56">
        <f t="shared" si="10"/>
        <v>0</v>
      </c>
      <c r="N289" s="57">
        <f>IFERROR(VLOOKUP(C289,'[1]TB-Jun-24'!A:F,6,FALSE),0)</f>
        <v>0</v>
      </c>
      <c r="O289" s="35">
        <f>IFERROR(VLOOKUP(C289,'[1]TB-Jun-24'!I:N,6,FALSE),0)</f>
        <v>0</v>
      </c>
      <c r="Q289" s="35" t="s">
        <v>120</v>
      </c>
    </row>
    <row r="290" hidden="1" spans="2:17">
      <c r="B290" s="35">
        <f t="shared" si="9"/>
        <v>259</v>
      </c>
      <c r="C290" s="43" t="s">
        <v>1197</v>
      </c>
      <c r="D290" s="43" t="s">
        <v>939</v>
      </c>
      <c r="E290" s="44" t="s">
        <v>1070</v>
      </c>
      <c r="F290" s="44" t="s">
        <v>33</v>
      </c>
      <c r="G290" s="44" t="s">
        <v>548</v>
      </c>
      <c r="H290" s="44" t="s">
        <v>33</v>
      </c>
      <c r="I290" s="44" t="s">
        <v>309</v>
      </c>
      <c r="J290" s="44"/>
      <c r="K290" s="56">
        <f>SUMIF('TB-Jan-25'!$A$12:$A$167,'Working-Jan-25'!C290,'TB-Jan-25'!$E$12:$E$167)</f>
        <v>0</v>
      </c>
      <c r="L290" s="56">
        <f>SUMIF('TB-Jan-25'!I:I,C290,'TB-Jan-25'!M:M)</f>
        <v>0</v>
      </c>
      <c r="M290" s="56">
        <f t="shared" si="10"/>
        <v>0</v>
      </c>
      <c r="N290" s="57">
        <f>IFERROR(VLOOKUP(C290,'[1]TB-Jun-24'!A:F,6,FALSE),0)</f>
        <v>0</v>
      </c>
      <c r="O290" s="35">
        <f>IFERROR(VLOOKUP(C290,'[1]TB-Jun-24'!I:N,6,FALSE),0)</f>
        <v>0</v>
      </c>
      <c r="Q290" s="35" t="s">
        <v>33</v>
      </c>
    </row>
    <row r="291" hidden="1" spans="2:17">
      <c r="B291" s="35">
        <f t="shared" si="9"/>
        <v>260</v>
      </c>
      <c r="C291" s="43" t="s">
        <v>1198</v>
      </c>
      <c r="D291" s="43" t="s">
        <v>939</v>
      </c>
      <c r="E291" s="44" t="s">
        <v>1199</v>
      </c>
      <c r="F291" s="44" t="s">
        <v>33</v>
      </c>
      <c r="G291" s="44" t="s">
        <v>548</v>
      </c>
      <c r="H291" s="44" t="s">
        <v>33</v>
      </c>
      <c r="I291" s="44" t="s">
        <v>309</v>
      </c>
      <c r="J291" s="44"/>
      <c r="K291" s="56">
        <f>SUMIF('TB-Jan-25'!$A$12:$A$167,'Working-Jan-25'!C291,'TB-Jan-25'!$E$12:$E$167)</f>
        <v>0</v>
      </c>
      <c r="L291" s="56">
        <f>SUMIF('TB-Jan-25'!I:I,C291,'TB-Jan-25'!M:M)</f>
        <v>0</v>
      </c>
      <c r="M291" s="56">
        <f t="shared" si="10"/>
        <v>0</v>
      </c>
      <c r="N291" s="57">
        <f>IFERROR(VLOOKUP(C291,'[1]TB-Jun-24'!A:F,6,FALSE),0)</f>
        <v>0</v>
      </c>
      <c r="O291" s="35">
        <f>IFERROR(VLOOKUP(C291,'[1]TB-Jun-24'!I:N,6,FALSE),0)</f>
        <v>0</v>
      </c>
      <c r="Q291" s="35" t="s">
        <v>33</v>
      </c>
    </row>
    <row r="292" hidden="1" spans="2:17">
      <c r="B292" s="35">
        <f t="shared" si="9"/>
        <v>261</v>
      </c>
      <c r="C292" s="43" t="s">
        <v>568</v>
      </c>
      <c r="D292" s="43" t="s">
        <v>939</v>
      </c>
      <c r="E292" s="44" t="s">
        <v>1200</v>
      </c>
      <c r="F292" s="44" t="s">
        <v>33</v>
      </c>
      <c r="G292" s="44" t="s">
        <v>483</v>
      </c>
      <c r="H292" s="44" t="s">
        <v>33</v>
      </c>
      <c r="I292" s="44" t="s">
        <v>309</v>
      </c>
      <c r="J292" s="44"/>
      <c r="K292" s="56">
        <f>SUMIF('TB-Jan-25'!$A$12:$A$167,'Working-Jan-25'!C292,'TB-Jan-25'!$E$12:$E$167)</f>
        <v>0</v>
      </c>
      <c r="L292" s="56">
        <f>SUMIF('TB-Jan-25'!I:I,C292,'TB-Jan-25'!M:M)</f>
        <v>0</v>
      </c>
      <c r="M292" s="56">
        <f t="shared" si="10"/>
        <v>0</v>
      </c>
      <c r="N292" s="57">
        <f>IFERROR(VLOOKUP(C292,'[1]TB-Jun-24'!A:F,6,FALSE),0)</f>
        <v>0</v>
      </c>
      <c r="O292" s="35">
        <f>IFERROR(VLOOKUP(C292,'[1]TB-Jun-24'!I:N,6,FALSE),0)</f>
        <v>0</v>
      </c>
      <c r="Q292" s="35" t="s">
        <v>33</v>
      </c>
    </row>
    <row r="293" hidden="1" spans="2:17">
      <c r="B293" s="35">
        <f t="shared" si="9"/>
        <v>262</v>
      </c>
      <c r="C293" s="43" t="s">
        <v>1201</v>
      </c>
      <c r="D293" s="43" t="s">
        <v>939</v>
      </c>
      <c r="E293" s="44" t="s">
        <v>1202</v>
      </c>
      <c r="F293" s="44" t="s">
        <v>33</v>
      </c>
      <c r="G293" s="44" t="s">
        <v>483</v>
      </c>
      <c r="H293" s="44" t="s">
        <v>33</v>
      </c>
      <c r="I293" s="44" t="s">
        <v>309</v>
      </c>
      <c r="J293" s="44"/>
      <c r="K293" s="56">
        <f>SUMIF('TB-Jan-25'!$A$12:$A$167,'Working-Jan-25'!C293,'TB-Jan-25'!$E$12:$E$167)</f>
        <v>0</v>
      </c>
      <c r="L293" s="56">
        <f>SUMIF('TB-Jan-25'!I:I,C293,'TB-Jan-25'!M:M)</f>
        <v>0</v>
      </c>
      <c r="M293" s="56">
        <f t="shared" si="10"/>
        <v>0</v>
      </c>
      <c r="N293" s="57">
        <f>IFERROR(VLOOKUP(C293,'[1]TB-Jun-24'!A:F,6,FALSE),0)</f>
        <v>0</v>
      </c>
      <c r="O293" s="35">
        <f>IFERROR(VLOOKUP(C293,'[1]TB-Jun-24'!I:N,6,FALSE),0)</f>
        <v>0</v>
      </c>
      <c r="Q293" s="35" t="s">
        <v>33</v>
      </c>
    </row>
    <row r="294" hidden="1" spans="2:17">
      <c r="B294" s="35">
        <f t="shared" si="9"/>
        <v>263</v>
      </c>
      <c r="C294" s="43" t="s">
        <v>1203</v>
      </c>
      <c r="D294" s="43" t="s">
        <v>939</v>
      </c>
      <c r="E294" s="44" t="s">
        <v>1204</v>
      </c>
      <c r="F294" s="44" t="s">
        <v>33</v>
      </c>
      <c r="G294" s="44" t="s">
        <v>483</v>
      </c>
      <c r="H294" s="44" t="s">
        <v>33</v>
      </c>
      <c r="I294" s="44" t="s">
        <v>309</v>
      </c>
      <c r="J294" s="44"/>
      <c r="K294" s="56">
        <f>SUMIF('TB-Jan-25'!$A$12:$A$167,'Working-Jan-25'!C294,'TB-Jan-25'!$E$12:$E$167)</f>
        <v>0</v>
      </c>
      <c r="L294" s="56">
        <f>SUMIF('TB-Jan-25'!I:I,C294,'TB-Jan-25'!M:M)</f>
        <v>0</v>
      </c>
      <c r="M294" s="56">
        <f t="shared" si="10"/>
        <v>0</v>
      </c>
      <c r="N294" s="57">
        <f>IFERROR(VLOOKUP(C294,'[1]TB-Jun-24'!A:F,6,FALSE),0)</f>
        <v>0</v>
      </c>
      <c r="O294" s="35">
        <f>IFERROR(VLOOKUP(C294,'[1]TB-Jun-24'!I:N,6,FALSE),0)</f>
        <v>0</v>
      </c>
      <c r="Q294" s="35" t="s">
        <v>33</v>
      </c>
    </row>
    <row r="295" hidden="1" spans="2:17">
      <c r="B295" s="35">
        <f t="shared" si="9"/>
        <v>264</v>
      </c>
      <c r="C295" s="43" t="s">
        <v>572</v>
      </c>
      <c r="D295" s="43" t="s">
        <v>939</v>
      </c>
      <c r="E295" s="44" t="s">
        <v>1205</v>
      </c>
      <c r="F295" s="44" t="s">
        <v>33</v>
      </c>
      <c r="G295" s="44" t="s">
        <v>484</v>
      </c>
      <c r="H295" s="44" t="s">
        <v>121</v>
      </c>
      <c r="I295" s="44" t="s">
        <v>309</v>
      </c>
      <c r="J295" s="44"/>
      <c r="K295" s="56">
        <f>SUMIF('TB-Jan-25'!$A$12:$A$167,'Working-Jan-25'!C295,'TB-Jan-25'!$E$12:$E$167)</f>
        <v>0</v>
      </c>
      <c r="L295" s="56">
        <f>SUMIF('TB-Jan-25'!I:I,C295,'TB-Jan-25'!M:M)</f>
        <v>0</v>
      </c>
      <c r="M295" s="56">
        <f t="shared" si="10"/>
        <v>0</v>
      </c>
      <c r="N295" s="57">
        <f>IFERROR(VLOOKUP(C295,'[1]TB-Jun-24'!A:F,6,FALSE),0)</f>
        <v>0</v>
      </c>
      <c r="O295" s="35">
        <f>IFERROR(VLOOKUP(C295,'[1]TB-Jun-24'!I:N,6,FALSE),0)</f>
        <v>0</v>
      </c>
      <c r="Q295" s="35" t="s">
        <v>121</v>
      </c>
    </row>
    <row r="296" hidden="1" spans="2:17">
      <c r="B296" s="35">
        <f t="shared" si="9"/>
        <v>265</v>
      </c>
      <c r="C296" s="43" t="s">
        <v>490</v>
      </c>
      <c r="D296" s="43" t="s">
        <v>939</v>
      </c>
      <c r="E296" s="44" t="s">
        <v>1206</v>
      </c>
      <c r="F296" s="44" t="s">
        <v>33</v>
      </c>
      <c r="G296" s="44" t="s">
        <v>481</v>
      </c>
      <c r="H296" s="44" t="s">
        <v>33</v>
      </c>
      <c r="I296" s="44" t="s">
        <v>309</v>
      </c>
      <c r="J296" s="44"/>
      <c r="K296" s="56">
        <f>SUMIF('TB-Jan-25'!$A$12:$A$167,'Working-Jan-25'!C296,'TB-Jan-25'!$E$12:$E$167)</f>
        <v>72127</v>
      </c>
      <c r="L296" s="56">
        <f>SUMIF('TB-Jan-25'!I:I,C296,'TB-Jan-25'!M:M)</f>
        <v>0</v>
      </c>
      <c r="M296" s="56">
        <f t="shared" si="10"/>
        <v>72127</v>
      </c>
      <c r="N296" s="57" t="e">
        <f>SUMIF([6]Final!$B:$B,C296,[6]Final!$F:$F)-M296</f>
        <v>#VALUE!</v>
      </c>
      <c r="O296" s="35">
        <f>IFERROR(VLOOKUP(C296,'[1]TB-Jun-24'!I:N,6,FALSE),0)</f>
        <v>0</v>
      </c>
      <c r="Q296" s="35" t="s">
        <v>33</v>
      </c>
    </row>
    <row r="297" hidden="1" spans="2:17">
      <c r="B297" s="35">
        <f t="shared" si="9"/>
        <v>266</v>
      </c>
      <c r="C297" s="43" t="s">
        <v>837</v>
      </c>
      <c r="D297" s="43" t="s">
        <v>935</v>
      </c>
      <c r="E297" s="44" t="s">
        <v>1100</v>
      </c>
      <c r="F297" s="44" t="s">
        <v>33</v>
      </c>
      <c r="G297" s="44" t="s">
        <v>513</v>
      </c>
      <c r="H297" s="44" t="s">
        <v>33</v>
      </c>
      <c r="I297" s="44" t="s">
        <v>309</v>
      </c>
      <c r="J297" s="44"/>
      <c r="K297" s="56">
        <f>SUMIF('TB-Jan-25'!$A$12:$A$167,'Working-Jan-25'!C297,'TB-Jan-25'!$E$12:$E$167)</f>
        <v>0</v>
      </c>
      <c r="L297" s="56">
        <f>SUMIF('TB-Jan-25'!I:I,C297,'TB-Jan-25'!M:M)</f>
        <v>157500</v>
      </c>
      <c r="M297" s="56">
        <f t="shared" si="10"/>
        <v>157500</v>
      </c>
      <c r="N297" s="57" t="e">
        <f>SUMIF([6]Final!$B:$B,C297,[6]Final!$F:$F)-M297</f>
        <v>#VALUE!</v>
      </c>
      <c r="O297" s="35">
        <f>IFERROR(VLOOKUP(C297,'[1]TB-Jun-24'!I:N,6,FALSE),0)</f>
        <v>12000</v>
      </c>
      <c r="Q297" s="35" t="s">
        <v>33</v>
      </c>
    </row>
    <row r="298" hidden="1" spans="2:17">
      <c r="B298" s="35">
        <f t="shared" si="9"/>
        <v>267</v>
      </c>
      <c r="C298" s="43" t="s">
        <v>1207</v>
      </c>
      <c r="D298" s="43" t="s">
        <v>935</v>
      </c>
      <c r="E298" s="44" t="s">
        <v>1100</v>
      </c>
      <c r="F298" s="44" t="s">
        <v>33</v>
      </c>
      <c r="G298" s="44" t="s">
        <v>513</v>
      </c>
      <c r="H298" s="44" t="s">
        <v>33</v>
      </c>
      <c r="I298" s="44" t="s">
        <v>309</v>
      </c>
      <c r="J298" s="44"/>
      <c r="K298" s="56">
        <f>SUMIF('TB-Jan-25'!$A$12:$A$167,'Working-Jan-25'!C298,'TB-Jan-25'!$E$12:$E$167)</f>
        <v>0</v>
      </c>
      <c r="L298" s="56">
        <f>SUMIF('TB-Jan-25'!I:I,C298,'TB-Jan-25'!M:M)</f>
        <v>0</v>
      </c>
      <c r="M298" s="56">
        <f t="shared" si="10"/>
        <v>0</v>
      </c>
      <c r="N298" s="57">
        <f>IFERROR(VLOOKUP(C298,'[1]TB-Jun-24'!A:F,6,FALSE),0)</f>
        <v>0</v>
      </c>
      <c r="O298" s="35">
        <f>IFERROR(VLOOKUP(C298,'[1]TB-Jun-24'!I:N,6,FALSE),0)</f>
        <v>0</v>
      </c>
      <c r="Q298" s="35" t="s">
        <v>33</v>
      </c>
    </row>
    <row r="299" hidden="1" spans="2:17">
      <c r="B299" s="35">
        <f t="shared" si="9"/>
        <v>268</v>
      </c>
      <c r="C299" s="43" t="s">
        <v>1208</v>
      </c>
      <c r="D299" s="43" t="s">
        <v>935</v>
      </c>
      <c r="E299" s="44" t="s">
        <v>1100</v>
      </c>
      <c r="F299" s="44" t="s">
        <v>33</v>
      </c>
      <c r="G299" s="44" t="s">
        <v>513</v>
      </c>
      <c r="H299" s="44" t="s">
        <v>33</v>
      </c>
      <c r="I299" s="44" t="s">
        <v>309</v>
      </c>
      <c r="J299" s="44"/>
      <c r="K299" s="56">
        <f>SUMIF('TB-Jan-25'!$A$12:$A$167,'Working-Jan-25'!C299,'TB-Jan-25'!$E$12:$E$167)</f>
        <v>0</v>
      </c>
      <c r="L299" s="56">
        <f>SUMIF('TB-Jan-25'!I:I,C299,'TB-Jan-25'!M:M)</f>
        <v>0</v>
      </c>
      <c r="M299" s="56">
        <f t="shared" si="10"/>
        <v>0</v>
      </c>
      <c r="N299" s="57">
        <f>IFERROR(VLOOKUP(C299,'[1]TB-Jun-24'!A:F,6,FALSE),0)</f>
        <v>0</v>
      </c>
      <c r="O299" s="35">
        <f>IFERROR(VLOOKUP(C299,'[1]TB-Jun-24'!I:N,6,FALSE),0)</f>
        <v>0</v>
      </c>
      <c r="Q299" s="35" t="s">
        <v>33</v>
      </c>
    </row>
    <row r="300" hidden="1" spans="2:17">
      <c r="B300" s="35">
        <f t="shared" si="9"/>
        <v>269</v>
      </c>
      <c r="C300" s="43" t="s">
        <v>1209</v>
      </c>
      <c r="D300" s="43" t="s">
        <v>935</v>
      </c>
      <c r="E300" s="44" t="s">
        <v>1100</v>
      </c>
      <c r="F300" s="44" t="s">
        <v>33</v>
      </c>
      <c r="G300" s="44" t="s">
        <v>513</v>
      </c>
      <c r="H300" s="44" t="s">
        <v>33</v>
      </c>
      <c r="I300" s="44" t="s">
        <v>309</v>
      </c>
      <c r="J300" s="44"/>
      <c r="K300" s="56">
        <f>SUMIF('TB-Jan-25'!$A$12:$A$167,'Working-Jan-25'!C300,'TB-Jan-25'!$E$12:$E$167)</f>
        <v>0</v>
      </c>
      <c r="L300" s="56">
        <f>SUMIF('TB-Jan-25'!I:I,C300,'TB-Jan-25'!M:M)</f>
        <v>0</v>
      </c>
      <c r="M300" s="56">
        <f t="shared" si="10"/>
        <v>0</v>
      </c>
      <c r="N300" s="57">
        <f>IFERROR(VLOOKUP(C300,'[1]TB-Jun-24'!A:F,6,FALSE),0)</f>
        <v>0</v>
      </c>
      <c r="O300" s="35">
        <f>IFERROR(VLOOKUP(C300,'[1]TB-Jun-24'!I:N,6,FALSE),0)</f>
        <v>0</v>
      </c>
      <c r="Q300" s="35" t="s">
        <v>33</v>
      </c>
    </row>
    <row r="301" hidden="1" spans="2:17">
      <c r="B301" s="35">
        <f t="shared" si="9"/>
        <v>270</v>
      </c>
      <c r="C301" s="43" t="s">
        <v>1210</v>
      </c>
      <c r="D301" s="43" t="s">
        <v>935</v>
      </c>
      <c r="E301" s="44" t="s">
        <v>1100</v>
      </c>
      <c r="F301" s="44" t="s">
        <v>33</v>
      </c>
      <c r="G301" s="44" t="s">
        <v>513</v>
      </c>
      <c r="H301" s="44" t="s">
        <v>33</v>
      </c>
      <c r="I301" s="44" t="s">
        <v>309</v>
      </c>
      <c r="J301" s="44"/>
      <c r="K301" s="56">
        <f>SUMIF('TB-Jan-25'!$A$12:$A$167,'Working-Jan-25'!C301,'TB-Jan-25'!$E$12:$E$167)</f>
        <v>0</v>
      </c>
      <c r="L301" s="56">
        <f>SUMIF('TB-Jan-25'!I:I,C301,'TB-Jan-25'!M:M)</f>
        <v>0</v>
      </c>
      <c r="M301" s="56">
        <f t="shared" si="10"/>
        <v>0</v>
      </c>
      <c r="N301" s="57">
        <f>IFERROR(VLOOKUP(C301,'[1]TB-Jun-24'!A:F,6,FALSE),0)</f>
        <v>0</v>
      </c>
      <c r="O301" s="35">
        <f>IFERROR(VLOOKUP(C301,'[1]TB-Jun-24'!I:N,6,FALSE),0)</f>
        <v>0</v>
      </c>
      <c r="Q301" s="35" t="s">
        <v>33</v>
      </c>
    </row>
    <row r="302" hidden="1" spans="2:17">
      <c r="B302" s="35">
        <f t="shared" si="9"/>
        <v>271</v>
      </c>
      <c r="C302" s="43" t="s">
        <v>1211</v>
      </c>
      <c r="D302" s="43" t="s">
        <v>935</v>
      </c>
      <c r="E302" s="44" t="s">
        <v>1100</v>
      </c>
      <c r="F302" s="44" t="s">
        <v>33</v>
      </c>
      <c r="G302" s="44" t="s">
        <v>513</v>
      </c>
      <c r="H302" s="44" t="s">
        <v>33</v>
      </c>
      <c r="I302" s="44" t="s">
        <v>309</v>
      </c>
      <c r="J302" s="44"/>
      <c r="K302" s="56">
        <f>SUMIF('TB-Jan-25'!$A$12:$A$167,'Working-Jan-25'!C302,'TB-Jan-25'!$E$12:$E$167)</f>
        <v>0</v>
      </c>
      <c r="L302" s="56">
        <f>SUMIF('TB-Jan-25'!I:I,C302,'TB-Jan-25'!M:M)</f>
        <v>0</v>
      </c>
      <c r="M302" s="56">
        <f t="shared" si="10"/>
        <v>0</v>
      </c>
      <c r="N302" s="57">
        <f>IFERROR(VLOOKUP(C302,'[1]TB-Jun-24'!A:F,6,FALSE),0)</f>
        <v>0</v>
      </c>
      <c r="O302" s="35">
        <f>IFERROR(VLOOKUP(C302,'[1]TB-Jun-24'!I:N,6,FALSE),0)</f>
        <v>0</v>
      </c>
      <c r="Q302" s="35" t="s">
        <v>33</v>
      </c>
    </row>
    <row r="303" hidden="1" spans="2:14">
      <c r="B303" s="35">
        <f t="shared" si="9"/>
        <v>272</v>
      </c>
      <c r="C303" s="43" t="s">
        <v>834</v>
      </c>
      <c r="D303" s="43" t="s">
        <v>935</v>
      </c>
      <c r="E303" s="44" t="s">
        <v>1100</v>
      </c>
      <c r="F303" s="44" t="s">
        <v>33</v>
      </c>
      <c r="G303" s="44" t="s">
        <v>513</v>
      </c>
      <c r="H303" s="44" t="s">
        <v>33</v>
      </c>
      <c r="I303" s="44" t="s">
        <v>309</v>
      </c>
      <c r="J303" s="44"/>
      <c r="K303" s="56">
        <f>SUMIF('TB-Jan-25'!$A$12:$A$167,'Working-Jan-25'!C303,'TB-Jan-25'!$E$12:$E$167)</f>
        <v>0</v>
      </c>
      <c r="L303" s="56">
        <f>SUMIF('TB-Jan-25'!I:I,C303,'TB-Jan-25'!M:M)</f>
        <v>137484.8</v>
      </c>
      <c r="M303" s="56">
        <f t="shared" si="10"/>
        <v>137484.8</v>
      </c>
      <c r="N303" s="57" t="e">
        <f>SUMIF([6]Final!$B:$B,C303,[6]Final!$F:$F)-M303</f>
        <v>#VALUE!</v>
      </c>
    </row>
    <row r="304" hidden="1" spans="2:14">
      <c r="B304" s="35">
        <f t="shared" si="9"/>
        <v>273</v>
      </c>
      <c r="C304" s="43" t="s">
        <v>835</v>
      </c>
      <c r="D304" s="43" t="s">
        <v>935</v>
      </c>
      <c r="E304" s="44" t="s">
        <v>1100</v>
      </c>
      <c r="F304" s="44" t="s">
        <v>33</v>
      </c>
      <c r="G304" s="44" t="s">
        <v>513</v>
      </c>
      <c r="H304" s="44" t="s">
        <v>33</v>
      </c>
      <c r="I304" s="44" t="s">
        <v>309</v>
      </c>
      <c r="J304" s="44"/>
      <c r="K304" s="56">
        <f>SUMIF('TB-Jan-25'!$A$12:$A$167,'Working-Jan-25'!C304,'TB-Jan-25'!$E$12:$E$167)</f>
        <v>0</v>
      </c>
      <c r="L304" s="56">
        <f>SUMIF('TB-Jan-25'!I:I,C304,'TB-Jan-25'!M:M)</f>
        <v>5265</v>
      </c>
      <c r="M304" s="56">
        <f t="shared" si="10"/>
        <v>5265</v>
      </c>
      <c r="N304" s="57" t="e">
        <f>SUMIF([6]Final!$B:$B,C304,[6]Final!$F:$F)-M304</f>
        <v>#VALUE!</v>
      </c>
    </row>
    <row r="305" hidden="1" spans="2:14">
      <c r="B305" s="35">
        <f t="shared" si="9"/>
        <v>274</v>
      </c>
      <c r="C305" s="43" t="s">
        <v>836</v>
      </c>
      <c r="D305" s="43" t="s">
        <v>935</v>
      </c>
      <c r="E305" s="44" t="s">
        <v>1100</v>
      </c>
      <c r="F305" s="44" t="s">
        <v>33</v>
      </c>
      <c r="G305" s="44" t="s">
        <v>513</v>
      </c>
      <c r="H305" s="44" t="s">
        <v>33</v>
      </c>
      <c r="I305" s="44" t="s">
        <v>309</v>
      </c>
      <c r="J305" s="44"/>
      <c r="K305" s="56">
        <f>SUMIF('TB-Jan-25'!$A$12:$A$167,'Working-Jan-25'!C305,'TB-Jan-25'!$E$12:$E$167)</f>
        <v>0</v>
      </c>
      <c r="L305" s="56">
        <f>SUMIF('TB-Jan-25'!I:I,C305,'TB-Jan-25'!M:M)</f>
        <v>44496</v>
      </c>
      <c r="M305" s="56">
        <f t="shared" si="10"/>
        <v>44496</v>
      </c>
      <c r="N305" s="57" t="e">
        <f>SUMIF([6]Final!$B:$B,C305,[6]Final!$F:$F)-M305</f>
        <v>#VALUE!</v>
      </c>
    </row>
    <row r="306" hidden="1" spans="2:17">
      <c r="B306" s="35">
        <f t="shared" si="9"/>
        <v>275</v>
      </c>
      <c r="C306" s="43" t="s">
        <v>1212</v>
      </c>
      <c r="D306" s="43" t="s">
        <v>935</v>
      </c>
      <c r="E306" s="44" t="s">
        <v>1100</v>
      </c>
      <c r="F306" s="44" t="s">
        <v>33</v>
      </c>
      <c r="G306" s="44" t="s">
        <v>513</v>
      </c>
      <c r="H306" s="44" t="s">
        <v>33</v>
      </c>
      <c r="I306" s="44" t="s">
        <v>309</v>
      </c>
      <c r="J306" s="44"/>
      <c r="K306" s="56">
        <f>SUMIF('TB-Jan-25'!$A$12:$A$167,'Working-Jan-25'!C306,'TB-Jan-25'!$E$12:$E$167)</f>
        <v>0</v>
      </c>
      <c r="L306" s="56">
        <f>SUMIF('TB-Jan-25'!I:I,C306,'TB-Jan-25'!M:M)</f>
        <v>0</v>
      </c>
      <c r="M306" s="56">
        <f t="shared" si="10"/>
        <v>0</v>
      </c>
      <c r="N306" s="57">
        <f>IFERROR(VLOOKUP(C306,'[1]TB-Jun-24'!A:F,6,FALSE),0)</f>
        <v>0</v>
      </c>
      <c r="O306" s="35">
        <f>IFERROR(VLOOKUP(C306,'[1]TB-Jun-24'!I:N,6,FALSE),0)</f>
        <v>0</v>
      </c>
      <c r="Q306" s="35" t="s">
        <v>33</v>
      </c>
    </row>
    <row r="307" spans="2:17">
      <c r="B307" s="35">
        <f t="shared" si="9"/>
        <v>276</v>
      </c>
      <c r="C307" s="43" t="s">
        <v>841</v>
      </c>
      <c r="D307" s="46" t="s">
        <v>935</v>
      </c>
      <c r="E307" s="47" t="s">
        <v>1213</v>
      </c>
      <c r="F307" s="47" t="s">
        <v>33</v>
      </c>
      <c r="G307" s="44" t="s">
        <v>515</v>
      </c>
      <c r="H307" s="44" t="s">
        <v>120</v>
      </c>
      <c r="I307" s="44" t="s">
        <v>309</v>
      </c>
      <c r="J307" s="44"/>
      <c r="K307" s="56">
        <f>SUMIF('TB-Jan-25'!$A$12:$A$167,'Working-Jan-25'!C307,'TB-Jan-25'!$E$12:$E$167)</f>
        <v>0</v>
      </c>
      <c r="L307" s="56">
        <f>SUMIF('TB-Jan-25'!I:I,C307,'TB-Jan-25'!M:M)</f>
        <v>300000</v>
      </c>
      <c r="M307" s="56">
        <f t="shared" si="10"/>
        <v>300000</v>
      </c>
      <c r="N307" s="57" t="e">
        <f>SUMIF([6]Final!$B:$B,C307,[6]Final!$F:$F)-M307</f>
        <v>#VALUE!</v>
      </c>
      <c r="O307" s="35">
        <f>IFERROR(VLOOKUP(C307,'[1]TB-Jun-24'!I:N,6,FALSE),0)</f>
        <v>365000</v>
      </c>
      <c r="Q307" s="35" t="s">
        <v>120</v>
      </c>
    </row>
    <row r="308" hidden="1" spans="2:17">
      <c r="B308" s="35">
        <f t="shared" si="9"/>
        <v>277</v>
      </c>
      <c r="C308" s="43" t="s">
        <v>845</v>
      </c>
      <c r="D308" s="43" t="s">
        <v>935</v>
      </c>
      <c r="E308" s="44" t="s">
        <v>586</v>
      </c>
      <c r="F308" s="44" t="s">
        <v>33</v>
      </c>
      <c r="G308" s="44" t="s">
        <v>600</v>
      </c>
      <c r="H308" s="44" t="s">
        <v>120</v>
      </c>
      <c r="I308" s="44" t="s">
        <v>309</v>
      </c>
      <c r="J308" s="44"/>
      <c r="K308" s="56">
        <f>SUMIF('TB-Jan-25'!$A$12:$A$167,'Working-Jan-25'!C308,'TB-Jan-25'!$E$12:$E$167)</f>
        <v>0</v>
      </c>
      <c r="L308" s="56">
        <f>SUMIF('TB-Jan-25'!I:I,C308,'TB-Jan-25'!M:M)</f>
        <v>8000</v>
      </c>
      <c r="M308" s="56">
        <f t="shared" si="10"/>
        <v>8000</v>
      </c>
      <c r="N308" s="57" t="e">
        <f>SUMIF([6]Final!$B:$B,C308,[6]Final!$F:$F)-M308</f>
        <v>#VALUE!</v>
      </c>
      <c r="O308" s="35">
        <f>IFERROR(VLOOKUP(C308,'[1]TB-Jun-24'!I:N,6,FALSE),0)</f>
        <v>6000</v>
      </c>
      <c r="Q308" s="35" t="s">
        <v>120</v>
      </c>
    </row>
    <row r="309" spans="2:17">
      <c r="B309" s="35">
        <f t="shared" si="9"/>
        <v>278</v>
      </c>
      <c r="C309" s="43" t="s">
        <v>1214</v>
      </c>
      <c r="D309" s="46" t="s">
        <v>935</v>
      </c>
      <c r="E309" s="47" t="s">
        <v>1009</v>
      </c>
      <c r="F309" s="47" t="s">
        <v>33</v>
      </c>
      <c r="G309" s="44" t="s">
        <v>515</v>
      </c>
      <c r="H309" s="44" t="s">
        <v>120</v>
      </c>
      <c r="I309" s="44" t="s">
        <v>309</v>
      </c>
      <c r="J309" s="44"/>
      <c r="K309" s="56">
        <f>SUMIF('TB-Jan-25'!$A$12:$A$167,'Working-Jan-25'!C309,'TB-Jan-25'!$E$12:$E$167)</f>
        <v>0</v>
      </c>
      <c r="L309" s="56">
        <f>SUMIF('TB-Jan-25'!I:I,C309,'TB-Jan-25'!M:M)</f>
        <v>0</v>
      </c>
      <c r="M309" s="56">
        <f t="shared" si="10"/>
        <v>0</v>
      </c>
      <c r="N309" s="57">
        <f>IFERROR(VLOOKUP(C309,'[1]TB-Jun-24'!A:F,6,FALSE),0)</f>
        <v>0</v>
      </c>
      <c r="O309" s="35">
        <f>IFERROR(VLOOKUP(C309,'[1]TB-Jun-24'!I:N,6,FALSE),0)</f>
        <v>0</v>
      </c>
      <c r="Q309" s="35" t="s">
        <v>120</v>
      </c>
    </row>
    <row r="310" spans="2:17">
      <c r="B310" s="35">
        <f t="shared" si="9"/>
        <v>279</v>
      </c>
      <c r="C310" s="43" t="s">
        <v>847</v>
      </c>
      <c r="D310" s="46" t="s">
        <v>935</v>
      </c>
      <c r="E310" s="47" t="s">
        <v>1215</v>
      </c>
      <c r="F310" s="47" t="s">
        <v>33</v>
      </c>
      <c r="G310" s="44" t="s">
        <v>515</v>
      </c>
      <c r="H310" s="44" t="s">
        <v>120</v>
      </c>
      <c r="I310" s="44" t="s">
        <v>309</v>
      </c>
      <c r="J310" s="44"/>
      <c r="K310" s="56">
        <f>SUMIF('TB-Jan-25'!$A$12:$A$167,'Working-Jan-25'!C310,'TB-Jan-25'!$E$12:$E$167)</f>
        <v>0</v>
      </c>
      <c r="L310" s="56">
        <f>SUMIF('TB-Jan-25'!I:I,C310,'TB-Jan-25'!M:M)</f>
        <v>20000</v>
      </c>
      <c r="M310" s="56">
        <f t="shared" si="10"/>
        <v>20000</v>
      </c>
      <c r="N310" s="57" t="e">
        <f>SUMIF([6]Final!$B:$B,C310,[6]Final!$F:$F)-M310</f>
        <v>#VALUE!</v>
      </c>
      <c r="O310" s="35">
        <f>IFERROR(VLOOKUP(C310,'[1]TB-Jun-24'!I:N,6,FALSE),0)</f>
        <v>10000</v>
      </c>
      <c r="Q310" s="35" t="s">
        <v>120</v>
      </c>
    </row>
    <row r="311" spans="2:17">
      <c r="B311" s="35">
        <f t="shared" si="9"/>
        <v>280</v>
      </c>
      <c r="C311" s="43" t="s">
        <v>862</v>
      </c>
      <c r="D311" s="46" t="s">
        <v>935</v>
      </c>
      <c r="E311" s="47" t="s">
        <v>1215</v>
      </c>
      <c r="F311" s="47" t="s">
        <v>33</v>
      </c>
      <c r="G311" s="44" t="s">
        <v>515</v>
      </c>
      <c r="H311" s="44" t="s">
        <v>120</v>
      </c>
      <c r="I311" s="44" t="s">
        <v>309</v>
      </c>
      <c r="J311" s="44"/>
      <c r="K311" s="56">
        <f>SUMIF('TB-Jan-25'!$A$12:$A$167,'Working-Jan-25'!C311,'TB-Jan-25'!$E$12:$E$167)</f>
        <v>0</v>
      </c>
      <c r="L311" s="56">
        <f>SUMIF('TB-Jan-25'!I:I,C311,'TB-Jan-25'!M:M)</f>
        <v>5000</v>
      </c>
      <c r="M311" s="56">
        <f t="shared" si="10"/>
        <v>5000</v>
      </c>
      <c r="N311" s="57" t="e">
        <f>SUMIF([6]Final!$B:$B,C311,[6]Final!$F:$F)-M311</f>
        <v>#VALUE!</v>
      </c>
      <c r="O311" s="35">
        <f>IFERROR(VLOOKUP(C311,'[1]TB-Jun-24'!I:N,6,FALSE),0)</f>
        <v>5000</v>
      </c>
      <c r="Q311" s="35" t="s">
        <v>120</v>
      </c>
    </row>
    <row r="312" spans="2:17">
      <c r="B312" s="35">
        <f t="shared" si="9"/>
        <v>281</v>
      </c>
      <c r="C312" s="43" t="s">
        <v>1216</v>
      </c>
      <c r="D312" s="46" t="s">
        <v>935</v>
      </c>
      <c r="E312" s="47" t="s">
        <v>1009</v>
      </c>
      <c r="F312" s="47" t="s">
        <v>33</v>
      </c>
      <c r="G312" s="44" t="s">
        <v>515</v>
      </c>
      <c r="H312" s="44" t="s">
        <v>120</v>
      </c>
      <c r="I312" s="44" t="s">
        <v>309</v>
      </c>
      <c r="J312" s="44"/>
      <c r="K312" s="56">
        <f>SUMIF('TB-Jan-25'!$A$12:$A$167,'Working-Jan-25'!C312,'TB-Jan-25'!$E$12:$E$167)</f>
        <v>0</v>
      </c>
      <c r="L312" s="56">
        <f>SUMIF('TB-Jan-25'!I:I,C312,'TB-Jan-25'!M:M)</f>
        <v>0</v>
      </c>
      <c r="M312" s="56">
        <f t="shared" si="10"/>
        <v>0</v>
      </c>
      <c r="N312" s="57">
        <f>IFERROR(VLOOKUP(C312,'[1]TB-Jun-24'!A:F,6,FALSE),0)</f>
        <v>0</v>
      </c>
      <c r="O312" s="35">
        <f>IFERROR(VLOOKUP(C312,'[1]TB-Jun-24'!I:N,6,FALSE),0)</f>
        <v>0</v>
      </c>
      <c r="Q312" s="35" t="s">
        <v>120</v>
      </c>
    </row>
    <row r="313" hidden="1" spans="2:17">
      <c r="B313" s="35">
        <f t="shared" si="9"/>
        <v>282</v>
      </c>
      <c r="C313" s="43" t="s">
        <v>883</v>
      </c>
      <c r="D313" s="43" t="s">
        <v>939</v>
      </c>
      <c r="E313" s="44" t="s">
        <v>1217</v>
      </c>
      <c r="F313" s="44" t="s">
        <v>33</v>
      </c>
      <c r="G313" s="44" t="s">
        <v>577</v>
      </c>
      <c r="H313" s="44" t="s">
        <v>120</v>
      </c>
      <c r="I313" s="44" t="s">
        <v>309</v>
      </c>
      <c r="J313" s="44"/>
      <c r="K313" s="56">
        <f>SUMIF('TB-Jan-25'!$A$12:$A$167,'Working-Jan-25'!C313,'TB-Jan-25'!$E$12:$E$167)</f>
        <v>0</v>
      </c>
      <c r="L313" s="56">
        <f>SUMIF('TB-Jan-25'!I:I,C313,'TB-Jan-25'!M:M)</f>
        <v>5838</v>
      </c>
      <c r="M313" s="56">
        <f t="shared" si="10"/>
        <v>5838</v>
      </c>
      <c r="N313" s="57" t="e">
        <f>SUMIF([6]Final!$B:$B,C313,[6]Final!$F:$F)-M313</f>
        <v>#VALUE!</v>
      </c>
      <c r="O313" s="35">
        <f>IFERROR(VLOOKUP(C313,'[1]TB-Jun-24'!I:N,6,FALSE),0)</f>
        <v>3352</v>
      </c>
      <c r="Q313" s="35" t="s">
        <v>120</v>
      </c>
    </row>
    <row r="314" hidden="1" spans="2:17">
      <c r="B314" s="35">
        <f t="shared" si="9"/>
        <v>283</v>
      </c>
      <c r="C314" s="43" t="s">
        <v>826</v>
      </c>
      <c r="D314" s="43" t="s">
        <v>939</v>
      </c>
      <c r="E314" s="44" t="s">
        <v>1218</v>
      </c>
      <c r="F314" s="44" t="s">
        <v>33</v>
      </c>
      <c r="G314" s="44" t="s">
        <v>574</v>
      </c>
      <c r="H314" s="44" t="s">
        <v>120</v>
      </c>
      <c r="I314" s="44" t="s">
        <v>309</v>
      </c>
      <c r="J314" s="44"/>
      <c r="K314" s="56">
        <f>SUMIF('TB-Jan-25'!$A$12:$A$167,'Working-Jan-25'!C314,'TB-Jan-25'!$E$12:$E$167)</f>
        <v>21362.25</v>
      </c>
      <c r="L314" s="56">
        <f>SUMIF('TB-Jan-25'!I:I,C314,'TB-Jan-25'!M:M)</f>
        <v>207</v>
      </c>
      <c r="M314" s="56">
        <f t="shared" si="10"/>
        <v>21569.25</v>
      </c>
      <c r="N314" s="57" t="e">
        <f>SUMIF([6]Final!$B:$B,C314,[6]Final!$F:$F)-M314</f>
        <v>#VALUE!</v>
      </c>
      <c r="O314" s="35">
        <f>IFERROR(VLOOKUP(C314,'[1]TB-Jun-24'!I:N,6,FALSE),0)</f>
        <v>0</v>
      </c>
      <c r="Q314" s="35" t="s">
        <v>120</v>
      </c>
    </row>
    <row r="315" hidden="1" spans="2:17">
      <c r="B315" s="35">
        <f t="shared" si="9"/>
        <v>284</v>
      </c>
      <c r="C315" s="43" t="s">
        <v>889</v>
      </c>
      <c r="D315" s="43" t="s">
        <v>939</v>
      </c>
      <c r="E315" s="44" t="s">
        <v>1075</v>
      </c>
      <c r="F315" s="44" t="s">
        <v>33</v>
      </c>
      <c r="G315" s="44" t="s">
        <v>502</v>
      </c>
      <c r="H315" s="44" t="s">
        <v>120</v>
      </c>
      <c r="I315" s="44" t="s">
        <v>309</v>
      </c>
      <c r="J315" s="44"/>
      <c r="K315" s="56">
        <f>SUMIF('TB-Jan-25'!$A$12:$A$167,'Working-Jan-25'!C315,'TB-Jan-25'!$E$12:$E$167)</f>
        <v>0</v>
      </c>
      <c r="L315" s="56">
        <f>SUMIF('TB-Jan-25'!I:I,C315,'TB-Jan-25'!M:M)</f>
        <v>750</v>
      </c>
      <c r="M315" s="56">
        <f t="shared" si="10"/>
        <v>750</v>
      </c>
      <c r="N315" s="57" t="e">
        <f>SUMIF([6]Final!$B:$B,C315,[6]Final!$F:$F)-M315</f>
        <v>#VALUE!</v>
      </c>
      <c r="O315" s="35">
        <f>IFERROR(VLOOKUP(C315,'[1]TB-Jun-24'!I:N,6,FALSE),0)</f>
        <v>0</v>
      </c>
      <c r="Q315" s="35" t="s">
        <v>120</v>
      </c>
    </row>
    <row r="316" hidden="1" spans="2:17">
      <c r="B316" s="35">
        <f t="shared" si="9"/>
        <v>285</v>
      </c>
      <c r="C316" s="43" t="s">
        <v>1219</v>
      </c>
      <c r="D316" s="43" t="s">
        <v>939</v>
      </c>
      <c r="E316" s="44" t="s">
        <v>1075</v>
      </c>
      <c r="F316" s="44" t="s">
        <v>33</v>
      </c>
      <c r="G316" s="44" t="s">
        <v>502</v>
      </c>
      <c r="H316" s="44" t="s">
        <v>120</v>
      </c>
      <c r="I316" s="44" t="s">
        <v>309</v>
      </c>
      <c r="J316" s="44"/>
      <c r="K316" s="56">
        <f>SUMIF('TB-Jan-25'!$A$12:$A$167,'Working-Jan-25'!C316,'TB-Jan-25'!$E$12:$E$167)</f>
        <v>0</v>
      </c>
      <c r="L316" s="56">
        <f>SUMIF('TB-Jan-25'!I:I,C316,'TB-Jan-25'!M:M)</f>
        <v>0</v>
      </c>
      <c r="M316" s="56">
        <f t="shared" si="10"/>
        <v>0</v>
      </c>
      <c r="N316" s="57">
        <f>IFERROR(VLOOKUP(C316,'[1]TB-Jun-24'!A:F,6,FALSE),0)</f>
        <v>0</v>
      </c>
      <c r="O316" s="35">
        <f>IFERROR(VLOOKUP(C316,'[1]TB-Jun-24'!I:N,6,FALSE),0)</f>
        <v>0</v>
      </c>
      <c r="Q316" s="35" t="s">
        <v>120</v>
      </c>
    </row>
    <row r="317" hidden="1" spans="2:17">
      <c r="B317" s="35">
        <f t="shared" si="9"/>
        <v>286</v>
      </c>
      <c r="C317" s="43" t="s">
        <v>891</v>
      </c>
      <c r="D317" s="43" t="s">
        <v>939</v>
      </c>
      <c r="E317" s="44" t="s">
        <v>1075</v>
      </c>
      <c r="F317" s="44" t="s">
        <v>33</v>
      </c>
      <c r="G317" s="44" t="s">
        <v>502</v>
      </c>
      <c r="H317" s="44" t="s">
        <v>120</v>
      </c>
      <c r="I317" s="44" t="s">
        <v>309</v>
      </c>
      <c r="J317" s="44"/>
      <c r="K317" s="56">
        <f>SUMIF('TB-Jan-25'!$A$12:$A$167,'Working-Jan-25'!C317,'TB-Jan-25'!$E$12:$E$167)</f>
        <v>0</v>
      </c>
      <c r="L317" s="56">
        <f>SUMIF('TB-Jan-25'!I:I,C317,'TB-Jan-25'!M:M)</f>
        <v>12300</v>
      </c>
      <c r="M317" s="56">
        <f t="shared" si="10"/>
        <v>12300</v>
      </c>
      <c r="N317" s="57" t="e">
        <f>SUMIF([6]Final!$B:$B,C317,[6]Final!$F:$F)-M317</f>
        <v>#VALUE!</v>
      </c>
      <c r="O317" s="35">
        <f>IFERROR(VLOOKUP(C317,'[1]TB-Jun-24'!I:N,6,FALSE),0)</f>
        <v>2770</v>
      </c>
      <c r="Q317" s="35" t="s">
        <v>120</v>
      </c>
    </row>
    <row r="318" hidden="1" spans="2:17">
      <c r="B318" s="35">
        <f t="shared" si="9"/>
        <v>287</v>
      </c>
      <c r="C318" s="43" t="s">
        <v>1220</v>
      </c>
      <c r="D318" s="43" t="s">
        <v>939</v>
      </c>
      <c r="E318" s="44" t="s">
        <v>1221</v>
      </c>
      <c r="F318" s="44" t="s">
        <v>33</v>
      </c>
      <c r="G318" s="44" t="s">
        <v>1222</v>
      </c>
      <c r="H318" s="44" t="s">
        <v>33</v>
      </c>
      <c r="I318" s="44" t="s">
        <v>309</v>
      </c>
      <c r="J318" s="44"/>
      <c r="K318" s="56">
        <f>SUMIF('TB-Jan-25'!$A$12:$A$167,'Working-Jan-25'!C318,'TB-Jan-25'!$E$12:$E$167)</f>
        <v>0</v>
      </c>
      <c r="L318" s="56">
        <f>SUMIF('TB-Jan-25'!I:I,C318,'TB-Jan-25'!M:M)</f>
        <v>0</v>
      </c>
      <c r="M318" s="56">
        <f t="shared" si="10"/>
        <v>0</v>
      </c>
      <c r="N318" s="57">
        <f>IFERROR(VLOOKUP(C318,'[1]TB-Jun-24'!A:F,6,FALSE),0)</f>
        <v>0</v>
      </c>
      <c r="O318" s="35">
        <f>IFERROR(VLOOKUP(C318,'[1]TB-Jun-24'!I:N,6,FALSE),0)</f>
        <v>0</v>
      </c>
      <c r="Q318" s="35" t="s">
        <v>33</v>
      </c>
    </row>
    <row r="319" hidden="1" spans="2:17">
      <c r="B319" s="35">
        <f t="shared" si="9"/>
        <v>288</v>
      </c>
      <c r="C319" s="43" t="s">
        <v>1223</v>
      </c>
      <c r="D319" s="43" t="s">
        <v>939</v>
      </c>
      <c r="E319" s="44" t="s">
        <v>1224</v>
      </c>
      <c r="F319" s="44" t="s">
        <v>33</v>
      </c>
      <c r="G319" s="44" t="s">
        <v>1225</v>
      </c>
      <c r="H319" s="44" t="s">
        <v>120</v>
      </c>
      <c r="I319" s="44" t="s">
        <v>309</v>
      </c>
      <c r="J319" s="44"/>
      <c r="K319" s="56">
        <f>SUMIF('TB-Jan-25'!$A$12:$A$167,'Working-Jan-25'!C319,'TB-Jan-25'!$E$12:$E$167)</f>
        <v>0</v>
      </c>
      <c r="L319" s="56">
        <f>SUMIF('TB-Jan-25'!I:I,C319,'TB-Jan-25'!M:M)</f>
        <v>0</v>
      </c>
      <c r="M319" s="56">
        <f t="shared" si="10"/>
        <v>0</v>
      </c>
      <c r="N319" s="57">
        <f>IFERROR(VLOOKUP(C319,'[1]TB-Jun-24'!A:F,6,FALSE),0)</f>
        <v>0</v>
      </c>
      <c r="O319" s="35">
        <f>IFERROR(VLOOKUP(C319,'[1]TB-Jun-24'!I:N,6,FALSE),0)</f>
        <v>0</v>
      </c>
      <c r="Q319" s="35" t="s">
        <v>33</v>
      </c>
    </row>
    <row r="320" hidden="1" spans="2:17">
      <c r="B320" s="35">
        <f t="shared" si="9"/>
        <v>289</v>
      </c>
      <c r="C320" s="43" t="s">
        <v>1226</v>
      </c>
      <c r="D320" s="43" t="s">
        <v>939</v>
      </c>
      <c r="E320" s="44" t="s">
        <v>1227</v>
      </c>
      <c r="F320" s="44" t="s">
        <v>33</v>
      </c>
      <c r="G320" s="44" t="s">
        <v>499</v>
      </c>
      <c r="H320" s="44" t="s">
        <v>33</v>
      </c>
      <c r="I320" s="44" t="s">
        <v>309</v>
      </c>
      <c r="J320" s="44"/>
      <c r="K320" s="56">
        <f>SUMIF('TB-Jan-25'!$A$12:$A$167,'Working-Jan-25'!C320,'TB-Jan-25'!$E$12:$E$167)</f>
        <v>0</v>
      </c>
      <c r="L320" s="56">
        <f>SUMIF('TB-Jan-25'!I:I,C320,'TB-Jan-25'!M:M)</f>
        <v>0</v>
      </c>
      <c r="M320" s="56">
        <f t="shared" si="10"/>
        <v>0</v>
      </c>
      <c r="N320" s="57">
        <f>IFERROR(VLOOKUP(C320,'[1]TB-Jun-24'!A:F,6,FALSE),0)</f>
        <v>350</v>
      </c>
      <c r="O320" s="35">
        <f>IFERROR(VLOOKUP(C320,'[1]TB-Jun-24'!I:N,6,FALSE),0)</f>
        <v>0</v>
      </c>
      <c r="Q320" s="35" t="s">
        <v>33</v>
      </c>
    </row>
    <row r="321" hidden="1" spans="2:17">
      <c r="B321" s="35">
        <f t="shared" si="9"/>
        <v>290</v>
      </c>
      <c r="C321" s="43" t="s">
        <v>1228</v>
      </c>
      <c r="D321" s="43" t="s">
        <v>939</v>
      </c>
      <c r="E321" s="44" t="s">
        <v>1070</v>
      </c>
      <c r="F321" s="44" t="s">
        <v>33</v>
      </c>
      <c r="G321" s="44" t="s">
        <v>1222</v>
      </c>
      <c r="H321" s="44" t="s">
        <v>33</v>
      </c>
      <c r="I321" s="44" t="s">
        <v>309</v>
      </c>
      <c r="J321" s="44"/>
      <c r="K321" s="56">
        <f>SUMIF('TB-Jan-25'!$A$12:$A$167,'Working-Jan-25'!C321,'TB-Jan-25'!$E$12:$E$167)</f>
        <v>0</v>
      </c>
      <c r="L321" s="56">
        <f>SUMIF('TB-Jan-25'!I:I,C321,'TB-Jan-25'!M:M)</f>
        <v>0</v>
      </c>
      <c r="M321" s="56">
        <f t="shared" si="10"/>
        <v>0</v>
      </c>
      <c r="N321" s="57">
        <f>IFERROR(VLOOKUP(C321,'[1]TB-Jun-24'!A:F,6,FALSE),0)</f>
        <v>0</v>
      </c>
      <c r="O321" s="35">
        <f>IFERROR(VLOOKUP(C321,'[1]TB-Jun-24'!I:N,6,FALSE),0)</f>
        <v>0</v>
      </c>
      <c r="Q321" s="35" t="s">
        <v>33</v>
      </c>
    </row>
    <row r="322" hidden="1" spans="2:17">
      <c r="B322" s="35">
        <f t="shared" si="9"/>
        <v>291</v>
      </c>
      <c r="C322" s="43" t="s">
        <v>1229</v>
      </c>
      <c r="D322" s="43" t="s">
        <v>939</v>
      </c>
      <c r="E322" s="44" t="s">
        <v>1070</v>
      </c>
      <c r="F322" s="44" t="s">
        <v>33</v>
      </c>
      <c r="G322" s="44" t="s">
        <v>526</v>
      </c>
      <c r="H322" s="44" t="s">
        <v>120</v>
      </c>
      <c r="I322" s="44" t="s">
        <v>309</v>
      </c>
      <c r="J322" s="44"/>
      <c r="K322" s="56">
        <f>SUMIF('TB-Jan-25'!$A$12:$A$167,'Working-Jan-25'!C322,'TB-Jan-25'!$E$12:$E$167)</f>
        <v>0</v>
      </c>
      <c r="L322" s="56">
        <f>SUMIF('TB-Jan-25'!I:I,C322,'TB-Jan-25'!M:M)</f>
        <v>0</v>
      </c>
      <c r="M322" s="56">
        <f t="shared" si="10"/>
        <v>0</v>
      </c>
      <c r="N322" s="57">
        <f>IFERROR(VLOOKUP(C322,'[1]TB-Jun-24'!A:F,6,FALSE),0)</f>
        <v>0</v>
      </c>
      <c r="O322" s="35">
        <f>IFERROR(VLOOKUP(C322,'[1]TB-Jun-24'!I:N,6,FALSE),0)</f>
        <v>0</v>
      </c>
      <c r="Q322" s="35" t="s">
        <v>120</v>
      </c>
    </row>
    <row r="323" hidden="1" spans="2:17">
      <c r="B323" s="35">
        <f t="shared" si="9"/>
        <v>292</v>
      </c>
      <c r="C323" s="43" t="s">
        <v>1230</v>
      </c>
      <c r="D323" s="43" t="s">
        <v>935</v>
      </c>
      <c r="E323" s="44" t="s">
        <v>505</v>
      </c>
      <c r="F323" s="44" t="s">
        <v>33</v>
      </c>
      <c r="G323" s="44" t="s">
        <v>505</v>
      </c>
      <c r="H323" s="44" t="s">
        <v>33</v>
      </c>
      <c r="I323" s="44" t="s">
        <v>309</v>
      </c>
      <c r="J323" s="44"/>
      <c r="K323" s="56">
        <f>SUMIF('TB-Jan-25'!$A$12:$A$167,'Working-Jan-25'!C323,'TB-Jan-25'!$E$12:$E$167)</f>
        <v>0</v>
      </c>
      <c r="L323" s="56">
        <f>SUMIF('TB-Jan-25'!I:I,C323,'TB-Jan-25'!M:M)</f>
        <v>0</v>
      </c>
      <c r="M323" s="56">
        <f t="shared" si="10"/>
        <v>0</v>
      </c>
      <c r="N323" s="57">
        <f>IFERROR(VLOOKUP(C323,'[1]TB-Jun-24'!A:F,6,FALSE),0)</f>
        <v>23050</v>
      </c>
      <c r="O323" s="35">
        <f>IFERROR(VLOOKUP(C323,'[1]TB-Jun-24'!I:N,6,FALSE),0)</f>
        <v>0</v>
      </c>
      <c r="Q323" s="35" t="s">
        <v>33</v>
      </c>
    </row>
    <row r="324" hidden="1" spans="2:17">
      <c r="B324" s="35">
        <f t="shared" si="9"/>
        <v>293</v>
      </c>
      <c r="C324" s="43" t="s">
        <v>1231</v>
      </c>
      <c r="D324" s="43" t="s">
        <v>939</v>
      </c>
      <c r="E324" s="44" t="s">
        <v>1227</v>
      </c>
      <c r="F324" s="44" t="s">
        <v>33</v>
      </c>
      <c r="G324" s="44" t="s">
        <v>499</v>
      </c>
      <c r="H324" s="44" t="s">
        <v>33</v>
      </c>
      <c r="I324" s="44" t="s">
        <v>309</v>
      </c>
      <c r="J324" s="44"/>
      <c r="K324" s="56">
        <f>SUMIF('TB-Jan-25'!$A$12:$A$167,'Working-Jan-25'!C324,'TB-Jan-25'!$E$12:$E$167)</f>
        <v>0</v>
      </c>
      <c r="L324" s="56">
        <f>SUMIF('TB-Jan-25'!I:I,C324,'TB-Jan-25'!M:M)</f>
        <v>0</v>
      </c>
      <c r="M324" s="56">
        <f t="shared" si="10"/>
        <v>0</v>
      </c>
      <c r="N324" s="57">
        <f>IFERROR(VLOOKUP(C324,'[1]TB-Jun-24'!A:F,6,FALSE),0)</f>
        <v>0</v>
      </c>
      <c r="O324" s="35">
        <f>IFERROR(VLOOKUP(C324,'[1]TB-Jun-24'!I:N,6,FALSE),0)</f>
        <v>0</v>
      </c>
      <c r="Q324" s="35" t="s">
        <v>33</v>
      </c>
    </row>
    <row r="325" hidden="1" spans="2:17">
      <c r="B325" s="35">
        <f t="shared" si="9"/>
        <v>294</v>
      </c>
      <c r="C325" s="43" t="s">
        <v>1232</v>
      </c>
      <c r="D325" s="43" t="s">
        <v>939</v>
      </c>
      <c r="E325" s="44" t="s">
        <v>1070</v>
      </c>
      <c r="F325" s="44" t="s">
        <v>33</v>
      </c>
      <c r="G325" s="44" t="s">
        <v>1233</v>
      </c>
      <c r="H325" s="44" t="s">
        <v>120</v>
      </c>
      <c r="I325" s="44" t="s">
        <v>309</v>
      </c>
      <c r="J325" s="44"/>
      <c r="K325" s="56">
        <f>SUMIF('TB-Jan-25'!$A$12:$A$167,'Working-Jan-25'!C325,'TB-Jan-25'!$E$12:$E$167)</f>
        <v>0</v>
      </c>
      <c r="L325" s="56">
        <f>SUMIF('TB-Jan-25'!I:I,C325,'TB-Jan-25'!M:M)</f>
        <v>0</v>
      </c>
      <c r="M325" s="56">
        <f t="shared" si="10"/>
        <v>0</v>
      </c>
      <c r="N325" s="57">
        <f>IFERROR(VLOOKUP(C325,'[1]TB-Jun-24'!A:F,6,FALSE),0)</f>
        <v>0</v>
      </c>
      <c r="O325" s="35">
        <f>IFERROR(VLOOKUP(C325,'[1]TB-Jun-24'!I:N,6,FALSE),0)</f>
        <v>0</v>
      </c>
      <c r="Q325" s="35" t="s">
        <v>120</v>
      </c>
    </row>
    <row r="326" hidden="1" spans="2:17">
      <c r="B326" s="35">
        <f t="shared" si="9"/>
        <v>295</v>
      </c>
      <c r="C326" s="43" t="s">
        <v>1234</v>
      </c>
      <c r="D326" s="43" t="s">
        <v>939</v>
      </c>
      <c r="E326" s="44" t="s">
        <v>1070</v>
      </c>
      <c r="F326" s="44" t="s">
        <v>33</v>
      </c>
      <c r="G326" s="44" t="s">
        <v>1235</v>
      </c>
      <c r="H326" s="44" t="s">
        <v>33</v>
      </c>
      <c r="I326" s="44" t="s">
        <v>309</v>
      </c>
      <c r="J326" s="44"/>
      <c r="K326" s="56">
        <f>SUMIF('TB-Jan-25'!$A$12:$A$167,'Working-Jan-25'!C326,'TB-Jan-25'!$E$12:$E$167)</f>
        <v>0</v>
      </c>
      <c r="L326" s="56">
        <f>SUMIF('TB-Jan-25'!I:I,C326,'TB-Jan-25'!M:M)</f>
        <v>0</v>
      </c>
      <c r="M326" s="56">
        <f t="shared" si="10"/>
        <v>0</v>
      </c>
      <c r="N326" s="57">
        <f>IFERROR(VLOOKUP(C326,'[1]TB-Jun-24'!A:F,6,FALSE),0)</f>
        <v>0</v>
      </c>
      <c r="O326" s="35">
        <f>IFERROR(VLOOKUP(C326,'[1]TB-Jun-24'!I:N,6,FALSE),0)</f>
        <v>0</v>
      </c>
      <c r="Q326" s="35" t="s">
        <v>33</v>
      </c>
    </row>
    <row r="327" hidden="1" spans="2:17">
      <c r="B327" s="35">
        <f t="shared" si="9"/>
        <v>296</v>
      </c>
      <c r="C327" s="43" t="s">
        <v>1236</v>
      </c>
      <c r="D327" s="43" t="s">
        <v>939</v>
      </c>
      <c r="E327" s="44" t="s">
        <v>1237</v>
      </c>
      <c r="F327" s="44" t="s">
        <v>33</v>
      </c>
      <c r="G327" s="44" t="s">
        <v>627</v>
      </c>
      <c r="H327" s="44" t="s">
        <v>33</v>
      </c>
      <c r="I327" s="44" t="s">
        <v>309</v>
      </c>
      <c r="J327" s="44"/>
      <c r="K327" s="56">
        <f>SUMIF('TB-Jan-25'!$A$12:$A$167,'Working-Jan-25'!C327,'TB-Jan-25'!$E$12:$E$167)</f>
        <v>0</v>
      </c>
      <c r="L327" s="56">
        <f>SUMIF('TB-Jan-25'!I:I,C327,'TB-Jan-25'!M:M)</f>
        <v>0</v>
      </c>
      <c r="M327" s="56">
        <f t="shared" si="10"/>
        <v>0</v>
      </c>
      <c r="N327" s="57">
        <f>IFERROR(VLOOKUP(C327,'[1]TB-Jun-24'!A:F,6,FALSE),0)</f>
        <v>0</v>
      </c>
      <c r="O327" s="35">
        <f>IFERROR(VLOOKUP(C327,'[1]TB-Jun-24'!I:N,6,FALSE),0)</f>
        <v>0</v>
      </c>
      <c r="Q327" s="35" t="s">
        <v>33</v>
      </c>
    </row>
    <row r="328" hidden="1" spans="2:17">
      <c r="B328" s="35">
        <f t="shared" si="9"/>
        <v>297</v>
      </c>
      <c r="C328" s="43" t="s">
        <v>830</v>
      </c>
      <c r="D328" s="43" t="s">
        <v>939</v>
      </c>
      <c r="E328" s="44" t="s">
        <v>953</v>
      </c>
      <c r="F328" s="44" t="s">
        <v>33</v>
      </c>
      <c r="G328" s="44" t="s">
        <v>517</v>
      </c>
      <c r="H328" s="44" t="s">
        <v>33</v>
      </c>
      <c r="I328" s="44" t="s">
        <v>309</v>
      </c>
      <c r="J328" s="44"/>
      <c r="K328" s="56">
        <f>SUMIF('TB-Jan-25'!$A$12:$A$167,'Working-Jan-25'!C328,'TB-Jan-25'!$E$12:$E$167)</f>
        <v>20000</v>
      </c>
      <c r="L328" s="56">
        <f>SUMIF('TB-Jan-25'!I:I,C328,'TB-Jan-25'!M:M)</f>
        <v>0</v>
      </c>
      <c r="M328" s="56">
        <f t="shared" si="10"/>
        <v>20000</v>
      </c>
      <c r="N328" s="57" t="e">
        <f>SUMIF([6]Final!$B:$B,C328,[6]Final!$F:$F)-M328</f>
        <v>#VALUE!</v>
      </c>
      <c r="O328" s="35">
        <f>IFERROR(VLOOKUP(C328,'[1]TB-Jun-24'!I:N,6,FALSE),0)</f>
        <v>0</v>
      </c>
      <c r="Q328" s="35" t="s">
        <v>33</v>
      </c>
    </row>
    <row r="329" hidden="1" spans="2:17">
      <c r="B329" s="35">
        <f t="shared" si="9"/>
        <v>298</v>
      </c>
      <c r="C329" s="43" t="s">
        <v>1238</v>
      </c>
      <c r="D329" s="43" t="s">
        <v>939</v>
      </c>
      <c r="E329" s="44" t="s">
        <v>1218</v>
      </c>
      <c r="F329" s="44" t="s">
        <v>33</v>
      </c>
      <c r="G329" s="44" t="s">
        <v>573</v>
      </c>
      <c r="H329" s="44" t="s">
        <v>120</v>
      </c>
      <c r="I329" s="44" t="s">
        <v>309</v>
      </c>
      <c r="J329" s="44"/>
      <c r="K329" s="56">
        <f>SUMIF('TB-Jan-25'!$A$12:$A$167,'Working-Jan-25'!C329,'TB-Jan-25'!$E$12:$E$167)</f>
        <v>0</v>
      </c>
      <c r="L329" s="56">
        <f>SUMIF('TB-Jan-25'!I:I,C329,'TB-Jan-25'!M:M)</f>
        <v>0</v>
      </c>
      <c r="M329" s="56">
        <f t="shared" si="10"/>
        <v>0</v>
      </c>
      <c r="N329" s="57">
        <f>IFERROR(VLOOKUP(C329,'[1]TB-Jun-24'!A:F,6,FALSE),0)</f>
        <v>0</v>
      </c>
      <c r="O329" s="35">
        <f>IFERROR(VLOOKUP(C329,'[1]TB-Jun-24'!I:N,6,FALSE),0)</f>
        <v>0</v>
      </c>
      <c r="Q329" s="35" t="s">
        <v>120</v>
      </c>
    </row>
    <row r="330" hidden="1" spans="2:17">
      <c r="B330" s="35">
        <f t="shared" si="9"/>
        <v>299</v>
      </c>
      <c r="C330" s="43" t="s">
        <v>1239</v>
      </c>
      <c r="D330" s="43" t="s">
        <v>939</v>
      </c>
      <c r="E330" s="44" t="s">
        <v>1176</v>
      </c>
      <c r="F330" s="44" t="s">
        <v>33</v>
      </c>
      <c r="G330" s="44" t="s">
        <v>538</v>
      </c>
      <c r="H330" s="44" t="s">
        <v>120</v>
      </c>
      <c r="I330" s="44" t="s">
        <v>309</v>
      </c>
      <c r="J330" s="44"/>
      <c r="K330" s="56">
        <f>SUMIF('TB-Jan-25'!$A$12:$A$167,'Working-Jan-25'!C330,'TB-Jan-25'!$E$12:$E$167)</f>
        <v>0</v>
      </c>
      <c r="L330" s="56">
        <f>SUMIF('TB-Jan-25'!I:I,C330,'TB-Jan-25'!M:M)</f>
        <v>0</v>
      </c>
      <c r="M330" s="56">
        <f t="shared" si="10"/>
        <v>0</v>
      </c>
      <c r="N330" s="57">
        <f>IFERROR(VLOOKUP(C330,'[1]TB-Jun-24'!A:F,6,FALSE),0)</f>
        <v>0</v>
      </c>
      <c r="O330" s="35">
        <f>IFERROR(VLOOKUP(C330,'[1]TB-Jun-24'!I:N,6,FALSE),0)</f>
        <v>0</v>
      </c>
      <c r="Q330" s="35" t="s">
        <v>120</v>
      </c>
    </row>
    <row r="331" hidden="1" spans="2:17">
      <c r="B331" s="35">
        <f t="shared" si="9"/>
        <v>300</v>
      </c>
      <c r="C331" s="43" t="s">
        <v>1240</v>
      </c>
      <c r="D331" s="43" t="s">
        <v>935</v>
      </c>
      <c r="E331" s="44" t="s">
        <v>1241</v>
      </c>
      <c r="F331" s="44" t="s">
        <v>33</v>
      </c>
      <c r="G331" s="44" t="s">
        <v>1242</v>
      </c>
      <c r="H331" s="44" t="s">
        <v>33</v>
      </c>
      <c r="I331" s="44" t="s">
        <v>309</v>
      </c>
      <c r="J331" s="44"/>
      <c r="K331" s="56">
        <f>SUMIF('TB-Jan-25'!$A$12:$A$167,'Working-Jan-25'!C331,'TB-Jan-25'!$E$12:$E$167)</f>
        <v>0</v>
      </c>
      <c r="L331" s="56">
        <f>SUMIF('TB-Jan-25'!I:I,C331,'TB-Jan-25'!M:M)</f>
        <v>0</v>
      </c>
      <c r="M331" s="56">
        <f t="shared" si="10"/>
        <v>0</v>
      </c>
      <c r="N331" s="57">
        <f>IFERROR(VLOOKUP(C331,'[1]TB-Jun-24'!A:F,6,FALSE),0)</f>
        <v>0</v>
      </c>
      <c r="O331" s="35">
        <f>IFERROR(VLOOKUP(C331,'[1]TB-Jun-24'!I:N,6,FALSE),0)</f>
        <v>0</v>
      </c>
      <c r="Q331" s="35" t="s">
        <v>33</v>
      </c>
    </row>
    <row r="332" hidden="1" spans="2:17">
      <c r="B332" s="35">
        <f t="shared" si="9"/>
        <v>301</v>
      </c>
      <c r="C332" s="43" t="s">
        <v>1243</v>
      </c>
      <c r="D332" s="43" t="s">
        <v>939</v>
      </c>
      <c r="E332" s="44" t="s">
        <v>1244</v>
      </c>
      <c r="F332" s="44" t="s">
        <v>33</v>
      </c>
      <c r="G332" s="44" t="s">
        <v>1245</v>
      </c>
      <c r="H332" s="44" t="s">
        <v>33</v>
      </c>
      <c r="I332" s="44" t="s">
        <v>309</v>
      </c>
      <c r="J332" s="44"/>
      <c r="K332" s="56">
        <f>SUMIF('TB-Jan-25'!$A$12:$A$167,'Working-Jan-25'!C332,'TB-Jan-25'!$E$12:$E$167)</f>
        <v>0</v>
      </c>
      <c r="L332" s="56">
        <f>SUMIF('TB-Jan-25'!I:I,C332,'TB-Jan-25'!M:M)</f>
        <v>0</v>
      </c>
      <c r="M332" s="56">
        <f t="shared" si="10"/>
        <v>0</v>
      </c>
      <c r="N332" s="57">
        <f>IFERROR(VLOOKUP(C332,'[1]TB-Jun-24'!A:F,6,FALSE),0)</f>
        <v>0</v>
      </c>
      <c r="O332" s="35">
        <f>IFERROR(VLOOKUP(C332,'[1]TB-Jun-24'!I:N,6,FALSE),0)</f>
        <v>0</v>
      </c>
      <c r="Q332" s="35" t="s">
        <v>33</v>
      </c>
    </row>
    <row r="333" hidden="1" spans="2:17">
      <c r="B333" s="35">
        <f t="shared" si="9"/>
        <v>302</v>
      </c>
      <c r="C333" s="43" t="s">
        <v>1246</v>
      </c>
      <c r="D333" s="43" t="s">
        <v>939</v>
      </c>
      <c r="E333" s="44" t="s">
        <v>1247</v>
      </c>
      <c r="F333" s="44" t="s">
        <v>33</v>
      </c>
      <c r="G333" s="44" t="s">
        <v>483</v>
      </c>
      <c r="H333" s="44" t="s">
        <v>33</v>
      </c>
      <c r="I333" s="44" t="s">
        <v>309</v>
      </c>
      <c r="J333" s="44"/>
      <c r="K333" s="56">
        <f>SUMIF('TB-Jan-25'!$A$12:$A$167,'Working-Jan-25'!C333,'TB-Jan-25'!$E$12:$E$167)</f>
        <v>0</v>
      </c>
      <c r="L333" s="56">
        <f>SUMIF('TB-Jan-25'!I:I,C333,'TB-Jan-25'!M:M)</f>
        <v>0</v>
      </c>
      <c r="M333" s="56">
        <f t="shared" si="10"/>
        <v>0</v>
      </c>
      <c r="N333" s="57">
        <f>IFERROR(VLOOKUP(C333,'[1]TB-Jun-24'!A:F,6,FALSE),0)</f>
        <v>0</v>
      </c>
      <c r="O333" s="35">
        <f>IFERROR(VLOOKUP(C333,'[1]TB-Jun-24'!I:N,6,FALSE),0)</f>
        <v>0</v>
      </c>
      <c r="Q333" s="35" t="s">
        <v>33</v>
      </c>
    </row>
    <row r="334" hidden="1" spans="2:17">
      <c r="B334" s="35">
        <f t="shared" si="9"/>
        <v>303</v>
      </c>
      <c r="C334" s="43" t="s">
        <v>1248</v>
      </c>
      <c r="D334" s="43" t="s">
        <v>939</v>
      </c>
      <c r="E334" s="44" t="s">
        <v>1249</v>
      </c>
      <c r="F334" s="44" t="s">
        <v>33</v>
      </c>
      <c r="G334" s="44" t="s">
        <v>483</v>
      </c>
      <c r="H334" s="44" t="s">
        <v>33</v>
      </c>
      <c r="I334" s="44" t="s">
        <v>309</v>
      </c>
      <c r="J334" s="44"/>
      <c r="K334" s="56">
        <f>SUMIF('TB-Jan-25'!$A$12:$A$167,'Working-Jan-25'!C334,'TB-Jan-25'!$E$12:$E$167)</f>
        <v>0</v>
      </c>
      <c r="L334" s="56">
        <f>SUMIF('TB-Jan-25'!I:I,C334,'TB-Jan-25'!M:M)</f>
        <v>0</v>
      </c>
      <c r="M334" s="56">
        <f t="shared" si="10"/>
        <v>0</v>
      </c>
      <c r="N334" s="57">
        <f>IFERROR(VLOOKUP(C334,'[1]TB-Jun-24'!A:F,6,FALSE),0)</f>
        <v>0</v>
      </c>
      <c r="O334" s="35">
        <f>IFERROR(VLOOKUP(C334,'[1]TB-Jun-24'!I:N,6,FALSE),0)</f>
        <v>0</v>
      </c>
      <c r="Q334" s="35" t="s">
        <v>33</v>
      </c>
    </row>
    <row r="335" hidden="1" spans="2:17">
      <c r="B335" s="35">
        <f t="shared" si="9"/>
        <v>304</v>
      </c>
      <c r="C335" s="43" t="s">
        <v>1250</v>
      </c>
      <c r="D335" s="43" t="s">
        <v>939</v>
      </c>
      <c r="E335" s="44" t="s">
        <v>1249</v>
      </c>
      <c r="F335" s="44" t="s">
        <v>33</v>
      </c>
      <c r="G335" s="44" t="s">
        <v>483</v>
      </c>
      <c r="H335" s="44" t="s">
        <v>33</v>
      </c>
      <c r="I335" s="44" t="s">
        <v>309</v>
      </c>
      <c r="J335" s="44"/>
      <c r="K335" s="56">
        <f>SUMIF('TB-Jan-25'!$A$12:$A$167,'Working-Jan-25'!C335,'TB-Jan-25'!$E$12:$E$167)</f>
        <v>0</v>
      </c>
      <c r="L335" s="56">
        <f>SUMIF('TB-Jan-25'!I:I,C335,'TB-Jan-25'!M:M)</f>
        <v>0</v>
      </c>
      <c r="M335" s="56">
        <f t="shared" si="10"/>
        <v>0</v>
      </c>
      <c r="N335" s="57">
        <f>IFERROR(VLOOKUP(C335,'[1]TB-Jun-24'!A:F,6,FALSE),0)</f>
        <v>0</v>
      </c>
      <c r="O335" s="35">
        <f>IFERROR(VLOOKUP(C335,'[1]TB-Jun-24'!I:N,6,FALSE),0)</f>
        <v>0</v>
      </c>
      <c r="Q335" s="35" t="s">
        <v>33</v>
      </c>
    </row>
    <row r="336" hidden="1" spans="2:17">
      <c r="B336" s="35">
        <f t="shared" si="9"/>
        <v>305</v>
      </c>
      <c r="C336" s="43" t="s">
        <v>576</v>
      </c>
      <c r="D336" s="43" t="s">
        <v>939</v>
      </c>
      <c r="E336" s="44" t="s">
        <v>1249</v>
      </c>
      <c r="F336" s="44" t="s">
        <v>33</v>
      </c>
      <c r="G336" s="44" t="s">
        <v>483</v>
      </c>
      <c r="H336" s="44" t="s">
        <v>33</v>
      </c>
      <c r="I336" s="44" t="s">
        <v>309</v>
      </c>
      <c r="J336" s="44"/>
      <c r="K336" s="56">
        <f>SUMIF('TB-Jan-25'!$A$12:$A$167,'Working-Jan-25'!C336,'TB-Jan-25'!$E$12:$E$167)</f>
        <v>194145.32</v>
      </c>
      <c r="L336" s="56">
        <f>SUMIF('TB-Jan-25'!I:I,C336,'TB-Jan-25'!M:M)</f>
        <v>-194146.3</v>
      </c>
      <c r="M336" s="56">
        <f t="shared" si="10"/>
        <v>-0.979999999981374</v>
      </c>
      <c r="N336" s="57">
        <f>IFERROR(VLOOKUP(C336,'[1]TB-Jun-24'!A:F,6,FALSE),0)</f>
        <v>5635.7</v>
      </c>
      <c r="O336" s="35">
        <f>IFERROR(VLOOKUP(C336,'[1]TB-Jun-24'!I:N,6,FALSE),0)</f>
        <v>-5636</v>
      </c>
      <c r="Q336" s="35" t="s">
        <v>33</v>
      </c>
    </row>
    <row r="337" hidden="1" spans="2:14">
      <c r="B337" s="35">
        <f t="shared" si="9"/>
        <v>306</v>
      </c>
      <c r="C337" s="43" t="s">
        <v>838</v>
      </c>
      <c r="D337" s="43"/>
      <c r="E337" s="44" t="s">
        <v>1249</v>
      </c>
      <c r="F337" s="44" t="s">
        <v>33</v>
      </c>
      <c r="G337" s="44" t="s">
        <v>483</v>
      </c>
      <c r="H337" s="44" t="s">
        <v>33</v>
      </c>
      <c r="I337" s="44" t="s">
        <v>309</v>
      </c>
      <c r="J337" s="44"/>
      <c r="K337" s="56">
        <f>SUMIF('TB-Jan-25'!$A$12:$A$167,'Working-Jan-25'!C337,'TB-Jan-25'!$E$12:$E$167)</f>
        <v>225744.28</v>
      </c>
      <c r="L337" s="56">
        <f>SUMIF('TB-Jan-25'!I:I,C337,'TB-Jan-25'!M:M)</f>
        <v>-225744</v>
      </c>
      <c r="M337" s="56">
        <f t="shared" si="10"/>
        <v>0.279999999998836</v>
      </c>
      <c r="N337" s="57"/>
    </row>
    <row r="338" hidden="1" spans="2:17">
      <c r="B338" s="35">
        <f t="shared" ref="B338:B401" si="11">+B337+1</f>
        <v>307</v>
      </c>
      <c r="C338" s="43" t="s">
        <v>1251</v>
      </c>
      <c r="D338" s="43" t="s">
        <v>939</v>
      </c>
      <c r="E338" s="44" t="s">
        <v>1249</v>
      </c>
      <c r="F338" s="44" t="s">
        <v>33</v>
      </c>
      <c r="G338" s="44" t="s">
        <v>483</v>
      </c>
      <c r="H338" s="44" t="s">
        <v>33</v>
      </c>
      <c r="I338" s="44" t="s">
        <v>309</v>
      </c>
      <c r="J338" s="44"/>
      <c r="K338" s="56">
        <f>SUMIF('TB-Jan-25'!$A$12:$A$167,'Working-Jan-25'!C338,'TB-Jan-25'!$E$12:$E$167)</f>
        <v>0</v>
      </c>
      <c r="L338" s="56">
        <f>SUMIF('TB-Jan-25'!I:I,C338,'TB-Jan-25'!M:M)</f>
        <v>0</v>
      </c>
      <c r="M338" s="56">
        <f t="shared" si="10"/>
        <v>0</v>
      </c>
      <c r="N338" s="57">
        <f>IFERROR(VLOOKUP(C338,'[1]TB-Jun-24'!A:F,6,FALSE),0)</f>
        <v>0</v>
      </c>
      <c r="O338" s="35">
        <f>IFERROR(VLOOKUP(C338,'[1]TB-Jun-24'!I:N,6,FALSE),0)</f>
        <v>0</v>
      </c>
      <c r="Q338" s="35" t="s">
        <v>33</v>
      </c>
    </row>
    <row r="339" hidden="1" spans="2:17">
      <c r="B339" s="35">
        <f t="shared" si="11"/>
        <v>308</v>
      </c>
      <c r="C339" s="43" t="s">
        <v>578</v>
      </c>
      <c r="D339" s="43" t="s">
        <v>939</v>
      </c>
      <c r="E339" s="44" t="s">
        <v>1249</v>
      </c>
      <c r="F339" s="44" t="s">
        <v>33</v>
      </c>
      <c r="G339" s="44" t="s">
        <v>483</v>
      </c>
      <c r="H339" s="44" t="s">
        <v>33</v>
      </c>
      <c r="I339" s="44" t="s">
        <v>309</v>
      </c>
      <c r="J339" s="44"/>
      <c r="K339" s="56">
        <f>SUMIF('TB-Jan-25'!$A$12:$A$167,'Working-Jan-25'!C339,'TB-Jan-25'!$E$12:$E$167)</f>
        <v>0</v>
      </c>
      <c r="L339" s="56">
        <f>SUMIF('TB-Jan-25'!I:I,C339,'TB-Jan-25'!M:M)</f>
        <v>0</v>
      </c>
      <c r="M339" s="56">
        <f t="shared" si="10"/>
        <v>0</v>
      </c>
      <c r="N339" s="57">
        <f>IFERROR(VLOOKUP(C339,'[1]TB-Jun-24'!A:F,6,FALSE),0)</f>
        <v>0</v>
      </c>
      <c r="O339" s="35">
        <f>IFERROR(VLOOKUP(C339,'[1]TB-Jun-24'!I:N,6,FALSE),0)</f>
        <v>0</v>
      </c>
      <c r="Q339" s="35" t="s">
        <v>33</v>
      </c>
    </row>
    <row r="340" hidden="1" spans="2:17">
      <c r="B340" s="35">
        <f t="shared" si="11"/>
        <v>309</v>
      </c>
      <c r="C340" s="43" t="s">
        <v>581</v>
      </c>
      <c r="D340" s="43" t="s">
        <v>939</v>
      </c>
      <c r="E340" s="44" t="s">
        <v>1249</v>
      </c>
      <c r="F340" s="44" t="s">
        <v>33</v>
      </c>
      <c r="G340" s="44" t="s">
        <v>483</v>
      </c>
      <c r="H340" s="45" t="s">
        <v>33</v>
      </c>
      <c r="I340" s="44" t="s">
        <v>309</v>
      </c>
      <c r="J340" s="44"/>
      <c r="K340" s="56">
        <f>SUMIF('TB-Jan-25'!$A$12:$A$167,'Working-Jan-25'!C340,'TB-Jan-25'!$E$12:$E$167)</f>
        <v>124318.4</v>
      </c>
      <c r="L340" s="56">
        <f>SUMIF('TB-Jan-25'!I:I,C340,'TB-Jan-25'!M:M)</f>
        <v>-106042</v>
      </c>
      <c r="M340" s="56">
        <f t="shared" si="10"/>
        <v>18276.4</v>
      </c>
      <c r="N340" s="57" t="e">
        <f>SUMIF([6]Final!$B:$B,C340,[6]Final!$F:$F)-M340</f>
        <v>#VALUE!</v>
      </c>
      <c r="O340" s="35">
        <f>IFERROR(VLOOKUP(C340,'[1]TB-Jun-24'!I:N,6,FALSE),0)</f>
        <v>-100502</v>
      </c>
      <c r="Q340" s="35" t="s">
        <v>1163</v>
      </c>
    </row>
    <row r="341" hidden="1" spans="2:17">
      <c r="B341" s="35">
        <f t="shared" si="11"/>
        <v>310</v>
      </c>
      <c r="C341" s="43" t="s">
        <v>584</v>
      </c>
      <c r="D341" s="43" t="s">
        <v>939</v>
      </c>
      <c r="E341" s="44" t="s">
        <v>1249</v>
      </c>
      <c r="F341" s="44" t="s">
        <v>33</v>
      </c>
      <c r="G341" s="44" t="s">
        <v>483</v>
      </c>
      <c r="H341" s="45" t="s">
        <v>33</v>
      </c>
      <c r="I341" s="44" t="s">
        <v>309</v>
      </c>
      <c r="J341" s="44"/>
      <c r="K341" s="56">
        <f>SUMIF('TB-Jan-25'!$A$12:$A$167,'Working-Jan-25'!C341,'TB-Jan-25'!$E$12:$E$167)</f>
        <v>770169.33</v>
      </c>
      <c r="L341" s="56">
        <f>SUMIF('TB-Jan-25'!I:I,C341,'TB-Jan-25'!M:M)</f>
        <v>-210737</v>
      </c>
      <c r="M341" s="56">
        <f t="shared" si="10"/>
        <v>559432.33</v>
      </c>
      <c r="N341" s="57" t="e">
        <f>SUMIF([6]Final!$B:$B,C341,[6]Final!$F:$F)-M341</f>
        <v>#VALUE!</v>
      </c>
      <c r="O341" s="35">
        <f>IFERROR(VLOOKUP(C341,'[1]TB-Jun-24'!I:N,6,FALSE),0)</f>
        <v>-363685</v>
      </c>
      <c r="Q341" s="35" t="s">
        <v>937</v>
      </c>
    </row>
    <row r="342" hidden="1" spans="2:17">
      <c r="B342" s="35">
        <f t="shared" si="11"/>
        <v>311</v>
      </c>
      <c r="C342" s="43" t="s">
        <v>587</v>
      </c>
      <c r="D342" s="43" t="s">
        <v>939</v>
      </c>
      <c r="E342" s="44" t="s">
        <v>1249</v>
      </c>
      <c r="F342" s="44" t="s">
        <v>33</v>
      </c>
      <c r="G342" s="44" t="s">
        <v>483</v>
      </c>
      <c r="H342" s="45" t="s">
        <v>33</v>
      </c>
      <c r="I342" s="44" t="s">
        <v>309</v>
      </c>
      <c r="J342" s="44"/>
      <c r="K342" s="56">
        <f>SUMIF('TB-Jan-25'!$A$12:$A$167,'Working-Jan-25'!C342,'TB-Jan-25'!$E$12:$E$167)</f>
        <v>8200</v>
      </c>
      <c r="L342" s="56">
        <f>SUMIF('TB-Jan-25'!I:I,C342,'TB-Jan-25'!M:M)</f>
        <v>-3036</v>
      </c>
      <c r="M342" s="56">
        <f t="shared" si="10"/>
        <v>5164</v>
      </c>
      <c r="N342" s="57" t="e">
        <f>SUMIF([6]Final!$B:$B,C342,[6]Final!$F:$F)-M342</f>
        <v>#VALUE!</v>
      </c>
      <c r="O342" s="35">
        <f>IFERROR(VLOOKUP(C342,'[1]TB-Jun-24'!I:N,6,FALSE),0)</f>
        <v>-126317</v>
      </c>
      <c r="Q342" s="35" t="s">
        <v>1163</v>
      </c>
    </row>
    <row r="343" hidden="1" spans="2:17">
      <c r="B343" s="35">
        <f t="shared" si="11"/>
        <v>312</v>
      </c>
      <c r="C343" s="43" t="s">
        <v>589</v>
      </c>
      <c r="D343" s="43" t="s">
        <v>939</v>
      </c>
      <c r="E343" s="44" t="s">
        <v>1249</v>
      </c>
      <c r="F343" s="44" t="s">
        <v>33</v>
      </c>
      <c r="G343" s="44" t="s">
        <v>483</v>
      </c>
      <c r="H343" s="44" t="s">
        <v>33</v>
      </c>
      <c r="I343" s="44" t="s">
        <v>309</v>
      </c>
      <c r="J343" s="44"/>
      <c r="K343" s="56">
        <f>SUMIF('TB-Jan-25'!$A$12:$A$167,'Working-Jan-25'!C343,'TB-Jan-25'!$E$12:$E$167)</f>
        <v>3392.45</v>
      </c>
      <c r="L343" s="56">
        <f>SUMIF('TB-Jan-25'!I:I,C343,'TB-Jan-25'!M:M)</f>
        <v>19060</v>
      </c>
      <c r="M343" s="56">
        <f t="shared" si="10"/>
        <v>22452.45</v>
      </c>
      <c r="N343" s="57" t="e">
        <f>SUMIF([6]Final!$B:$B,C343,[6]Final!$F:$F)-M343</f>
        <v>#VALUE!</v>
      </c>
      <c r="O343" s="35">
        <f>IFERROR(VLOOKUP(C343,'[1]TB-Jun-24'!I:N,6,FALSE),0)</f>
        <v>-930</v>
      </c>
      <c r="Q343" s="35" t="s">
        <v>33</v>
      </c>
    </row>
    <row r="344" hidden="1" spans="2:17">
      <c r="B344" s="35">
        <f t="shared" si="11"/>
        <v>313</v>
      </c>
      <c r="C344" s="43" t="s">
        <v>593</v>
      </c>
      <c r="D344" s="43" t="s">
        <v>939</v>
      </c>
      <c r="E344" s="44" t="s">
        <v>1249</v>
      </c>
      <c r="F344" s="44" t="s">
        <v>33</v>
      </c>
      <c r="G344" s="44" t="s">
        <v>483</v>
      </c>
      <c r="H344" s="44" t="s">
        <v>33</v>
      </c>
      <c r="I344" s="44" t="s">
        <v>309</v>
      </c>
      <c r="J344" s="44"/>
      <c r="K344" s="56">
        <f>SUMIF('TB-Jan-25'!$A$12:$A$167,'Working-Jan-25'!C344,'TB-Jan-25'!$E$12:$E$167)</f>
        <v>0</v>
      </c>
      <c r="L344" s="56">
        <f>SUMIF('TB-Jan-25'!I:I,C344,'TB-Jan-25'!M:M)</f>
        <v>0</v>
      </c>
      <c r="M344" s="56">
        <f t="shared" si="10"/>
        <v>0</v>
      </c>
      <c r="N344" s="57">
        <f>IFERROR(VLOOKUP(C344,'[1]TB-Jun-24'!A:F,6,FALSE),0)</f>
        <v>0</v>
      </c>
      <c r="O344" s="35">
        <f>IFERROR(VLOOKUP(C344,'[1]TB-Jun-24'!I:N,6,FALSE),0)</f>
        <v>0</v>
      </c>
      <c r="Q344" s="35" t="s">
        <v>33</v>
      </c>
    </row>
    <row r="345" hidden="1" spans="2:17">
      <c r="B345" s="35">
        <f t="shared" si="11"/>
        <v>314</v>
      </c>
      <c r="C345" s="43" t="s">
        <v>595</v>
      </c>
      <c r="D345" s="43" t="s">
        <v>939</v>
      </c>
      <c r="E345" s="44" t="s">
        <v>1249</v>
      </c>
      <c r="F345" s="44" t="s">
        <v>33</v>
      </c>
      <c r="G345" s="44" t="s">
        <v>483</v>
      </c>
      <c r="H345" s="44" t="s">
        <v>33</v>
      </c>
      <c r="I345" s="44" t="s">
        <v>309</v>
      </c>
      <c r="J345" s="44"/>
      <c r="K345" s="56">
        <f>SUMIF('TB-Jan-25'!$A$12:$A$167,'Working-Jan-25'!C345,'TB-Jan-25'!$E$12:$E$167)</f>
        <v>4649.7</v>
      </c>
      <c r="L345" s="56">
        <f>SUMIF('TB-Jan-25'!I:I,C345,'TB-Jan-25'!M:M)</f>
        <v>6878.3</v>
      </c>
      <c r="M345" s="56">
        <f t="shared" si="10"/>
        <v>11528</v>
      </c>
      <c r="N345" s="57" t="e">
        <f>SUMIF([6]Final!$B:$B,C345,[6]Final!$F:$F)-M345</f>
        <v>#VALUE!</v>
      </c>
      <c r="O345" s="35">
        <f>IFERROR(VLOOKUP(C345,'[1]TB-Jun-24'!I:N,6,FALSE),0)</f>
        <v>-13660</v>
      </c>
      <c r="Q345" s="35" t="s">
        <v>33</v>
      </c>
    </row>
    <row r="346" hidden="1" spans="2:17">
      <c r="B346" s="35">
        <f t="shared" si="11"/>
        <v>315</v>
      </c>
      <c r="C346" s="43" t="s">
        <v>597</v>
      </c>
      <c r="D346" s="43" t="s">
        <v>939</v>
      </c>
      <c r="E346" s="44" t="s">
        <v>1249</v>
      </c>
      <c r="F346" s="44" t="s">
        <v>33</v>
      </c>
      <c r="G346" s="44" t="s">
        <v>483</v>
      </c>
      <c r="H346" s="44" t="s">
        <v>33</v>
      </c>
      <c r="I346" s="44" t="s">
        <v>309</v>
      </c>
      <c r="J346" s="44"/>
      <c r="K346" s="56">
        <f>SUMIF('TB-Jan-25'!$A$12:$A$167,'Working-Jan-25'!C346,'TB-Jan-25'!$E$12:$E$167)</f>
        <v>0</v>
      </c>
      <c r="L346" s="56">
        <f>SUMIF('TB-Jan-25'!I:I,C346,'TB-Jan-25'!M:M)</f>
        <v>0</v>
      </c>
      <c r="M346" s="56">
        <f t="shared" si="10"/>
        <v>0</v>
      </c>
      <c r="N346" s="57">
        <f>IFERROR(VLOOKUP(C346,'[1]TB-Jun-24'!A:F,6,FALSE),0)</f>
        <v>0</v>
      </c>
      <c r="O346" s="35">
        <f>IFERROR(VLOOKUP(C346,'[1]TB-Jun-24'!I:N,6,FALSE),0)</f>
        <v>0</v>
      </c>
      <c r="Q346" s="35" t="s">
        <v>33</v>
      </c>
    </row>
    <row r="347" hidden="1" spans="2:17">
      <c r="B347" s="35">
        <f t="shared" si="11"/>
        <v>316</v>
      </c>
      <c r="C347" s="43" t="s">
        <v>599</v>
      </c>
      <c r="D347" s="43" t="s">
        <v>939</v>
      </c>
      <c r="E347" s="44" t="s">
        <v>1249</v>
      </c>
      <c r="F347" s="44" t="s">
        <v>33</v>
      </c>
      <c r="G347" s="44" t="s">
        <v>484</v>
      </c>
      <c r="H347" s="44" t="s">
        <v>121</v>
      </c>
      <c r="I347" s="44" t="s">
        <v>309</v>
      </c>
      <c r="J347" s="44"/>
      <c r="K347" s="56">
        <f>SUMIF('TB-Jan-25'!$A$12:$A$167,'Working-Jan-25'!C347,'TB-Jan-25'!$E$12:$E$167)</f>
        <v>24763</v>
      </c>
      <c r="L347" s="56">
        <f>SUMIF('TB-Jan-25'!I:I,C347,'TB-Jan-25'!M:M)</f>
        <v>-24763</v>
      </c>
      <c r="M347" s="56">
        <f t="shared" si="10"/>
        <v>0</v>
      </c>
      <c r="N347" s="57">
        <f>IFERROR(VLOOKUP(C347,'[1]TB-Jun-24'!A:F,6,FALSE),0)</f>
        <v>5310.17</v>
      </c>
      <c r="O347" s="35">
        <f>IFERROR(VLOOKUP(C347,'[1]TB-Jun-24'!I:N,6,FALSE),0)</f>
        <v>799</v>
      </c>
      <c r="Q347" s="35" t="s">
        <v>121</v>
      </c>
    </row>
    <row r="348" hidden="1" spans="2:17">
      <c r="B348" s="35">
        <f t="shared" si="11"/>
        <v>317</v>
      </c>
      <c r="C348" s="43" t="s">
        <v>604</v>
      </c>
      <c r="D348" s="43" t="s">
        <v>939</v>
      </c>
      <c r="E348" s="44" t="s">
        <v>1249</v>
      </c>
      <c r="F348" s="44" t="s">
        <v>33</v>
      </c>
      <c r="G348" s="44" t="s">
        <v>484</v>
      </c>
      <c r="H348" s="44" t="s">
        <v>121</v>
      </c>
      <c r="I348" s="44" t="s">
        <v>309</v>
      </c>
      <c r="J348" s="44"/>
      <c r="K348" s="56">
        <f>SUMIF('TB-Jan-25'!$A$12:$A$167,'Working-Jan-25'!C348,'TB-Jan-25'!$E$12:$E$167)</f>
        <v>50415.3</v>
      </c>
      <c r="L348" s="56">
        <f>SUMIF('TB-Jan-25'!I:I,C348,'TB-Jan-25'!M:M)</f>
        <v>-50415</v>
      </c>
      <c r="M348" s="56">
        <f t="shared" si="10"/>
        <v>0.30000000000291</v>
      </c>
      <c r="N348" s="57">
        <f>IFERROR(VLOOKUP(C348,'[1]TB-Jun-24'!A:F,6,FALSE),0)</f>
        <v>68406.78</v>
      </c>
      <c r="O348" s="35">
        <f>IFERROR(VLOOKUP(C348,'[1]TB-Jun-24'!I:N,6,FALSE),0)</f>
        <v>1016</v>
      </c>
      <c r="Q348" s="35" t="s">
        <v>33</v>
      </c>
    </row>
    <row r="349" hidden="1" spans="2:17">
      <c r="B349" s="35">
        <f t="shared" si="11"/>
        <v>318</v>
      </c>
      <c r="C349" s="43" t="s">
        <v>846</v>
      </c>
      <c r="D349" s="43" t="s">
        <v>939</v>
      </c>
      <c r="E349" s="44" t="s">
        <v>970</v>
      </c>
      <c r="F349" s="44" t="s">
        <v>33</v>
      </c>
      <c r="G349" s="44" t="s">
        <v>548</v>
      </c>
      <c r="H349" s="44" t="s">
        <v>33</v>
      </c>
      <c r="I349" s="44" t="s">
        <v>309</v>
      </c>
      <c r="J349" s="44"/>
      <c r="K349" s="56">
        <f>SUMIF('TB-Jan-25'!$A$12:$A$167,'Working-Jan-25'!C349,'TB-Jan-25'!$E$12:$E$167)</f>
        <v>2617.18</v>
      </c>
      <c r="L349" s="56">
        <f>SUMIF('TB-Jan-25'!I:I,C349,'TB-Jan-25'!M:M)</f>
        <v>0</v>
      </c>
      <c r="M349" s="56">
        <f t="shared" si="10"/>
        <v>2617.18</v>
      </c>
      <c r="N349" s="57" t="e">
        <f>SUMIF([6]Final!$B:$B,C349,[6]Final!$F:$F)-M349</f>
        <v>#VALUE!</v>
      </c>
      <c r="O349" s="35">
        <f>IFERROR(VLOOKUP(C349,'[1]TB-Jun-24'!I:N,6,FALSE),0)</f>
        <v>0</v>
      </c>
      <c r="Q349" s="35" t="s">
        <v>33</v>
      </c>
    </row>
    <row r="350" hidden="1" spans="2:17">
      <c r="B350" s="35">
        <f t="shared" si="11"/>
        <v>319</v>
      </c>
      <c r="C350" s="43" t="s">
        <v>899</v>
      </c>
      <c r="D350" s="43" t="s">
        <v>939</v>
      </c>
      <c r="E350" s="44" t="s">
        <v>1252</v>
      </c>
      <c r="F350" s="44" t="s">
        <v>33</v>
      </c>
      <c r="G350" s="44" t="s">
        <v>552</v>
      </c>
      <c r="H350" s="44" t="s">
        <v>33</v>
      </c>
      <c r="I350" s="44" t="s">
        <v>309</v>
      </c>
      <c r="J350" s="44"/>
      <c r="K350" s="56">
        <f>SUMIF('TB-Jan-25'!$A$12:$A$167,'Working-Jan-25'!C350,'TB-Jan-25'!$E$12:$E$167)</f>
        <v>0</v>
      </c>
      <c r="L350" s="56">
        <f>SUMIF('TB-Jan-25'!I:I,C350,'TB-Jan-25'!M:M)</f>
        <v>300000</v>
      </c>
      <c r="M350" s="56">
        <f t="shared" ref="M350:M419" si="12">K350+L350</f>
        <v>300000</v>
      </c>
      <c r="N350" s="57" t="e">
        <f>SUMIF([6]Final!$B:$B,C350,[6]Final!$F:$F)-M350</f>
        <v>#VALUE!</v>
      </c>
      <c r="O350" s="35">
        <f>IFERROR(VLOOKUP(C350,'[1]TB-Jun-24'!I:N,6,FALSE),0)</f>
        <v>0</v>
      </c>
      <c r="Q350" s="35" t="s">
        <v>33</v>
      </c>
    </row>
    <row r="351" hidden="1" spans="2:17">
      <c r="B351" s="35">
        <f t="shared" si="11"/>
        <v>320</v>
      </c>
      <c r="C351" s="43" t="s">
        <v>848</v>
      </c>
      <c r="D351" s="43" t="s">
        <v>939</v>
      </c>
      <c r="E351" s="44" t="s">
        <v>1253</v>
      </c>
      <c r="F351" s="44" t="s">
        <v>33</v>
      </c>
      <c r="G351" s="44" t="s">
        <v>548</v>
      </c>
      <c r="H351" s="44" t="s">
        <v>33</v>
      </c>
      <c r="I351" s="44" t="s">
        <v>309</v>
      </c>
      <c r="J351" s="44"/>
      <c r="K351" s="56">
        <f>SUMIF('TB-Jan-25'!$A$12:$A$167,'Working-Jan-25'!C351,'TB-Jan-25'!$E$12:$E$167)</f>
        <v>13390</v>
      </c>
      <c r="L351" s="56">
        <f>SUMIF('TB-Jan-25'!I:I,C351,'TB-Jan-25'!M:M)</f>
        <v>0</v>
      </c>
      <c r="M351" s="56">
        <f t="shared" si="12"/>
        <v>13390</v>
      </c>
      <c r="N351" s="57" t="e">
        <f>SUMIF([6]Final!$B:$B,C351,[6]Final!$F:$F)-M351</f>
        <v>#VALUE!</v>
      </c>
      <c r="O351" s="35">
        <f>IFERROR(VLOOKUP(C351,'[1]TB-Jun-24'!I:N,6,FALSE),0)</f>
        <v>0</v>
      </c>
      <c r="Q351" s="35" t="s">
        <v>33</v>
      </c>
    </row>
    <row r="352" hidden="1" spans="2:17">
      <c r="B352" s="35">
        <f t="shared" si="11"/>
        <v>321</v>
      </c>
      <c r="C352" s="43" t="s">
        <v>850</v>
      </c>
      <c r="D352" s="43" t="s">
        <v>939</v>
      </c>
      <c r="E352" s="44" t="s">
        <v>1253</v>
      </c>
      <c r="F352" s="44" t="s">
        <v>33</v>
      </c>
      <c r="G352" s="44" t="s">
        <v>548</v>
      </c>
      <c r="H352" s="44" t="s">
        <v>33</v>
      </c>
      <c r="I352" s="44" t="s">
        <v>309</v>
      </c>
      <c r="J352" s="44"/>
      <c r="K352" s="56">
        <f>SUMIF('TB-Jan-25'!$A$12:$A$167,'Working-Jan-25'!C352,'TB-Jan-25'!$E$12:$E$167)</f>
        <v>10790.29</v>
      </c>
      <c r="L352" s="56">
        <f>SUMIF('TB-Jan-25'!I:I,C352,'TB-Jan-25'!M:M)</f>
        <v>0</v>
      </c>
      <c r="M352" s="56">
        <f t="shared" si="12"/>
        <v>10790.29</v>
      </c>
      <c r="N352" s="57" t="e">
        <f>SUMIF([6]Final!$B:$B,C352,[6]Final!$F:$F)-M352</f>
        <v>#VALUE!</v>
      </c>
      <c r="O352" s="35">
        <f>IFERROR(VLOOKUP(C352,'[1]TB-Jun-24'!I:N,6,FALSE),0)</f>
        <v>0</v>
      </c>
      <c r="Q352" s="35" t="s">
        <v>33</v>
      </c>
    </row>
    <row r="353" hidden="1" spans="2:17">
      <c r="B353" s="35">
        <f t="shared" si="11"/>
        <v>322</v>
      </c>
      <c r="C353" s="43" t="s">
        <v>1254</v>
      </c>
      <c r="D353" s="43" t="s">
        <v>939</v>
      </c>
      <c r="E353" s="44" t="s">
        <v>1252</v>
      </c>
      <c r="F353" s="44" t="s">
        <v>33</v>
      </c>
      <c r="G353" s="44" t="s">
        <v>552</v>
      </c>
      <c r="H353" s="44" t="s">
        <v>33</v>
      </c>
      <c r="I353" s="44" t="s">
        <v>309</v>
      </c>
      <c r="J353" s="44"/>
      <c r="K353" s="56">
        <f>SUMIF('TB-Jan-25'!$A$12:$A$167,'Working-Jan-25'!C353,'TB-Jan-25'!$E$12:$E$167)</f>
        <v>0</v>
      </c>
      <c r="L353" s="56">
        <f>SUMIF('TB-Jan-25'!I:I,C353,'TB-Jan-25'!M:M)</f>
        <v>0</v>
      </c>
      <c r="M353" s="56">
        <f t="shared" si="12"/>
        <v>0</v>
      </c>
      <c r="N353" s="57">
        <f>IFERROR(VLOOKUP(C353,'[1]TB-Jun-24'!A:F,6,FALSE),0)</f>
        <v>0</v>
      </c>
      <c r="O353" s="35">
        <f>IFERROR(VLOOKUP(C353,'[1]TB-Jun-24'!I:N,6,FALSE),0)</f>
        <v>0</v>
      </c>
      <c r="Q353" s="35" t="s">
        <v>33</v>
      </c>
    </row>
    <row r="354" hidden="1" spans="2:17">
      <c r="B354" s="35">
        <f t="shared" si="11"/>
        <v>323</v>
      </c>
      <c r="C354" s="43" t="s">
        <v>1255</v>
      </c>
      <c r="D354" s="43" t="s">
        <v>939</v>
      </c>
      <c r="E354" s="44" t="s">
        <v>1252</v>
      </c>
      <c r="F354" s="44" t="s">
        <v>33</v>
      </c>
      <c r="G354" s="44" t="s">
        <v>552</v>
      </c>
      <c r="H354" s="44" t="s">
        <v>33</v>
      </c>
      <c r="I354" s="44" t="s">
        <v>309</v>
      </c>
      <c r="J354" s="44"/>
      <c r="K354" s="56">
        <f>SUMIF('TB-Jan-25'!$A$12:$A$167,'Working-Jan-25'!C354,'TB-Jan-25'!$E$12:$E$167)</f>
        <v>0</v>
      </c>
      <c r="L354" s="56">
        <f>SUMIF('TB-Jan-25'!I:I,C354,'TB-Jan-25'!M:M)</f>
        <v>0</v>
      </c>
      <c r="M354" s="56">
        <f t="shared" si="12"/>
        <v>0</v>
      </c>
      <c r="N354" s="57">
        <f>IFERROR(VLOOKUP(C354,'[1]TB-Jun-24'!A:F,6,FALSE),0)</f>
        <v>0</v>
      </c>
      <c r="O354" s="35">
        <f>IFERROR(VLOOKUP(C354,'[1]TB-Jun-24'!I:N,6,FALSE),0)</f>
        <v>0</v>
      </c>
      <c r="Q354" s="35" t="s">
        <v>33</v>
      </c>
    </row>
    <row r="355" hidden="1" spans="2:17">
      <c r="B355" s="35">
        <f t="shared" si="11"/>
        <v>324</v>
      </c>
      <c r="C355" s="43" t="s">
        <v>852</v>
      </c>
      <c r="D355" s="43" t="s">
        <v>939</v>
      </c>
      <c r="E355" s="44" t="s">
        <v>1252</v>
      </c>
      <c r="F355" s="44" t="s">
        <v>33</v>
      </c>
      <c r="G355" s="44" t="s">
        <v>552</v>
      </c>
      <c r="H355" s="44" t="s">
        <v>33</v>
      </c>
      <c r="I355" s="44" t="s">
        <v>309</v>
      </c>
      <c r="J355" s="44"/>
      <c r="K355" s="56">
        <f>SUMIF('TB-Jan-25'!$A$12:$A$167,'Working-Jan-25'!C355,'TB-Jan-25'!$E$12:$E$167)</f>
        <v>32432</v>
      </c>
      <c r="L355" s="56">
        <f>SUMIF('TB-Jan-25'!I:I,C355,'TB-Jan-25'!M:M)</f>
        <v>0</v>
      </c>
      <c r="M355" s="56">
        <f t="shared" si="12"/>
        <v>32432</v>
      </c>
      <c r="N355" s="57" t="e">
        <f>SUMIF([6]Final!$B:$B,C355,[6]Final!$F:$F)-M355</f>
        <v>#VALUE!</v>
      </c>
      <c r="O355" s="35">
        <f>IFERROR(VLOOKUP(C355,'[1]TB-Jun-24'!I:N,6,FALSE),0)</f>
        <v>1470</v>
      </c>
      <c r="Q355" s="35" t="s">
        <v>33</v>
      </c>
    </row>
    <row r="356" hidden="1" spans="2:17">
      <c r="B356" s="35">
        <f t="shared" si="11"/>
        <v>325</v>
      </c>
      <c r="C356" s="43" t="s">
        <v>1256</v>
      </c>
      <c r="D356" s="43" t="s">
        <v>939</v>
      </c>
      <c r="E356" s="44" t="s">
        <v>1252</v>
      </c>
      <c r="F356" s="44" t="s">
        <v>33</v>
      </c>
      <c r="G356" s="44" t="s">
        <v>552</v>
      </c>
      <c r="H356" s="44" t="s">
        <v>33</v>
      </c>
      <c r="I356" s="44" t="s">
        <v>309</v>
      </c>
      <c r="J356" s="44"/>
      <c r="K356" s="56">
        <f>SUMIF('TB-Jan-25'!$A$12:$A$167,'Working-Jan-25'!C356,'TB-Jan-25'!$E$12:$E$167)</f>
        <v>0</v>
      </c>
      <c r="L356" s="56">
        <f>SUMIF('TB-Jan-25'!I:I,C356,'TB-Jan-25'!M:M)</f>
        <v>0</v>
      </c>
      <c r="M356" s="56">
        <f t="shared" si="12"/>
        <v>0</v>
      </c>
      <c r="N356" s="57">
        <f>IFERROR(VLOOKUP(C356,'[1]TB-Jun-24'!A:F,6,FALSE),0)</f>
        <v>0</v>
      </c>
      <c r="O356" s="35">
        <f>IFERROR(VLOOKUP(C356,'[1]TB-Jun-24'!I:N,6,FALSE),0)</f>
        <v>0</v>
      </c>
      <c r="Q356" s="35" t="s">
        <v>33</v>
      </c>
    </row>
    <row r="357" hidden="1" spans="2:17">
      <c r="B357" s="35">
        <f t="shared" si="11"/>
        <v>326</v>
      </c>
      <c r="C357" s="43" t="s">
        <v>1257</v>
      </c>
      <c r="D357" s="43" t="s">
        <v>939</v>
      </c>
      <c r="E357" s="44" t="s">
        <v>1252</v>
      </c>
      <c r="F357" s="44" t="s">
        <v>33</v>
      </c>
      <c r="G357" s="44" t="s">
        <v>548</v>
      </c>
      <c r="H357" s="44" t="s">
        <v>33</v>
      </c>
      <c r="I357" s="44" t="s">
        <v>309</v>
      </c>
      <c r="J357" s="44"/>
      <c r="K357" s="56">
        <f>SUMIF('TB-Jan-25'!$A$12:$A$167,'Working-Jan-25'!C357,'TB-Jan-25'!$E$12:$E$167)</f>
        <v>0</v>
      </c>
      <c r="L357" s="56">
        <f>SUMIF('TB-Jan-25'!I:I,C357,'TB-Jan-25'!M:M)</f>
        <v>0</v>
      </c>
      <c r="M357" s="56">
        <f t="shared" si="12"/>
        <v>0</v>
      </c>
      <c r="N357" s="57">
        <f>IFERROR(VLOOKUP(C357,'[1]TB-Jun-24'!A:F,6,FALSE),0)</f>
        <v>0</v>
      </c>
      <c r="O357" s="35">
        <f>IFERROR(VLOOKUP(C357,'[1]TB-Jun-24'!I:N,6,FALSE),0)</f>
        <v>0</v>
      </c>
      <c r="Q357" s="35" t="s">
        <v>33</v>
      </c>
    </row>
    <row r="358" hidden="1" spans="2:17">
      <c r="B358" s="35">
        <f t="shared" si="11"/>
        <v>327</v>
      </c>
      <c r="C358" s="43" t="s">
        <v>1258</v>
      </c>
      <c r="D358" s="43" t="s">
        <v>939</v>
      </c>
      <c r="E358" s="44" t="s">
        <v>1252</v>
      </c>
      <c r="F358" s="44" t="s">
        <v>33</v>
      </c>
      <c r="G358" s="44" t="s">
        <v>552</v>
      </c>
      <c r="H358" s="44" t="s">
        <v>33</v>
      </c>
      <c r="I358" s="44" t="s">
        <v>309</v>
      </c>
      <c r="J358" s="44"/>
      <c r="K358" s="56">
        <f>SUMIF('TB-Jan-25'!$A$12:$A$167,'Working-Jan-25'!C358,'TB-Jan-25'!$E$12:$E$167)</f>
        <v>0</v>
      </c>
      <c r="L358" s="56">
        <f>SUMIF('TB-Jan-25'!I:I,C358,'TB-Jan-25'!M:M)</f>
        <v>0</v>
      </c>
      <c r="M358" s="56">
        <f t="shared" si="12"/>
        <v>0</v>
      </c>
      <c r="N358" s="57">
        <f>IFERROR(VLOOKUP(C358,'[1]TB-Jun-24'!A:F,6,FALSE),0)</f>
        <v>0</v>
      </c>
      <c r="O358" s="35">
        <f>IFERROR(VLOOKUP(C358,'[1]TB-Jun-24'!I:N,6,FALSE),0)</f>
        <v>0</v>
      </c>
      <c r="Q358" s="35" t="s">
        <v>33</v>
      </c>
    </row>
    <row r="359" hidden="1" spans="2:17">
      <c r="B359" s="35">
        <f t="shared" si="11"/>
        <v>328</v>
      </c>
      <c r="C359" s="43" t="s">
        <v>1259</v>
      </c>
      <c r="D359" s="43" t="s">
        <v>939</v>
      </c>
      <c r="E359" s="44" t="s">
        <v>1252</v>
      </c>
      <c r="F359" s="44" t="s">
        <v>33</v>
      </c>
      <c r="G359" s="44" t="s">
        <v>552</v>
      </c>
      <c r="H359" s="44" t="s">
        <v>33</v>
      </c>
      <c r="I359" s="44" t="s">
        <v>309</v>
      </c>
      <c r="J359" s="44"/>
      <c r="K359" s="56">
        <f>SUMIF('TB-Jan-25'!$A$12:$A$167,'Working-Jan-25'!C359,'TB-Jan-25'!$E$12:$E$167)</f>
        <v>0</v>
      </c>
      <c r="L359" s="56">
        <f>SUMIF('TB-Jan-25'!I:I,C359,'TB-Jan-25'!M:M)</f>
        <v>0</v>
      </c>
      <c r="M359" s="56">
        <f t="shared" si="12"/>
        <v>0</v>
      </c>
      <c r="N359" s="57">
        <f>IFERROR(VLOOKUP(C359,'[1]TB-Jun-24'!A:F,6,FALSE),0)</f>
        <v>0</v>
      </c>
      <c r="O359" s="35">
        <f>IFERROR(VLOOKUP(C359,'[1]TB-Jun-24'!I:N,6,FALSE),0)</f>
        <v>0</v>
      </c>
      <c r="Q359" s="35" t="s">
        <v>33</v>
      </c>
    </row>
    <row r="360" hidden="1" spans="2:17">
      <c r="B360" s="35">
        <f t="shared" si="11"/>
        <v>329</v>
      </c>
      <c r="C360" s="43" t="s">
        <v>1260</v>
      </c>
      <c r="D360" s="43" t="s">
        <v>939</v>
      </c>
      <c r="E360" s="44" t="s">
        <v>1252</v>
      </c>
      <c r="F360" s="44" t="s">
        <v>33</v>
      </c>
      <c r="G360" s="44" t="s">
        <v>481</v>
      </c>
      <c r="H360" s="44" t="s">
        <v>33</v>
      </c>
      <c r="I360" s="44" t="s">
        <v>309</v>
      </c>
      <c r="J360" s="44"/>
      <c r="K360" s="56">
        <f>SUMIF('TB-Jan-25'!$A$12:$A$167,'Working-Jan-25'!C360,'TB-Jan-25'!$E$12:$E$167)</f>
        <v>0</v>
      </c>
      <c r="L360" s="56">
        <f>SUMIF('TB-Jan-25'!I:I,C360,'TB-Jan-25'!M:M)</f>
        <v>0</v>
      </c>
      <c r="M360" s="56">
        <f t="shared" si="12"/>
        <v>0</v>
      </c>
      <c r="N360" s="57">
        <f>IFERROR(VLOOKUP(C360,'[1]TB-Jun-24'!A:F,6,FALSE),0)</f>
        <v>0</v>
      </c>
      <c r="O360" s="35">
        <f>IFERROR(VLOOKUP(C360,'[1]TB-Jun-24'!I:N,6,FALSE),0)</f>
        <v>0</v>
      </c>
      <c r="Q360" s="35" t="s">
        <v>33</v>
      </c>
    </row>
    <row r="361" hidden="1" spans="2:17">
      <c r="B361" s="35">
        <f t="shared" si="11"/>
        <v>330</v>
      </c>
      <c r="C361" s="43" t="s">
        <v>1261</v>
      </c>
      <c r="D361" s="43" t="s">
        <v>939</v>
      </c>
      <c r="E361" s="44" t="s">
        <v>1252</v>
      </c>
      <c r="F361" s="44" t="s">
        <v>33</v>
      </c>
      <c r="G361" s="44" t="s">
        <v>552</v>
      </c>
      <c r="H361" s="44" t="s">
        <v>33</v>
      </c>
      <c r="I361" s="44" t="s">
        <v>309</v>
      </c>
      <c r="J361" s="44"/>
      <c r="K361" s="56">
        <f>SUMIF('TB-Jan-25'!$A$12:$A$167,'Working-Jan-25'!C361,'TB-Jan-25'!$E$12:$E$167)</f>
        <v>0</v>
      </c>
      <c r="L361" s="56">
        <f>SUMIF('TB-Jan-25'!I:I,C361,'TB-Jan-25'!M:M)</f>
        <v>0</v>
      </c>
      <c r="M361" s="56">
        <f t="shared" si="12"/>
        <v>0</v>
      </c>
      <c r="N361" s="57">
        <f>IFERROR(VLOOKUP(C361,'[1]TB-Jun-24'!A:F,6,FALSE),0)</f>
        <v>0</v>
      </c>
      <c r="O361" s="35">
        <f>IFERROR(VLOOKUP(C361,'[1]TB-Jun-24'!I:N,6,FALSE),0)</f>
        <v>0</v>
      </c>
      <c r="Q361" s="35" t="s">
        <v>33</v>
      </c>
    </row>
    <row r="362" hidden="1" spans="2:17">
      <c r="B362" s="35">
        <f t="shared" si="11"/>
        <v>331</v>
      </c>
      <c r="C362" s="43" t="s">
        <v>1262</v>
      </c>
      <c r="D362" s="43" t="s">
        <v>939</v>
      </c>
      <c r="E362" s="44" t="s">
        <v>1252</v>
      </c>
      <c r="F362" s="44" t="s">
        <v>33</v>
      </c>
      <c r="G362" s="44" t="s">
        <v>552</v>
      </c>
      <c r="H362" s="44" t="s">
        <v>33</v>
      </c>
      <c r="I362" s="44" t="s">
        <v>309</v>
      </c>
      <c r="J362" s="44"/>
      <c r="K362" s="56">
        <f>SUMIF('TB-Jan-25'!$A$12:$A$167,'Working-Jan-25'!C362,'TB-Jan-25'!$E$12:$E$167)</f>
        <v>0</v>
      </c>
      <c r="L362" s="56">
        <f>SUMIF('TB-Jan-25'!I:I,C362,'TB-Jan-25'!M:M)</f>
        <v>0</v>
      </c>
      <c r="M362" s="56">
        <f t="shared" si="12"/>
        <v>0</v>
      </c>
      <c r="N362" s="57">
        <f>IFERROR(VLOOKUP(C362,'[1]TB-Jun-24'!A:F,6,FALSE),0)</f>
        <v>0</v>
      </c>
      <c r="O362" s="35">
        <f>IFERROR(VLOOKUP(C362,'[1]TB-Jun-24'!I:N,6,FALSE),0)</f>
        <v>0</v>
      </c>
      <c r="Q362" s="35" t="s">
        <v>33</v>
      </c>
    </row>
    <row r="363" hidden="1" spans="2:17">
      <c r="B363" s="35">
        <f t="shared" si="11"/>
        <v>332</v>
      </c>
      <c r="C363" s="43" t="s">
        <v>553</v>
      </c>
      <c r="D363" s="43" t="s">
        <v>939</v>
      </c>
      <c r="E363" s="44" t="s">
        <v>1252</v>
      </c>
      <c r="F363" s="44" t="s">
        <v>33</v>
      </c>
      <c r="G363" s="61" t="s">
        <v>481</v>
      </c>
      <c r="H363" s="44" t="s">
        <v>33</v>
      </c>
      <c r="I363" s="44" t="s">
        <v>309</v>
      </c>
      <c r="J363" s="44"/>
      <c r="K363" s="56">
        <f>SUMIF('TB-Jan-25'!$A$12:$A$167,'Working-Jan-25'!C363,'TB-Jan-25'!$E$12:$E$167)</f>
        <v>0</v>
      </c>
      <c r="L363" s="56">
        <f>SUMIF('TB-Jan-25'!I:I,C363,'TB-Jan-25'!M:M)</f>
        <v>3000</v>
      </c>
      <c r="M363" s="56">
        <f t="shared" si="12"/>
        <v>3000</v>
      </c>
      <c r="N363" s="57" t="e">
        <f>SUMIF([6]Final!$B:$B,C363,[6]Final!$F:$F)-M363</f>
        <v>#VALUE!</v>
      </c>
      <c r="O363" s="35">
        <f>IFERROR(VLOOKUP(C363,'[1]TB-Jun-24'!I:N,6,FALSE),0)</f>
        <v>7200</v>
      </c>
      <c r="Q363" s="35" t="s">
        <v>33</v>
      </c>
    </row>
    <row r="364" hidden="1" spans="2:17">
      <c r="B364" s="35">
        <f t="shared" si="11"/>
        <v>333</v>
      </c>
      <c r="C364" s="43" t="s">
        <v>500</v>
      </c>
      <c r="D364" s="43" t="s">
        <v>939</v>
      </c>
      <c r="E364" s="44" t="s">
        <v>1263</v>
      </c>
      <c r="F364" s="44" t="s">
        <v>33</v>
      </c>
      <c r="G364" s="44" t="s">
        <v>481</v>
      </c>
      <c r="H364" s="44" t="s">
        <v>33</v>
      </c>
      <c r="I364" s="44" t="s">
        <v>309</v>
      </c>
      <c r="J364" s="44"/>
      <c r="K364" s="56">
        <f>SUMIF('TB-Jan-25'!$A$12:$A$167,'Working-Jan-25'!C364,'TB-Jan-25'!$E$12:$E$167)</f>
        <v>407049</v>
      </c>
      <c r="L364" s="56">
        <f>SUMIF('TB-Jan-25'!I:I,C364,'TB-Jan-25'!M:M)</f>
        <v>0</v>
      </c>
      <c r="M364" s="56">
        <f t="shared" si="12"/>
        <v>407049</v>
      </c>
      <c r="N364" s="57" t="e">
        <f>SUMIF([6]Final!$B:$B,C364,[6]Final!$F:$F)-M364</f>
        <v>#VALUE!</v>
      </c>
      <c r="O364" s="35">
        <f>IFERROR(VLOOKUP(C364,'[1]TB-Jun-24'!I:N,6,FALSE),0)</f>
        <v>0</v>
      </c>
      <c r="Q364" s="35" t="s">
        <v>33</v>
      </c>
    </row>
    <row r="365" hidden="1" spans="2:17">
      <c r="B365" s="35">
        <f t="shared" si="11"/>
        <v>334</v>
      </c>
      <c r="C365" s="43" t="s">
        <v>506</v>
      </c>
      <c r="D365" s="43" t="s">
        <v>939</v>
      </c>
      <c r="E365" s="44" t="s">
        <v>1263</v>
      </c>
      <c r="F365" s="44" t="s">
        <v>33</v>
      </c>
      <c r="G365" s="44" t="s">
        <v>481</v>
      </c>
      <c r="H365" s="44" t="s">
        <v>33</v>
      </c>
      <c r="I365" s="44" t="s">
        <v>309</v>
      </c>
      <c r="J365" s="44"/>
      <c r="K365" s="56">
        <f>SUMIF('TB-Jan-25'!$A$12:$A$167,'Working-Jan-25'!C365,'TB-Jan-25'!$E$12:$E$167)</f>
        <v>48326.89</v>
      </c>
      <c r="L365" s="56">
        <f>SUMIF('TB-Jan-25'!I:I,C365,'TB-Jan-25'!M:M)</f>
        <v>0</v>
      </c>
      <c r="M365" s="56">
        <f t="shared" si="12"/>
        <v>48326.89</v>
      </c>
      <c r="N365" s="57" t="e">
        <f>SUMIF([6]Final!$B:$B,C365,[6]Final!$F:$F)-M365</f>
        <v>#VALUE!</v>
      </c>
      <c r="O365" s="35">
        <f>IFERROR(VLOOKUP(C365,'[1]TB-Jun-24'!I:N,6,FALSE),0)</f>
        <v>0</v>
      </c>
      <c r="Q365" s="35" t="s">
        <v>33</v>
      </c>
    </row>
    <row r="366" hidden="1" spans="2:14">
      <c r="B366" s="35">
        <f t="shared" si="11"/>
        <v>335</v>
      </c>
      <c r="C366" s="43" t="s">
        <v>1264</v>
      </c>
      <c r="D366" s="43" t="s">
        <v>939</v>
      </c>
      <c r="E366" s="44" t="s">
        <v>1263</v>
      </c>
      <c r="F366" s="44" t="s">
        <v>33</v>
      </c>
      <c r="G366" s="44" t="s">
        <v>481</v>
      </c>
      <c r="H366" s="44" t="s">
        <v>33</v>
      </c>
      <c r="I366" s="44" t="s">
        <v>309</v>
      </c>
      <c r="J366" s="44"/>
      <c r="K366" s="56">
        <f>SUMIF('TB-Jan-25'!$A$12:$A$167,'Working-Jan-25'!C366,'TB-Jan-25'!$E$12:$E$167)</f>
        <v>0</v>
      </c>
      <c r="L366" s="56">
        <f>SUMIF('TB-Jan-25'!I:I,C366,'TB-Jan-25'!M:M)</f>
        <v>0</v>
      </c>
      <c r="M366" s="56">
        <f t="shared" si="12"/>
        <v>0</v>
      </c>
      <c r="N366" s="57">
        <f>IFERROR(VLOOKUP(C366,'[1]TB-Jun-24'!A:F,6,FALSE),0)</f>
        <v>0</v>
      </c>
    </row>
    <row r="367" hidden="1" spans="2:17">
      <c r="B367" s="35">
        <f t="shared" si="11"/>
        <v>336</v>
      </c>
      <c r="C367" s="43" t="s">
        <v>509</v>
      </c>
      <c r="D367" s="43" t="s">
        <v>939</v>
      </c>
      <c r="E367" s="44" t="s">
        <v>1263</v>
      </c>
      <c r="F367" s="44" t="s">
        <v>33</v>
      </c>
      <c r="G367" s="44" t="s">
        <v>481</v>
      </c>
      <c r="H367" s="44" t="s">
        <v>33</v>
      </c>
      <c r="I367" s="44" t="s">
        <v>309</v>
      </c>
      <c r="J367" s="44"/>
      <c r="K367" s="56">
        <f>SUMIF('TB-Jan-25'!$A$12:$A$167,'Working-Jan-25'!C367,'TB-Jan-25'!$E$12:$E$167)</f>
        <v>20897.97</v>
      </c>
      <c r="L367" s="56">
        <f>SUMIF('TB-Jan-25'!I:I,C367,'TB-Jan-25'!M:M)</f>
        <v>-20897.97</v>
      </c>
      <c r="M367" s="56">
        <f t="shared" si="12"/>
        <v>0</v>
      </c>
      <c r="N367" s="57">
        <f>IFERROR(VLOOKUP(C367,'[1]TB-Jun-24'!A:F,6,FALSE),0)</f>
        <v>9606.9</v>
      </c>
      <c r="O367" s="35">
        <f>IFERROR(VLOOKUP(C367,'[1]TB-Jun-24'!I:N,6,FALSE),0)</f>
        <v>0</v>
      </c>
      <c r="Q367" s="35" t="s">
        <v>33</v>
      </c>
    </row>
    <row r="368" hidden="1" spans="2:17">
      <c r="B368" s="35">
        <f t="shared" si="11"/>
        <v>337</v>
      </c>
      <c r="C368" s="43" t="s">
        <v>1265</v>
      </c>
      <c r="D368" s="43" t="s">
        <v>939</v>
      </c>
      <c r="E368" s="44" t="s">
        <v>1263</v>
      </c>
      <c r="F368" s="44" t="s">
        <v>33</v>
      </c>
      <c r="G368" s="44" t="s">
        <v>481</v>
      </c>
      <c r="H368" s="44" t="s">
        <v>33</v>
      </c>
      <c r="I368" s="44" t="s">
        <v>309</v>
      </c>
      <c r="J368" s="44"/>
      <c r="K368" s="56">
        <f>SUMIF('TB-Jan-25'!$A$12:$A$167,'Working-Jan-25'!C368,'TB-Jan-25'!$E$12:$E$167)</f>
        <v>0</v>
      </c>
      <c r="L368" s="56">
        <f>SUMIF('TB-Jan-25'!I:I,C368,'TB-Jan-25'!M:M)</f>
        <v>0</v>
      </c>
      <c r="M368" s="56">
        <f t="shared" si="12"/>
        <v>0</v>
      </c>
      <c r="N368" s="57">
        <f>IFERROR(VLOOKUP(C368,'[1]TB-Jun-24'!A:F,6,FALSE),0)</f>
        <v>0</v>
      </c>
      <c r="O368" s="35">
        <f>IFERROR(VLOOKUP(C368,'[1]TB-Jun-24'!I:N,6,FALSE),0)</f>
        <v>0</v>
      </c>
      <c r="Q368" s="35" t="s">
        <v>33</v>
      </c>
    </row>
    <row r="369" hidden="1" spans="2:17">
      <c r="B369" s="35">
        <f t="shared" si="11"/>
        <v>338</v>
      </c>
      <c r="C369" s="43" t="s">
        <v>1266</v>
      </c>
      <c r="D369" s="43" t="s">
        <v>939</v>
      </c>
      <c r="E369" s="44" t="s">
        <v>1263</v>
      </c>
      <c r="F369" s="44" t="s">
        <v>33</v>
      </c>
      <c r="G369" s="44" t="s">
        <v>481</v>
      </c>
      <c r="H369" s="44" t="s">
        <v>33</v>
      </c>
      <c r="I369" s="44" t="s">
        <v>309</v>
      </c>
      <c r="J369" s="44"/>
      <c r="K369" s="56">
        <f>SUMIF('TB-Jan-25'!$A$12:$A$167,'Working-Jan-25'!C369,'TB-Jan-25'!$E$12:$E$167)</f>
        <v>0</v>
      </c>
      <c r="L369" s="56">
        <f>SUMIF('TB-Jan-25'!I:I,C369,'TB-Jan-25'!M:M)</f>
        <v>0</v>
      </c>
      <c r="M369" s="56">
        <f t="shared" si="12"/>
        <v>0</v>
      </c>
      <c r="N369" s="57">
        <f>IFERROR(VLOOKUP(C369,'[1]TB-Jun-24'!A:F,6,FALSE),0)</f>
        <v>0</v>
      </c>
      <c r="O369" s="35">
        <f>IFERROR(VLOOKUP(C369,'[1]TB-Jun-24'!I:N,6,FALSE),0)</f>
        <v>0</v>
      </c>
      <c r="Q369" s="35" t="s">
        <v>33</v>
      </c>
    </row>
    <row r="370" hidden="1" spans="2:17">
      <c r="B370" s="35">
        <f t="shared" si="11"/>
        <v>339</v>
      </c>
      <c r="C370" s="43" t="s">
        <v>514</v>
      </c>
      <c r="D370" s="43" t="s">
        <v>939</v>
      </c>
      <c r="E370" s="44" t="s">
        <v>1263</v>
      </c>
      <c r="F370" s="44" t="s">
        <v>33</v>
      </c>
      <c r="G370" s="44" t="s">
        <v>481</v>
      </c>
      <c r="H370" s="44" t="s">
        <v>33</v>
      </c>
      <c r="I370" s="44" t="s">
        <v>309</v>
      </c>
      <c r="J370" s="44"/>
      <c r="K370" s="56">
        <f>SUMIF('TB-Jan-25'!$A$12:$A$167,'Working-Jan-25'!C370,'TB-Jan-25'!$E$12:$E$167)</f>
        <v>285175</v>
      </c>
      <c r="L370" s="56">
        <f>SUMIF('TB-Jan-25'!I:I,C370,'TB-Jan-25'!M:M)</f>
        <v>0</v>
      </c>
      <c r="M370" s="56">
        <f t="shared" si="12"/>
        <v>285175</v>
      </c>
      <c r="N370" s="57" t="e">
        <f>SUMIF([6]Final!$B:$B,C370,[6]Final!$F:$F)-M370</f>
        <v>#VALUE!</v>
      </c>
      <c r="O370" s="35">
        <f>IFERROR(VLOOKUP(C370,'[1]TB-Jun-24'!I:N,6,FALSE),0)</f>
        <v>0</v>
      </c>
      <c r="Q370" s="35" t="s">
        <v>33</v>
      </c>
    </row>
    <row r="371" hidden="1" spans="2:17">
      <c r="B371" s="35">
        <f t="shared" si="11"/>
        <v>340</v>
      </c>
      <c r="C371" s="43" t="s">
        <v>531</v>
      </c>
      <c r="D371" s="43" t="s">
        <v>939</v>
      </c>
      <c r="E371" s="44" t="s">
        <v>1263</v>
      </c>
      <c r="F371" s="44" t="s">
        <v>33</v>
      </c>
      <c r="G371" s="44" t="s">
        <v>481</v>
      </c>
      <c r="H371" s="44" t="s">
        <v>33</v>
      </c>
      <c r="I371" s="44" t="s">
        <v>309</v>
      </c>
      <c r="J371" s="44"/>
      <c r="K371" s="56">
        <f>SUMIF('TB-Jan-25'!$A$12:$A$167,'Working-Jan-25'!C371,'TB-Jan-25'!$E$12:$E$167)</f>
        <v>-254.24</v>
      </c>
      <c r="L371" s="56">
        <f>SUMIF('TB-Jan-25'!I:I,C371,'TB-Jan-25'!M:M)</f>
        <v>0</v>
      </c>
      <c r="M371" s="56">
        <f t="shared" si="12"/>
        <v>-254.24</v>
      </c>
      <c r="N371" s="57" t="e">
        <f>SUMIF([6]Final!$B:$B,C371,[6]Final!$F:$F)-M371</f>
        <v>#VALUE!</v>
      </c>
      <c r="O371" s="35">
        <f>IFERROR(VLOOKUP(C371,'[1]TB-Jun-24'!I:N,6,FALSE),0)</f>
        <v>0</v>
      </c>
      <c r="Q371" s="35" t="s">
        <v>33</v>
      </c>
    </row>
    <row r="372" hidden="1" spans="2:17">
      <c r="B372" s="35">
        <f t="shared" si="11"/>
        <v>341</v>
      </c>
      <c r="C372" s="43" t="s">
        <v>536</v>
      </c>
      <c r="D372" s="43" t="s">
        <v>939</v>
      </c>
      <c r="E372" s="44" t="s">
        <v>1263</v>
      </c>
      <c r="F372" s="44" t="s">
        <v>33</v>
      </c>
      <c r="G372" s="44" t="s">
        <v>481</v>
      </c>
      <c r="H372" s="44" t="s">
        <v>33</v>
      </c>
      <c r="I372" s="44" t="s">
        <v>309</v>
      </c>
      <c r="J372" s="44"/>
      <c r="K372" s="56">
        <f>SUMIF('TB-Jan-25'!$A$12:$A$167,'Working-Jan-25'!C372,'TB-Jan-25'!$E$12:$E$167)</f>
        <v>389349</v>
      </c>
      <c r="L372" s="56">
        <f>SUMIF('TB-Jan-25'!I:I,C372,'TB-Jan-25'!M:M)</f>
        <v>0</v>
      </c>
      <c r="M372" s="56">
        <f t="shared" si="12"/>
        <v>389349</v>
      </c>
      <c r="N372" s="57" t="e">
        <f>SUMIF([6]Final!$B:$B,C372,[6]Final!$F:$F)-M372</f>
        <v>#VALUE!</v>
      </c>
      <c r="O372" s="35">
        <f>IFERROR(VLOOKUP(C372,'[1]TB-Jun-24'!I:N,6,FALSE),0)</f>
        <v>0</v>
      </c>
      <c r="Q372" s="35" t="s">
        <v>33</v>
      </c>
    </row>
    <row r="373" hidden="1" spans="2:17">
      <c r="B373" s="35">
        <f t="shared" si="11"/>
        <v>342</v>
      </c>
      <c r="C373" s="43" t="s">
        <v>541</v>
      </c>
      <c r="D373" s="43" t="s">
        <v>939</v>
      </c>
      <c r="E373" s="44" t="s">
        <v>1263</v>
      </c>
      <c r="F373" s="44" t="s">
        <v>33</v>
      </c>
      <c r="G373" s="44" t="s">
        <v>481</v>
      </c>
      <c r="H373" s="44" t="s">
        <v>33</v>
      </c>
      <c r="I373" s="44" t="s">
        <v>309</v>
      </c>
      <c r="J373" s="44"/>
      <c r="K373" s="56">
        <f>SUMIF('TB-Jan-25'!$A$12:$A$167,'Working-Jan-25'!C373,'TB-Jan-25'!$E$12:$E$167)</f>
        <v>238228</v>
      </c>
      <c r="L373" s="56">
        <f>SUMIF('TB-Jan-25'!I:I,C373,'TB-Jan-25'!M:M)</f>
        <v>0</v>
      </c>
      <c r="M373" s="56">
        <f t="shared" si="12"/>
        <v>238228</v>
      </c>
      <c r="N373" s="57" t="e">
        <f>SUMIF([6]Final!$B:$B,C373,[6]Final!$F:$F)-M373</f>
        <v>#VALUE!</v>
      </c>
      <c r="O373" s="35">
        <f>IFERROR(VLOOKUP(C373,'[1]TB-Jun-24'!I:N,6,FALSE),0)</f>
        <v>0</v>
      </c>
      <c r="Q373" s="35" t="s">
        <v>33</v>
      </c>
    </row>
    <row r="374" hidden="1" spans="2:17">
      <c r="B374" s="35">
        <f t="shared" si="11"/>
        <v>343</v>
      </c>
      <c r="C374" s="43" t="s">
        <v>546</v>
      </c>
      <c r="D374" s="43" t="s">
        <v>939</v>
      </c>
      <c r="E374" s="44" t="s">
        <v>1263</v>
      </c>
      <c r="F374" s="44" t="s">
        <v>33</v>
      </c>
      <c r="G374" s="44" t="s">
        <v>481</v>
      </c>
      <c r="H374" s="44" t="s">
        <v>33</v>
      </c>
      <c r="I374" s="44" t="s">
        <v>309</v>
      </c>
      <c r="J374" s="44"/>
      <c r="K374" s="56">
        <f>SUMIF('TB-Jan-25'!$A$12:$A$167,'Working-Jan-25'!C374,'TB-Jan-25'!$E$12:$E$167)</f>
        <v>0</v>
      </c>
      <c r="L374" s="56">
        <f>SUMIF('TB-Jan-25'!I:I,C374,'TB-Jan-25'!M:M)</f>
        <v>0</v>
      </c>
      <c r="M374" s="56">
        <f t="shared" si="12"/>
        <v>0</v>
      </c>
      <c r="N374" s="57">
        <f>IFERROR(VLOOKUP(C374,'[1]TB-Jun-24'!A:F,6,FALSE),0)</f>
        <v>0</v>
      </c>
      <c r="O374" s="35">
        <f>IFERROR(VLOOKUP(C374,'[1]TB-Jun-24'!I:N,6,FALSE),0)</f>
        <v>0</v>
      </c>
      <c r="Q374" s="35" t="s">
        <v>33</v>
      </c>
    </row>
    <row r="375" hidden="1" spans="2:17">
      <c r="B375" s="35">
        <f t="shared" si="11"/>
        <v>344</v>
      </c>
      <c r="C375" s="43" t="s">
        <v>549</v>
      </c>
      <c r="D375" s="43" t="s">
        <v>939</v>
      </c>
      <c r="E375" s="44" t="s">
        <v>1263</v>
      </c>
      <c r="F375" s="44" t="s">
        <v>33</v>
      </c>
      <c r="G375" s="44" t="s">
        <v>481</v>
      </c>
      <c r="H375" s="44" t="s">
        <v>33</v>
      </c>
      <c r="I375" s="44" t="s">
        <v>309</v>
      </c>
      <c r="J375" s="44"/>
      <c r="K375" s="56">
        <f>SUMIF('TB-Jan-25'!$A$12:$A$167,'Working-Jan-25'!C375,'TB-Jan-25'!$E$12:$E$167)</f>
        <v>141576</v>
      </c>
      <c r="L375" s="56">
        <f>SUMIF('TB-Jan-25'!I:I,C375,'TB-Jan-25'!M:M)</f>
        <v>0</v>
      </c>
      <c r="M375" s="56">
        <f t="shared" si="12"/>
        <v>141576</v>
      </c>
      <c r="N375" s="57" t="e">
        <f>SUMIF([6]Final!$B:$B,C375,[6]Final!$F:$F)-M375</f>
        <v>#VALUE!</v>
      </c>
      <c r="O375" s="35">
        <f>IFERROR(VLOOKUP(C375,'[1]TB-Jun-24'!I:N,6,FALSE),0)</f>
        <v>0</v>
      </c>
      <c r="Q375" s="35" t="s">
        <v>33</v>
      </c>
    </row>
    <row r="376" hidden="1" spans="2:17">
      <c r="B376" s="35">
        <f t="shared" si="11"/>
        <v>345</v>
      </c>
      <c r="C376" s="43" t="s">
        <v>1267</v>
      </c>
      <c r="D376" s="43" t="s">
        <v>939</v>
      </c>
      <c r="E376" s="44" t="s">
        <v>1263</v>
      </c>
      <c r="F376" s="44" t="s">
        <v>33</v>
      </c>
      <c r="G376" s="44" t="s">
        <v>481</v>
      </c>
      <c r="H376" s="44" t="s">
        <v>33</v>
      </c>
      <c r="I376" s="44" t="s">
        <v>309</v>
      </c>
      <c r="J376" s="44"/>
      <c r="K376" s="56">
        <f>SUMIF('TB-Jan-25'!$A$12:$A$167,'Working-Jan-25'!C376,'TB-Jan-25'!$E$12:$E$167)</f>
        <v>0</v>
      </c>
      <c r="L376" s="56">
        <f>SUMIF('TB-Jan-25'!I:I,C376,'TB-Jan-25'!M:M)</f>
        <v>0</v>
      </c>
      <c r="M376" s="56">
        <f t="shared" si="12"/>
        <v>0</v>
      </c>
      <c r="N376" s="57">
        <f>IFERROR(VLOOKUP(C376,'[1]TB-Jun-24'!A:F,6,FALSE),0)</f>
        <v>0</v>
      </c>
      <c r="O376" s="35">
        <f>IFERROR(VLOOKUP(C376,'[1]TB-Jun-24'!I:N,6,FALSE),0)</f>
        <v>0</v>
      </c>
      <c r="Q376" s="35" t="s">
        <v>33</v>
      </c>
    </row>
    <row r="377" hidden="1" spans="2:17">
      <c r="B377" s="35">
        <f t="shared" si="11"/>
        <v>346</v>
      </c>
      <c r="C377" s="43" t="s">
        <v>608</v>
      </c>
      <c r="D377" s="43" t="s">
        <v>939</v>
      </c>
      <c r="E377" s="44" t="s">
        <v>1268</v>
      </c>
      <c r="F377" s="44" t="s">
        <v>33</v>
      </c>
      <c r="G377" s="44" t="s">
        <v>483</v>
      </c>
      <c r="H377" s="44" t="s">
        <v>33</v>
      </c>
      <c r="I377" s="44" t="s">
        <v>309</v>
      </c>
      <c r="J377" s="44"/>
      <c r="K377" s="56">
        <f>SUMIF('TB-Jan-25'!$A$12:$A$167,'Working-Jan-25'!C377,'TB-Jan-25'!$E$12:$E$167)</f>
        <v>0</v>
      </c>
      <c r="L377" s="56">
        <f>SUMIF('TB-Jan-25'!I:I,C377,'TB-Jan-25'!M:M)</f>
        <v>0</v>
      </c>
      <c r="M377" s="56">
        <f t="shared" si="12"/>
        <v>0</v>
      </c>
      <c r="N377" s="57">
        <f>IFERROR(VLOOKUP(C377,'[1]TB-Jun-24'!A:F,6,FALSE),0)</f>
        <v>0</v>
      </c>
      <c r="O377" s="35">
        <f>IFERROR(VLOOKUP(C377,'[1]TB-Jun-24'!I:N,6,FALSE),0)</f>
        <v>0</v>
      </c>
      <c r="Q377" s="35" t="s">
        <v>33</v>
      </c>
    </row>
    <row r="378" hidden="1" spans="2:17">
      <c r="B378" s="35">
        <f t="shared" si="11"/>
        <v>347</v>
      </c>
      <c r="C378" s="43" t="s">
        <v>1269</v>
      </c>
      <c r="D378" s="43" t="s">
        <v>939</v>
      </c>
      <c r="E378" s="44" t="s">
        <v>1253</v>
      </c>
      <c r="F378" s="44" t="s">
        <v>33</v>
      </c>
      <c r="G378" s="44" t="s">
        <v>548</v>
      </c>
      <c r="H378" s="44" t="s">
        <v>33</v>
      </c>
      <c r="I378" s="44" t="s">
        <v>309</v>
      </c>
      <c r="J378" s="44"/>
      <c r="K378" s="56">
        <f>SUMIF('TB-Jan-25'!$A$12:$A$167,'Working-Jan-25'!C378,'TB-Jan-25'!$E$12:$E$167)</f>
        <v>0</v>
      </c>
      <c r="L378" s="56">
        <f>SUMIF('TB-Jan-25'!I:I,C378,'TB-Jan-25'!M:M)</f>
        <v>0</v>
      </c>
      <c r="M378" s="56">
        <f t="shared" si="12"/>
        <v>0</v>
      </c>
      <c r="N378" s="57">
        <f>IFERROR(VLOOKUP(C378,'[1]TB-Jun-24'!A:F,6,FALSE),0)</f>
        <v>0</v>
      </c>
      <c r="O378" s="35">
        <f>IFERROR(VLOOKUP(C378,'[1]TB-Jun-24'!I:N,6,FALSE),0)</f>
        <v>0</v>
      </c>
      <c r="Q378" s="35" t="s">
        <v>33</v>
      </c>
    </row>
    <row r="379" hidden="1" spans="2:17">
      <c r="B379" s="35">
        <f t="shared" si="11"/>
        <v>348</v>
      </c>
      <c r="C379" s="43" t="s">
        <v>1270</v>
      </c>
      <c r="D379" s="43" t="s">
        <v>939</v>
      </c>
      <c r="E379" s="44" t="s">
        <v>1263</v>
      </c>
      <c r="F379" s="44" t="s">
        <v>33</v>
      </c>
      <c r="G379" s="44" t="s">
        <v>481</v>
      </c>
      <c r="H379" s="44" t="s">
        <v>33</v>
      </c>
      <c r="I379" s="44" t="s">
        <v>309</v>
      </c>
      <c r="J379" s="44"/>
      <c r="K379" s="56">
        <f>SUMIF('TB-Jan-25'!$A$12:$A$167,'Working-Jan-25'!C379,'TB-Jan-25'!$E$12:$E$167)</f>
        <v>0</v>
      </c>
      <c r="L379" s="56">
        <f>SUMIF('TB-Jan-25'!I:I,C379,'TB-Jan-25'!M:M)</f>
        <v>0</v>
      </c>
      <c r="M379" s="56">
        <f t="shared" si="12"/>
        <v>0</v>
      </c>
      <c r="N379" s="57">
        <f>IFERROR(VLOOKUP(C379,'[1]TB-Jun-24'!A:F,6,FALSE),0)</f>
        <v>0</v>
      </c>
      <c r="O379" s="35">
        <f>IFERROR(VLOOKUP(C379,'[1]TB-Jun-24'!I:N,6,FALSE),0)</f>
        <v>0</v>
      </c>
      <c r="Q379" s="35" t="s">
        <v>33</v>
      </c>
    </row>
    <row r="380" hidden="1" spans="2:17">
      <c r="B380" s="35">
        <f t="shared" si="11"/>
        <v>349</v>
      </c>
      <c r="C380" s="43" t="s">
        <v>902</v>
      </c>
      <c r="D380" s="43" t="s">
        <v>935</v>
      </c>
      <c r="E380" s="44" t="s">
        <v>571</v>
      </c>
      <c r="F380" s="44" t="s">
        <v>33</v>
      </c>
      <c r="G380" s="44" t="s">
        <v>571</v>
      </c>
      <c r="H380" s="44" t="s">
        <v>33</v>
      </c>
      <c r="I380" s="44" t="s">
        <v>309</v>
      </c>
      <c r="J380" s="44"/>
      <c r="K380" s="56">
        <f>SUMIF('TB-Jan-25'!$A$12:$A$167,'Working-Jan-25'!C380,'TB-Jan-25'!$E$12:$E$167)</f>
        <v>0</v>
      </c>
      <c r="L380" s="56">
        <f>SUMIF('TB-Jan-25'!I:I,C380,'TB-Jan-25'!M:M)</f>
        <v>112919</v>
      </c>
      <c r="M380" s="56">
        <f t="shared" si="12"/>
        <v>112919</v>
      </c>
      <c r="N380" s="57" t="e">
        <f>SUMIF([6]Final!$B:$B,C380,[6]Final!$F:$F)-M380</f>
        <v>#VALUE!</v>
      </c>
      <c r="O380" s="35">
        <f>IFERROR(VLOOKUP(C380,'[1]TB-Jun-24'!I:N,6,FALSE),0)</f>
        <v>192426</v>
      </c>
      <c r="Q380" s="35" t="s">
        <v>33</v>
      </c>
    </row>
    <row r="381" hidden="1" spans="2:17">
      <c r="B381" s="35">
        <f t="shared" si="11"/>
        <v>350</v>
      </c>
      <c r="C381" s="43" t="s">
        <v>1271</v>
      </c>
      <c r="D381" s="43" t="s">
        <v>935</v>
      </c>
      <c r="E381" s="44" t="s">
        <v>571</v>
      </c>
      <c r="F381" s="44" t="s">
        <v>33</v>
      </c>
      <c r="G381" s="44" t="s">
        <v>571</v>
      </c>
      <c r="H381" s="44" t="s">
        <v>33</v>
      </c>
      <c r="I381" s="44" t="s">
        <v>309</v>
      </c>
      <c r="J381" s="44"/>
      <c r="K381" s="56">
        <f>SUMIF('TB-Jan-25'!$A$12:$A$167,'Working-Jan-25'!C381,'TB-Jan-25'!$E$12:$E$167)</f>
        <v>0</v>
      </c>
      <c r="L381" s="56">
        <f>SUMIF('TB-Jan-25'!I:I,C381,'TB-Jan-25'!M:M)</f>
        <v>0</v>
      </c>
      <c r="M381" s="56">
        <f t="shared" si="12"/>
        <v>0</v>
      </c>
      <c r="N381" s="57">
        <f>IFERROR(VLOOKUP(C381,'[1]TB-Jun-24'!A:F,6,FALSE),0)</f>
        <v>0</v>
      </c>
      <c r="O381" s="35">
        <f>IFERROR(VLOOKUP(C381,'[1]TB-Jun-24'!I:N,6,FALSE),0)</f>
        <v>0</v>
      </c>
      <c r="Q381" s="35" t="s">
        <v>33</v>
      </c>
    </row>
    <row r="382" hidden="1" spans="2:17">
      <c r="B382" s="35">
        <f t="shared" si="11"/>
        <v>351</v>
      </c>
      <c r="C382" s="43" t="s">
        <v>1272</v>
      </c>
      <c r="D382" s="43" t="s">
        <v>939</v>
      </c>
      <c r="E382" s="44" t="s">
        <v>987</v>
      </c>
      <c r="F382" s="44" t="s">
        <v>33</v>
      </c>
      <c r="G382" s="44" t="s">
        <v>477</v>
      </c>
      <c r="H382" s="44" t="s">
        <v>121</v>
      </c>
      <c r="I382" s="44" t="s">
        <v>309</v>
      </c>
      <c r="J382" s="44"/>
      <c r="K382" s="56">
        <f>SUMIF('TB-Jan-25'!$A$12:$A$167,'Working-Jan-25'!C382,'TB-Jan-25'!$E$12:$E$167)</f>
        <v>0</v>
      </c>
      <c r="L382" s="56">
        <f>SUMIF('TB-Jan-25'!I:I,C382,'TB-Jan-25'!M:M)</f>
        <v>0</v>
      </c>
      <c r="M382" s="56">
        <f t="shared" si="12"/>
        <v>0</v>
      </c>
      <c r="N382" s="57">
        <f>IFERROR(VLOOKUP(C382,'[1]TB-Jun-24'!A:F,6,FALSE),0)</f>
        <v>0</v>
      </c>
      <c r="O382" s="35">
        <f>IFERROR(VLOOKUP(C382,'[1]TB-Jun-24'!I:N,6,FALSE),0)</f>
        <v>0</v>
      </c>
      <c r="Q382" s="35" t="s">
        <v>121</v>
      </c>
    </row>
    <row r="383" hidden="1" spans="2:17">
      <c r="B383" s="35">
        <f t="shared" si="11"/>
        <v>352</v>
      </c>
      <c r="C383" s="43" t="s">
        <v>1273</v>
      </c>
      <c r="D383" s="43" t="s">
        <v>935</v>
      </c>
      <c r="E383" s="44" t="s">
        <v>485</v>
      </c>
      <c r="F383" s="44" t="s">
        <v>33</v>
      </c>
      <c r="G383" s="44" t="s">
        <v>473</v>
      </c>
      <c r="H383" s="44" t="s">
        <v>33</v>
      </c>
      <c r="I383" s="44" t="s">
        <v>309</v>
      </c>
      <c r="J383" s="44"/>
      <c r="K383" s="56">
        <f>SUMIF('TB-Jan-25'!$A$12:$A$167,'Working-Jan-25'!C383,'TB-Jan-25'!$E$12:$E$167)</f>
        <v>0</v>
      </c>
      <c r="L383" s="56">
        <f>SUMIF('TB-Jan-25'!I:I,C383,'TB-Jan-25'!M:M)</f>
        <v>0</v>
      </c>
      <c r="M383" s="56">
        <f t="shared" si="12"/>
        <v>0</v>
      </c>
      <c r="N383" s="57">
        <f>IFERROR(VLOOKUP(C383,'[1]TB-Jun-24'!A:F,6,FALSE),0)</f>
        <v>0</v>
      </c>
      <c r="O383" s="35">
        <f>IFERROR(VLOOKUP(C383,'[1]TB-Jun-24'!I:N,6,FALSE),0)</f>
        <v>0</v>
      </c>
      <c r="Q383" s="35" t="s">
        <v>33</v>
      </c>
    </row>
    <row r="384" hidden="1" spans="2:17">
      <c r="B384" s="35">
        <f t="shared" si="11"/>
        <v>353</v>
      </c>
      <c r="C384" s="43" t="s">
        <v>866</v>
      </c>
      <c r="D384" s="43" t="s">
        <v>939</v>
      </c>
      <c r="E384" s="44" t="s">
        <v>1274</v>
      </c>
      <c r="F384" s="44" t="s">
        <v>33</v>
      </c>
      <c r="G384" s="44" t="s">
        <v>530</v>
      </c>
      <c r="H384" s="44" t="s">
        <v>33</v>
      </c>
      <c r="I384" s="44" t="s">
        <v>309</v>
      </c>
      <c r="J384" s="44"/>
      <c r="K384" s="56">
        <f>SUMIF('TB-Jan-25'!$A$12:$A$167,'Working-Jan-25'!C384,'TB-Jan-25'!$E$12:$E$167)</f>
        <v>5900</v>
      </c>
      <c r="L384" s="56">
        <f>SUMIF('TB-Jan-25'!I:I,C384,'TB-Jan-25'!M:M)</f>
        <v>0</v>
      </c>
      <c r="M384" s="56">
        <f t="shared" si="12"/>
        <v>5900</v>
      </c>
      <c r="N384" s="57" t="e">
        <f>SUMIF([6]Final!$B:$B,C384,[6]Final!$F:$F)-M384</f>
        <v>#VALUE!</v>
      </c>
      <c r="O384" s="35">
        <f>IFERROR(VLOOKUP(C384,'[1]TB-Jun-24'!I:N,6,FALSE),0)</f>
        <v>0</v>
      </c>
      <c r="Q384" s="35" t="s">
        <v>33</v>
      </c>
    </row>
    <row r="385" hidden="1" spans="2:17">
      <c r="B385" s="35">
        <f t="shared" si="11"/>
        <v>354</v>
      </c>
      <c r="C385" s="43" t="s">
        <v>1275</v>
      </c>
      <c r="D385" s="43" t="s">
        <v>939</v>
      </c>
      <c r="E385" s="44" t="s">
        <v>1274</v>
      </c>
      <c r="F385" s="44" t="s">
        <v>33</v>
      </c>
      <c r="G385" s="44" t="s">
        <v>530</v>
      </c>
      <c r="H385" s="44" t="s">
        <v>33</v>
      </c>
      <c r="I385" s="44" t="s">
        <v>309</v>
      </c>
      <c r="J385" s="44"/>
      <c r="K385" s="56">
        <f>SUMIF('TB-Jan-25'!$A$12:$A$167,'Working-Jan-25'!C385,'TB-Jan-25'!$E$12:$E$167)</f>
        <v>0</v>
      </c>
      <c r="L385" s="56">
        <f>SUMIF('TB-Jan-25'!I:I,C385,'TB-Jan-25'!M:M)</f>
        <v>0</v>
      </c>
      <c r="M385" s="56">
        <f t="shared" si="12"/>
        <v>0</v>
      </c>
      <c r="N385" s="57">
        <f>IFERROR(VLOOKUP(C385,'[1]TB-Jun-24'!A:F,6,FALSE),0)</f>
        <v>0</v>
      </c>
      <c r="O385" s="35">
        <f>IFERROR(VLOOKUP(C385,'[1]TB-Jun-24'!I:N,6,FALSE),0)</f>
        <v>0</v>
      </c>
      <c r="Q385" s="35" t="s">
        <v>33</v>
      </c>
    </row>
    <row r="386" hidden="1" spans="2:17">
      <c r="B386" s="35">
        <f t="shared" si="11"/>
        <v>355</v>
      </c>
      <c r="C386" s="43" t="s">
        <v>1276</v>
      </c>
      <c r="D386" s="43" t="s">
        <v>935</v>
      </c>
      <c r="E386" s="44" t="s">
        <v>942</v>
      </c>
      <c r="F386" s="44" t="s">
        <v>33</v>
      </c>
      <c r="G386" s="44" t="s">
        <v>493</v>
      </c>
      <c r="H386" s="44" t="s">
        <v>120</v>
      </c>
      <c r="I386" s="44" t="s">
        <v>309</v>
      </c>
      <c r="J386" s="44"/>
      <c r="K386" s="56">
        <f>SUMIF('TB-Jan-25'!$A$12:$A$167,'Working-Jan-25'!C386,'TB-Jan-25'!$E$12:$E$167)</f>
        <v>0</v>
      </c>
      <c r="L386" s="56">
        <f>SUMIF('TB-Jan-25'!I:I,C386,'TB-Jan-25'!M:M)</f>
        <v>0</v>
      </c>
      <c r="M386" s="56">
        <f t="shared" si="12"/>
        <v>0</v>
      </c>
      <c r="N386" s="57">
        <f>IFERROR(VLOOKUP(C386,'[1]TB-Jun-24'!A:F,6,FALSE),0)</f>
        <v>0</v>
      </c>
      <c r="O386" s="35">
        <f>IFERROR(VLOOKUP(C386,'[1]TB-Jun-24'!I:N,6,FALSE),0)</f>
        <v>0</v>
      </c>
      <c r="Q386" s="35" t="s">
        <v>493</v>
      </c>
    </row>
    <row r="387" hidden="1" spans="2:17">
      <c r="B387" s="35">
        <f t="shared" si="11"/>
        <v>356</v>
      </c>
      <c r="C387" s="43" t="s">
        <v>1277</v>
      </c>
      <c r="D387" s="43" t="s">
        <v>939</v>
      </c>
      <c r="E387" s="44" t="s">
        <v>987</v>
      </c>
      <c r="F387" s="44" t="s">
        <v>33</v>
      </c>
      <c r="G387" s="44" t="s">
        <v>477</v>
      </c>
      <c r="H387" s="44" t="s">
        <v>121</v>
      </c>
      <c r="I387" s="44" t="s">
        <v>309</v>
      </c>
      <c r="J387" s="44"/>
      <c r="K387" s="56">
        <f>SUMIF('TB-Jan-25'!$A$12:$A$167,'Working-Jan-25'!C387,'TB-Jan-25'!$E$12:$E$167)</f>
        <v>0</v>
      </c>
      <c r="L387" s="56">
        <f>SUMIF('TB-Jan-25'!I:I,C387,'TB-Jan-25'!M:M)</f>
        <v>0</v>
      </c>
      <c r="M387" s="56">
        <f t="shared" si="12"/>
        <v>0</v>
      </c>
      <c r="N387" s="57">
        <f>IFERROR(VLOOKUP(C387,'[1]TB-Jun-24'!A:F,6,FALSE),0)</f>
        <v>0</v>
      </c>
      <c r="O387" s="35">
        <f>IFERROR(VLOOKUP(C387,'[1]TB-Jun-24'!I:N,6,FALSE),0)</f>
        <v>0</v>
      </c>
      <c r="Q387" s="35" t="s">
        <v>121</v>
      </c>
    </row>
    <row r="388" hidden="1" spans="2:17">
      <c r="B388" s="35">
        <f t="shared" si="11"/>
        <v>357</v>
      </c>
      <c r="C388" s="43" t="s">
        <v>1278</v>
      </c>
      <c r="D388" s="43" t="s">
        <v>935</v>
      </c>
      <c r="E388" s="44" t="s">
        <v>1279</v>
      </c>
      <c r="F388" s="44" t="s">
        <v>33</v>
      </c>
      <c r="G388" s="44" t="s">
        <v>564</v>
      </c>
      <c r="H388" s="44" t="s">
        <v>33</v>
      </c>
      <c r="I388" s="44" t="s">
        <v>309</v>
      </c>
      <c r="J388" s="44"/>
      <c r="K388" s="56">
        <f>SUMIF('TB-Jan-25'!$A$12:$A$167,'Working-Jan-25'!C388,'TB-Jan-25'!$E$12:$E$167)</f>
        <v>0</v>
      </c>
      <c r="L388" s="56">
        <f>SUMIF('TB-Jan-25'!I:I,C388,'TB-Jan-25'!M:M)</f>
        <v>0</v>
      </c>
      <c r="M388" s="56">
        <f t="shared" si="12"/>
        <v>0</v>
      </c>
      <c r="N388" s="57">
        <f>IFERROR(VLOOKUP(C388,'[1]TB-Jun-24'!A:F,6,FALSE),0)</f>
        <v>0</v>
      </c>
      <c r="O388" s="35">
        <f>IFERROR(VLOOKUP(C388,'[1]TB-Jun-24'!I:N,6,FALSE),0)</f>
        <v>0</v>
      </c>
      <c r="Q388" s="35" t="s">
        <v>33</v>
      </c>
    </row>
    <row r="389" hidden="1" spans="2:17">
      <c r="B389" s="35">
        <f t="shared" si="11"/>
        <v>358</v>
      </c>
      <c r="C389" s="43" t="s">
        <v>870</v>
      </c>
      <c r="D389" s="43" t="s">
        <v>939</v>
      </c>
      <c r="E389" s="44" t="s">
        <v>1280</v>
      </c>
      <c r="F389" s="44" t="s">
        <v>33</v>
      </c>
      <c r="G389" s="44" t="s">
        <v>540</v>
      </c>
      <c r="H389" s="44" t="s">
        <v>33</v>
      </c>
      <c r="I389" s="44" t="s">
        <v>309</v>
      </c>
      <c r="J389" s="44"/>
      <c r="K389" s="56">
        <f>SUMIF('TB-Jan-25'!$A$12:$A$167,'Working-Jan-25'!C389,'TB-Jan-25'!$E$12:$E$167)</f>
        <v>32243.83</v>
      </c>
      <c r="L389" s="56">
        <f>SUMIF('TB-Jan-25'!I:I,C389,'TB-Jan-25'!M:M)</f>
        <v>0</v>
      </c>
      <c r="M389" s="56">
        <f t="shared" si="12"/>
        <v>32243.83</v>
      </c>
      <c r="N389" s="57" t="e">
        <f>SUMIF([6]Final!$B:$B,C389,[6]Final!$F:$F)-M389</f>
        <v>#VALUE!</v>
      </c>
      <c r="O389" s="35">
        <f>IFERROR(VLOOKUP(C389,'[1]TB-Jun-24'!I:N,6,FALSE),0)</f>
        <v>0</v>
      </c>
      <c r="Q389" s="35" t="s">
        <v>33</v>
      </c>
    </row>
    <row r="390" hidden="1" spans="2:17">
      <c r="B390" s="35">
        <f t="shared" si="11"/>
        <v>359</v>
      </c>
      <c r="C390" s="43" t="s">
        <v>1281</v>
      </c>
      <c r="D390" s="43" t="s">
        <v>939</v>
      </c>
      <c r="E390" s="44" t="s">
        <v>1252</v>
      </c>
      <c r="F390" s="44" t="s">
        <v>33</v>
      </c>
      <c r="G390" s="44" t="s">
        <v>552</v>
      </c>
      <c r="H390" s="44" t="s">
        <v>33</v>
      </c>
      <c r="I390" s="44" t="s">
        <v>309</v>
      </c>
      <c r="J390" s="44"/>
      <c r="K390" s="56">
        <f>SUMIF('TB-Jan-25'!$A$12:$A$167,'Working-Jan-25'!C390,'TB-Jan-25'!$E$12:$E$167)</f>
        <v>0</v>
      </c>
      <c r="L390" s="56">
        <f>SUMIF('TB-Jan-25'!I:I,C390,'TB-Jan-25'!M:M)</f>
        <v>0</v>
      </c>
      <c r="M390" s="56">
        <f t="shared" si="12"/>
        <v>0</v>
      </c>
      <c r="N390" s="57">
        <f>IFERROR(VLOOKUP(C390,'[1]TB-Jun-24'!A:F,6,FALSE),0)</f>
        <v>0</v>
      </c>
      <c r="O390" s="35">
        <f>IFERROR(VLOOKUP(C390,'[1]TB-Jun-24'!I:N,6,FALSE),0)</f>
        <v>0</v>
      </c>
      <c r="Q390" s="35" t="s">
        <v>33</v>
      </c>
    </row>
    <row r="391" hidden="1" spans="2:17">
      <c r="B391" s="35">
        <f t="shared" si="11"/>
        <v>360</v>
      </c>
      <c r="C391" s="43" t="s">
        <v>1282</v>
      </c>
      <c r="D391" s="43" t="s">
        <v>935</v>
      </c>
      <c r="E391" s="44" t="s">
        <v>1279</v>
      </c>
      <c r="F391" s="44" t="s">
        <v>33</v>
      </c>
      <c r="G391" s="44" t="s">
        <v>564</v>
      </c>
      <c r="H391" s="44" t="s">
        <v>33</v>
      </c>
      <c r="I391" s="44" t="s">
        <v>309</v>
      </c>
      <c r="J391" s="44"/>
      <c r="K391" s="56">
        <f>SUMIF('TB-Jan-25'!$A$12:$A$167,'Working-Jan-25'!C391,'TB-Jan-25'!$E$12:$E$167)</f>
        <v>0</v>
      </c>
      <c r="L391" s="56">
        <f>SUMIF('TB-Jan-25'!I:I,C391,'TB-Jan-25'!M:M)</f>
        <v>0</v>
      </c>
      <c r="M391" s="56">
        <f t="shared" si="12"/>
        <v>0</v>
      </c>
      <c r="N391" s="57">
        <f>IFERROR(VLOOKUP(C391,'[1]TB-Jun-24'!A:F,6,FALSE),0)</f>
        <v>0</v>
      </c>
      <c r="O391" s="35">
        <f>IFERROR(VLOOKUP(C391,'[1]TB-Jun-24'!I:N,6,FALSE),0)</f>
        <v>9000</v>
      </c>
      <c r="Q391" s="35" t="s">
        <v>33</v>
      </c>
    </row>
    <row r="392" hidden="1" spans="2:17">
      <c r="B392" s="35">
        <f t="shared" si="11"/>
        <v>361</v>
      </c>
      <c r="C392" s="43" t="s">
        <v>1283</v>
      </c>
      <c r="D392" s="43" t="s">
        <v>935</v>
      </c>
      <c r="E392" s="44" t="s">
        <v>1284</v>
      </c>
      <c r="F392" s="44" t="s">
        <v>33</v>
      </c>
      <c r="G392" s="44" t="s">
        <v>487</v>
      </c>
      <c r="H392" s="44" t="s">
        <v>33</v>
      </c>
      <c r="I392" s="44" t="s">
        <v>309</v>
      </c>
      <c r="J392" s="44"/>
      <c r="K392" s="56">
        <f>SUMIF('TB-Jan-25'!$A$12:$A$167,'Working-Jan-25'!C392,'TB-Jan-25'!$E$12:$E$167)</f>
        <v>0</v>
      </c>
      <c r="L392" s="56">
        <f>SUMIF('TB-Jan-25'!I:I,C392,'TB-Jan-25'!M:M)</f>
        <v>0</v>
      </c>
      <c r="M392" s="56">
        <f t="shared" si="12"/>
        <v>0</v>
      </c>
      <c r="N392" s="57">
        <f>IFERROR(VLOOKUP(C392,'[1]TB-Jun-24'!A:F,6,FALSE),0)</f>
        <v>0</v>
      </c>
      <c r="O392" s="35">
        <f>IFERROR(VLOOKUP(C392,'[1]TB-Jun-24'!I:N,6,FALSE),0)</f>
        <v>0</v>
      </c>
      <c r="Q392" s="35" t="s">
        <v>33</v>
      </c>
    </row>
    <row r="393" hidden="1" spans="2:17">
      <c r="B393" s="35">
        <f t="shared" si="11"/>
        <v>362</v>
      </c>
      <c r="C393" s="43" t="s">
        <v>872</v>
      </c>
      <c r="D393" s="43" t="s">
        <v>939</v>
      </c>
      <c r="E393" s="44" t="s">
        <v>1227</v>
      </c>
      <c r="F393" s="44" t="s">
        <v>33</v>
      </c>
      <c r="G393" s="44" t="s">
        <v>499</v>
      </c>
      <c r="H393" s="44" t="s">
        <v>33</v>
      </c>
      <c r="I393" s="44" t="s">
        <v>309</v>
      </c>
      <c r="J393" s="44"/>
      <c r="K393" s="56">
        <f>SUMIF('TB-Jan-25'!$A$12:$A$167,'Working-Jan-25'!C393,'TB-Jan-25'!$E$12:$E$167)</f>
        <v>11500</v>
      </c>
      <c r="L393" s="56">
        <f>SUMIF('TB-Jan-25'!I:I,C393,'TB-Jan-25'!M:M)</f>
        <v>10840</v>
      </c>
      <c r="M393" s="56">
        <f t="shared" si="12"/>
        <v>22340</v>
      </c>
      <c r="N393" s="57" t="e">
        <f>SUMIF([6]Final!$B:$B,C393,[6]Final!$F:$F)-M393</f>
        <v>#VALUE!</v>
      </c>
      <c r="O393" s="35">
        <f>IFERROR(VLOOKUP(C393,'[1]TB-Jun-24'!I:N,6,FALSE),0)</f>
        <v>7766</v>
      </c>
      <c r="Q393" s="35" t="s">
        <v>33</v>
      </c>
    </row>
    <row r="394" hidden="1" spans="2:17">
      <c r="B394" s="35">
        <f t="shared" si="11"/>
        <v>363</v>
      </c>
      <c r="C394" s="43" t="s">
        <v>615</v>
      </c>
      <c r="D394" s="43" t="s">
        <v>939</v>
      </c>
      <c r="E394" s="44" t="s">
        <v>1013</v>
      </c>
      <c r="F394" s="44" t="s">
        <v>33</v>
      </c>
      <c r="G394" s="44" t="s">
        <v>615</v>
      </c>
      <c r="H394" s="44" t="s">
        <v>120</v>
      </c>
      <c r="I394" s="44" t="s">
        <v>309</v>
      </c>
      <c r="J394" s="44"/>
      <c r="K394" s="56">
        <f>SUMIF('TB-Jan-25'!$A$12:$A$167,'Working-Jan-25'!C394,'TB-Jan-25'!$E$12:$E$167)</f>
        <v>0</v>
      </c>
      <c r="L394" s="56">
        <f>SUMIF('TB-Jan-25'!I:I,C394,'TB-Jan-25'!M:M)</f>
        <v>0</v>
      </c>
      <c r="M394" s="56">
        <f t="shared" si="12"/>
        <v>0</v>
      </c>
      <c r="N394" s="57">
        <f>IFERROR(VLOOKUP(C394,'[1]TB-Jun-24'!A:F,6,FALSE),0)</f>
        <v>0</v>
      </c>
      <c r="O394" s="35">
        <f>IFERROR(VLOOKUP(C394,'[1]TB-Jun-24'!I:N,6,FALSE),0)</f>
        <v>0</v>
      </c>
      <c r="Q394" s="35" t="s">
        <v>120</v>
      </c>
    </row>
    <row r="395" hidden="1" spans="2:17">
      <c r="B395" s="35">
        <f t="shared" si="11"/>
        <v>364</v>
      </c>
      <c r="C395" s="43" t="s">
        <v>1285</v>
      </c>
      <c r="D395" s="43" t="s">
        <v>935</v>
      </c>
      <c r="E395" s="44" t="s">
        <v>1286</v>
      </c>
      <c r="F395" s="44" t="s">
        <v>33</v>
      </c>
      <c r="G395" s="44" t="s">
        <v>1287</v>
      </c>
      <c r="H395" s="44" t="s">
        <v>1287</v>
      </c>
      <c r="I395" s="44" t="s">
        <v>309</v>
      </c>
      <c r="J395" s="44"/>
      <c r="K395" s="56">
        <f>SUMIF('TB-Jan-25'!$A$12:$A$167,'Working-Jan-25'!C395,'TB-Jan-25'!$E$12:$E$167)</f>
        <v>0</v>
      </c>
      <c r="L395" s="56">
        <f>SUMIF('TB-Jan-25'!I:I,C395,'TB-Jan-25'!M:M)</f>
        <v>0</v>
      </c>
      <c r="M395" s="56">
        <f t="shared" si="12"/>
        <v>0</v>
      </c>
      <c r="N395" s="57">
        <f>IFERROR(VLOOKUP(C395,'[1]TB-Jun-24'!A:F,6,FALSE),0)</f>
        <v>0</v>
      </c>
      <c r="O395" s="35">
        <f>IFERROR(VLOOKUP(C395,'[1]TB-Jun-24'!I:N,6,FALSE),0)</f>
        <v>0</v>
      </c>
      <c r="Q395" s="35" t="s">
        <v>1287</v>
      </c>
    </row>
    <row r="396" hidden="1" spans="2:17">
      <c r="B396" s="35">
        <f t="shared" si="11"/>
        <v>365</v>
      </c>
      <c r="C396" s="43" t="s">
        <v>914</v>
      </c>
      <c r="D396" s="43" t="s">
        <v>935</v>
      </c>
      <c r="E396" s="44" t="s">
        <v>485</v>
      </c>
      <c r="F396" s="44" t="s">
        <v>33</v>
      </c>
      <c r="G396" s="44" t="s">
        <v>473</v>
      </c>
      <c r="H396" s="44" t="s">
        <v>121</v>
      </c>
      <c r="I396" s="44" t="s">
        <v>309</v>
      </c>
      <c r="J396" s="44"/>
      <c r="K396" s="56">
        <f>SUMIF('TB-Jan-25'!$A$12:$A$167,'Working-Jan-25'!C396,'TB-Jan-25'!$E$12:$E$167)</f>
        <v>0</v>
      </c>
      <c r="L396" s="56">
        <f>SUMIF('TB-Jan-25'!I:I,C396,'TB-Jan-25'!M:M)</f>
        <v>565838</v>
      </c>
      <c r="M396" s="56">
        <f t="shared" si="12"/>
        <v>565838</v>
      </c>
      <c r="N396" s="57" t="e">
        <f>SUMIF([6]Final!$B:$B,C396,[6]Final!$F:$F)-M396</f>
        <v>#VALUE!</v>
      </c>
      <c r="O396" s="35">
        <f>IFERROR(VLOOKUP(C396,'[1]TB-Jun-24'!I:N,6,FALSE),0)</f>
        <v>104475</v>
      </c>
      <c r="Q396" s="35" t="s">
        <v>121</v>
      </c>
    </row>
    <row r="397" hidden="1" spans="2:17">
      <c r="B397" s="35">
        <f t="shared" si="11"/>
        <v>366</v>
      </c>
      <c r="C397" s="43" t="s">
        <v>916</v>
      </c>
      <c r="D397" s="43" t="s">
        <v>935</v>
      </c>
      <c r="E397" s="44" t="s">
        <v>1288</v>
      </c>
      <c r="F397" s="44" t="s">
        <v>33</v>
      </c>
      <c r="G397" s="44" t="s">
        <v>1289</v>
      </c>
      <c r="H397" s="44" t="s">
        <v>1289</v>
      </c>
      <c r="I397" s="44" t="s">
        <v>309</v>
      </c>
      <c r="J397" s="44"/>
      <c r="K397" s="56">
        <f>SUMIF('TB-Jan-25'!$A$12:$A$167,'Working-Jan-25'!C397,'TB-Jan-25'!$E$12:$E$167)</f>
        <v>0</v>
      </c>
      <c r="L397" s="56">
        <f>SUMIF('TB-Jan-25'!I:I,C397,'TB-Jan-25'!M:M)</f>
        <v>5704607.45</v>
      </c>
      <c r="M397" s="56">
        <f t="shared" si="12"/>
        <v>5704607.45</v>
      </c>
      <c r="N397" s="57" t="e">
        <f>SUMIF([6]Final!$B:$B,C397,[6]Final!$F:$F)-M397</f>
        <v>#VALUE!</v>
      </c>
      <c r="O397" s="35">
        <f>IFERROR(VLOOKUP(C397,'[1]TB-Jun-24'!I:N,6,FALSE),0)</f>
        <v>3185148.25</v>
      </c>
      <c r="Q397" s="35" t="s">
        <v>1289</v>
      </c>
    </row>
    <row r="398" hidden="1" spans="2:17">
      <c r="B398" s="35">
        <f t="shared" si="11"/>
        <v>367</v>
      </c>
      <c r="C398" s="43" t="s">
        <v>1290</v>
      </c>
      <c r="D398" s="43" t="s">
        <v>935</v>
      </c>
      <c r="E398" s="44" t="s">
        <v>1288</v>
      </c>
      <c r="F398" s="44" t="s">
        <v>33</v>
      </c>
      <c r="G398" s="44" t="s">
        <v>1289</v>
      </c>
      <c r="H398" s="44" t="s">
        <v>1289</v>
      </c>
      <c r="I398" s="44" t="s">
        <v>309</v>
      </c>
      <c r="J398" s="44"/>
      <c r="K398" s="56">
        <f>SUMIF('TB-Jan-25'!$A$12:$A$167,'Working-Jan-25'!C398,'TB-Jan-25'!$E$12:$E$167)</f>
        <v>0</v>
      </c>
      <c r="L398" s="56">
        <f>SUMIF('TB-Jan-25'!I:I,C398,'TB-Jan-25'!M:M)</f>
        <v>0</v>
      </c>
      <c r="M398" s="56">
        <f t="shared" si="12"/>
        <v>0</v>
      </c>
      <c r="N398" s="57">
        <f>IFERROR(VLOOKUP(C398,'[1]TB-Jun-24'!A:F,6,FALSE),0)</f>
        <v>0</v>
      </c>
      <c r="O398" s="35">
        <f>IFERROR(VLOOKUP(C398,'[1]TB-Jun-24'!I:N,6,FALSE),0)</f>
        <v>0</v>
      </c>
      <c r="Q398" s="35" t="s">
        <v>1289</v>
      </c>
    </row>
    <row r="399" hidden="1" spans="2:17">
      <c r="B399" s="35">
        <f t="shared" si="11"/>
        <v>368</v>
      </c>
      <c r="C399" s="43" t="s">
        <v>1291</v>
      </c>
      <c r="D399" s="43" t="s">
        <v>935</v>
      </c>
      <c r="E399" s="44" t="s">
        <v>1288</v>
      </c>
      <c r="F399" s="44" t="s">
        <v>33</v>
      </c>
      <c r="G399" s="44" t="s">
        <v>1289</v>
      </c>
      <c r="H399" s="44" t="s">
        <v>1289</v>
      </c>
      <c r="I399" s="44" t="s">
        <v>309</v>
      </c>
      <c r="J399" s="44"/>
      <c r="K399" s="56">
        <f>SUMIF('TB-Jan-25'!$A$12:$A$167,'Working-Jan-25'!C399,'TB-Jan-25'!$E$12:$E$167)</f>
        <v>0</v>
      </c>
      <c r="L399" s="56">
        <f>SUMIF('TB-Jan-25'!I:I,C399,'TB-Jan-25'!M:M)</f>
        <v>0</v>
      </c>
      <c r="M399" s="56">
        <f t="shared" si="12"/>
        <v>0</v>
      </c>
      <c r="N399" s="57">
        <f>IFERROR(VLOOKUP(C399,'[1]TB-Jun-24'!A:F,6,FALSE),0)</f>
        <v>0</v>
      </c>
      <c r="O399" s="35">
        <f>IFERROR(VLOOKUP(C399,'[1]TB-Jun-24'!I:N,6,FALSE),0)</f>
        <v>0</v>
      </c>
      <c r="Q399" s="35" t="s">
        <v>1289</v>
      </c>
    </row>
    <row r="400" hidden="1" spans="2:17">
      <c r="B400" s="35">
        <f t="shared" si="11"/>
        <v>369</v>
      </c>
      <c r="C400" s="43" t="s">
        <v>1292</v>
      </c>
      <c r="D400" s="43" t="s">
        <v>935</v>
      </c>
      <c r="E400" s="44" t="s">
        <v>1288</v>
      </c>
      <c r="F400" s="44" t="s">
        <v>33</v>
      </c>
      <c r="G400" s="44" t="s">
        <v>1289</v>
      </c>
      <c r="H400" s="44" t="s">
        <v>1289</v>
      </c>
      <c r="I400" s="44" t="s">
        <v>309</v>
      </c>
      <c r="J400" s="44"/>
      <c r="K400" s="56">
        <f>SUMIF('TB-Jan-25'!$A$12:$A$167,'Working-Jan-25'!C400,'TB-Jan-25'!$E$12:$E$167)</f>
        <v>0</v>
      </c>
      <c r="L400" s="56">
        <f>SUMIF('TB-Jan-25'!I:I,C400,'TB-Jan-25'!M:M)</f>
        <v>0</v>
      </c>
      <c r="M400" s="56">
        <f t="shared" si="12"/>
        <v>0</v>
      </c>
      <c r="N400" s="57">
        <f>IFERROR(VLOOKUP(C400,'[1]TB-Jun-24'!A:F,6,FALSE),0)</f>
        <v>0</v>
      </c>
      <c r="O400" s="35">
        <f>IFERROR(VLOOKUP(C400,'[1]TB-Jun-24'!I:N,6,FALSE),0)</f>
        <v>0</v>
      </c>
      <c r="Q400" s="35" t="s">
        <v>1289</v>
      </c>
    </row>
    <row r="401" hidden="1" spans="2:17">
      <c r="B401" s="35">
        <f t="shared" si="11"/>
        <v>370</v>
      </c>
      <c r="C401" s="43" t="s">
        <v>1293</v>
      </c>
      <c r="D401" s="43" t="s">
        <v>935</v>
      </c>
      <c r="E401" s="44" t="s">
        <v>1288</v>
      </c>
      <c r="F401" s="44" t="s">
        <v>33</v>
      </c>
      <c r="G401" s="44" t="s">
        <v>1289</v>
      </c>
      <c r="H401" s="44" t="s">
        <v>1289</v>
      </c>
      <c r="I401" s="44" t="s">
        <v>309</v>
      </c>
      <c r="J401" s="44"/>
      <c r="K401" s="56">
        <f>SUMIF('TB-Jan-25'!$A$12:$A$167,'Working-Jan-25'!C401,'TB-Jan-25'!$E$12:$E$167)</f>
        <v>0</v>
      </c>
      <c r="L401" s="56">
        <f>SUMIF('TB-Jan-25'!I:I,C401,'TB-Jan-25'!M:M)</f>
        <v>0</v>
      </c>
      <c r="M401" s="56">
        <f t="shared" si="12"/>
        <v>0</v>
      </c>
      <c r="N401" s="57">
        <f>IFERROR(VLOOKUP(C401,'[1]TB-Jun-24'!A:F,6,FALSE),0)</f>
        <v>0</v>
      </c>
      <c r="O401" s="35">
        <f>IFERROR(VLOOKUP(C401,'[1]TB-Jun-24'!I:N,6,FALSE),0)</f>
        <v>0</v>
      </c>
      <c r="Q401" s="35" t="s">
        <v>1289</v>
      </c>
    </row>
    <row r="402" hidden="1" spans="2:17">
      <c r="B402" s="35">
        <f t="shared" ref="B402:B406" si="13">+B401+1</f>
        <v>371</v>
      </c>
      <c r="C402" s="43" t="s">
        <v>1294</v>
      </c>
      <c r="D402" s="43" t="s">
        <v>935</v>
      </c>
      <c r="E402" s="44" t="s">
        <v>1288</v>
      </c>
      <c r="F402" s="44" t="s">
        <v>33</v>
      </c>
      <c r="G402" s="44" t="s">
        <v>1289</v>
      </c>
      <c r="H402" s="44" t="s">
        <v>1289</v>
      </c>
      <c r="I402" s="44" t="s">
        <v>309</v>
      </c>
      <c r="J402" s="44"/>
      <c r="K402" s="56">
        <f>SUMIF('TB-Jan-25'!$A$12:$A$167,'Working-Jan-25'!C402,'TB-Jan-25'!$E$12:$E$167)</f>
        <v>0</v>
      </c>
      <c r="L402" s="56">
        <f>SUMIF('TB-Jan-25'!I:I,C402,'TB-Jan-25'!M:M)</f>
        <v>0</v>
      </c>
      <c r="M402" s="56">
        <f t="shared" si="12"/>
        <v>0</v>
      </c>
      <c r="N402" s="57">
        <f>IFERROR(VLOOKUP(C402,'[1]TB-Jun-24'!A:F,6,FALSE),0)</f>
        <v>0</v>
      </c>
      <c r="O402" s="35">
        <f>IFERROR(VLOOKUP(C402,'[1]TB-Jun-24'!I:N,6,FALSE),0)</f>
        <v>0</v>
      </c>
      <c r="Q402" s="35" t="s">
        <v>1289</v>
      </c>
    </row>
    <row r="403" hidden="1" spans="2:17">
      <c r="B403" s="35">
        <f t="shared" si="13"/>
        <v>372</v>
      </c>
      <c r="C403" s="43" t="s">
        <v>1295</v>
      </c>
      <c r="D403" s="43" t="s">
        <v>935</v>
      </c>
      <c r="E403" s="44" t="s">
        <v>1288</v>
      </c>
      <c r="F403" s="44" t="s">
        <v>33</v>
      </c>
      <c r="G403" s="44" t="s">
        <v>1289</v>
      </c>
      <c r="H403" s="44" t="s">
        <v>1289</v>
      </c>
      <c r="I403" s="44" t="s">
        <v>309</v>
      </c>
      <c r="J403" s="44"/>
      <c r="K403" s="56">
        <f>SUMIF('TB-Jan-25'!$A$12:$A$167,'Working-Jan-25'!C403,'TB-Jan-25'!$E$12:$E$167)</f>
        <v>0</v>
      </c>
      <c r="L403" s="56">
        <f>SUMIF('TB-Jan-25'!I:I,C403,'TB-Jan-25'!M:M)</f>
        <v>0</v>
      </c>
      <c r="M403" s="56">
        <f t="shared" si="12"/>
        <v>0</v>
      </c>
      <c r="N403" s="57">
        <f>IFERROR(VLOOKUP(C403,'[1]TB-Jun-24'!A:F,6,FALSE),0)</f>
        <v>0</v>
      </c>
      <c r="O403" s="35">
        <f>IFERROR(VLOOKUP(C403,'[1]TB-Jun-24'!I:N,6,FALSE),0)</f>
        <v>0</v>
      </c>
      <c r="Q403" s="35" t="s">
        <v>1289</v>
      </c>
    </row>
    <row r="404" hidden="1" spans="2:17">
      <c r="B404" s="35">
        <f t="shared" si="13"/>
        <v>373</v>
      </c>
      <c r="C404" s="43" t="s">
        <v>880</v>
      </c>
      <c r="D404" s="43" t="s">
        <v>939</v>
      </c>
      <c r="E404" s="44" t="s">
        <v>987</v>
      </c>
      <c r="F404" s="44" t="s">
        <v>33</v>
      </c>
      <c r="G404" s="44" t="s">
        <v>477</v>
      </c>
      <c r="H404" s="44" t="s">
        <v>121</v>
      </c>
      <c r="I404" s="44" t="s">
        <v>309</v>
      </c>
      <c r="J404" s="44"/>
      <c r="K404" s="56">
        <f>SUMIF('TB-Jan-25'!$A$12:$A$167,'Working-Jan-25'!C404,'TB-Jan-25'!$E$12:$E$167)</f>
        <v>291350</v>
      </c>
      <c r="L404" s="56">
        <f>SUMIF('TB-Jan-25'!I:I,C404,'TB-Jan-25'!M:M)</f>
        <v>0</v>
      </c>
      <c r="M404" s="56">
        <f t="shared" si="12"/>
        <v>291350</v>
      </c>
      <c r="N404" s="57" t="e">
        <f>SUMIF([6]Final!$B:$B,C404,[6]Final!$F:$F)-M404</f>
        <v>#VALUE!</v>
      </c>
      <c r="O404" s="35">
        <f>IFERROR(VLOOKUP(C404,'[1]TB-Jun-24'!I:N,6,FALSE),0)</f>
        <v>0</v>
      </c>
      <c r="Q404" s="35" t="s">
        <v>121</v>
      </c>
    </row>
    <row r="405" hidden="1" spans="2:17">
      <c r="B405" s="35">
        <f t="shared" si="13"/>
        <v>374</v>
      </c>
      <c r="C405" s="43" t="s">
        <v>922</v>
      </c>
      <c r="D405" s="43" t="s">
        <v>935</v>
      </c>
      <c r="E405" s="44" t="s">
        <v>942</v>
      </c>
      <c r="F405" s="44" t="s">
        <v>33</v>
      </c>
      <c r="G405" s="44" t="s">
        <v>493</v>
      </c>
      <c r="H405" s="44" t="s">
        <v>120</v>
      </c>
      <c r="I405" s="44" t="s">
        <v>309</v>
      </c>
      <c r="J405" s="44"/>
      <c r="K405" s="56">
        <f>SUMIF('TB-Jan-25'!$A$12:$A$167,'Working-Jan-25'!C405,'TB-Jan-25'!$E$12:$E$167)</f>
        <v>0</v>
      </c>
      <c r="L405" s="56">
        <f>SUMIF('TB-Jan-25'!I:I,C405,'TB-Jan-25'!M:M)</f>
        <v>165356</v>
      </c>
      <c r="M405" s="56">
        <f t="shared" si="12"/>
        <v>165356</v>
      </c>
      <c r="N405" s="57" t="e">
        <f>SUMIF([6]Final!$B:$B,C405,[6]Final!$F:$F)-M405</f>
        <v>#VALUE!</v>
      </c>
      <c r="O405" s="35">
        <f>IFERROR(VLOOKUP(C405,'[1]TB-Jun-24'!I:N,6,FALSE),0)</f>
        <v>170581</v>
      </c>
      <c r="Q405" s="35" t="s">
        <v>121</v>
      </c>
    </row>
    <row r="406" hidden="1" spans="2:14">
      <c r="B406" s="35">
        <f t="shared" si="13"/>
        <v>375</v>
      </c>
      <c r="C406" s="43" t="s">
        <v>1296</v>
      </c>
      <c r="D406" s="43" t="s">
        <v>935</v>
      </c>
      <c r="E406" s="44"/>
      <c r="F406" s="44" t="s">
        <v>1011</v>
      </c>
      <c r="G406" s="44" t="s">
        <v>483</v>
      </c>
      <c r="H406" s="44" t="s">
        <v>115</v>
      </c>
      <c r="I406" s="44" t="s">
        <v>309</v>
      </c>
      <c r="J406" s="44"/>
      <c r="K406" s="56">
        <f>SUMIF('TB-Jan-25'!$A$12:$A$167,'Working-Jan-25'!C406,'TB-Jan-25'!$E$12:$E$167)</f>
        <v>0</v>
      </c>
      <c r="L406" s="56">
        <f>SUMIF('TB-Jan-25'!I:I,C406,'TB-Jan-25'!M:M)</f>
        <v>0</v>
      </c>
      <c r="M406" s="56">
        <f t="shared" si="12"/>
        <v>0</v>
      </c>
      <c r="N406" s="57"/>
    </row>
    <row r="407" hidden="1" spans="1:17">
      <c r="A407" s="35" t="s">
        <v>1297</v>
      </c>
      <c r="B407" s="35">
        <f>+B405+1</f>
        <v>375</v>
      </c>
      <c r="C407" s="43" t="s">
        <v>885</v>
      </c>
      <c r="D407" s="43" t="s">
        <v>935</v>
      </c>
      <c r="E407" s="44" t="s">
        <v>525</v>
      </c>
      <c r="F407" s="44" t="s">
        <v>1011</v>
      </c>
      <c r="G407" s="44" t="s">
        <v>479</v>
      </c>
      <c r="H407" s="44" t="s">
        <v>33</v>
      </c>
      <c r="I407" s="44" t="s">
        <v>309</v>
      </c>
      <c r="J407" s="44"/>
      <c r="K407" s="56">
        <f>SUMIF('TB-Jan-25'!$A$12:$A$167,'Working-Jan-25'!C407,'TB-Jan-25'!$E$12:$E$167)</f>
        <v>151791.42</v>
      </c>
      <c r="L407" s="56">
        <f>SUMIF('TB-Jan-25'!I:I,C407,'TB-Jan-25'!M:M)</f>
        <v>-151791.42</v>
      </c>
      <c r="M407" s="56">
        <f t="shared" si="12"/>
        <v>0</v>
      </c>
      <c r="N407" s="57">
        <f>IFERROR(VLOOKUP(C407,'[1]TB-Jun-24'!A:F,6,FALSE),0)</f>
        <v>45596.62</v>
      </c>
      <c r="O407" s="35">
        <f>IFERROR(VLOOKUP(C407,'[1]TB-Jun-24'!I:N,6,FALSE),0)</f>
        <v>0</v>
      </c>
      <c r="Q407" s="35" t="s">
        <v>1023</v>
      </c>
    </row>
    <row r="408" hidden="1" spans="2:17">
      <c r="B408" s="35">
        <f t="shared" ref="B408:B471" si="14">+B407+1</f>
        <v>376</v>
      </c>
      <c r="C408" s="43" t="s">
        <v>1298</v>
      </c>
      <c r="D408" s="43" t="s">
        <v>935</v>
      </c>
      <c r="E408" s="44" t="s">
        <v>1299</v>
      </c>
      <c r="F408" s="44" t="s">
        <v>33</v>
      </c>
      <c r="G408" s="44" t="s">
        <v>487</v>
      </c>
      <c r="H408" s="44" t="s">
        <v>33</v>
      </c>
      <c r="I408" s="44" t="s">
        <v>309</v>
      </c>
      <c r="J408" s="44"/>
      <c r="K408" s="56">
        <f>SUMIF('TB-Jan-25'!$A$12:$A$167,'Working-Jan-25'!C408,'TB-Jan-25'!$E$12:$E$167)</f>
        <v>0</v>
      </c>
      <c r="L408" s="56">
        <f>SUMIF('TB-Jan-25'!I:I,C408,'TB-Jan-25'!M:M)</f>
        <v>0</v>
      </c>
      <c r="M408" s="56">
        <f t="shared" si="12"/>
        <v>0</v>
      </c>
      <c r="N408" s="57">
        <f>IFERROR(VLOOKUP(C408,'[1]TB-Jun-24'!A:F,6,FALSE),0)</f>
        <v>0</v>
      </c>
      <c r="O408" s="35">
        <f>IFERROR(VLOOKUP(C408,'[1]TB-Jun-24'!I:N,6,FALSE),0)</f>
        <v>0</v>
      </c>
      <c r="Q408" s="35" t="s">
        <v>33</v>
      </c>
    </row>
    <row r="409" hidden="1" spans="2:17">
      <c r="B409" s="35">
        <f t="shared" si="14"/>
        <v>377</v>
      </c>
      <c r="C409" s="43" t="s">
        <v>1300</v>
      </c>
      <c r="D409" s="43" t="s">
        <v>935</v>
      </c>
      <c r="E409" s="44" t="s">
        <v>942</v>
      </c>
      <c r="F409" s="44" t="s">
        <v>33</v>
      </c>
      <c r="G409" s="44" t="s">
        <v>493</v>
      </c>
      <c r="H409" s="44" t="s">
        <v>120</v>
      </c>
      <c r="I409" s="44" t="s">
        <v>309</v>
      </c>
      <c r="J409" s="44"/>
      <c r="K409" s="56">
        <f>SUMIF('TB-Jan-25'!$A$12:$A$167,'Working-Jan-25'!C409,'TB-Jan-25'!$E$12:$E$167)</f>
        <v>0</v>
      </c>
      <c r="L409" s="56">
        <f>SUMIF('TB-Jan-25'!I:I,C409,'TB-Jan-25'!M:M)</f>
        <v>0</v>
      </c>
      <c r="M409" s="56">
        <f t="shared" si="12"/>
        <v>0</v>
      </c>
      <c r="N409" s="57">
        <f>IFERROR(VLOOKUP(C409,'[1]TB-Jun-24'!A:F,6,FALSE),0)</f>
        <v>0</v>
      </c>
      <c r="O409" s="35">
        <f>IFERROR(VLOOKUP(C409,'[1]TB-Jun-24'!I:N,6,FALSE),0)</f>
        <v>0</v>
      </c>
      <c r="Q409" s="35" t="s">
        <v>493</v>
      </c>
    </row>
    <row r="410" hidden="1" spans="2:17">
      <c r="B410" s="35">
        <f t="shared" si="14"/>
        <v>378</v>
      </c>
      <c r="C410" s="43" t="s">
        <v>886</v>
      </c>
      <c r="D410" s="43" t="s">
        <v>935</v>
      </c>
      <c r="E410" s="44" t="s">
        <v>1284</v>
      </c>
      <c r="F410" s="44" t="s">
        <v>33</v>
      </c>
      <c r="G410" s="44" t="s">
        <v>487</v>
      </c>
      <c r="H410" s="44" t="s">
        <v>33</v>
      </c>
      <c r="I410" s="44" t="s">
        <v>309</v>
      </c>
      <c r="J410" s="44"/>
      <c r="K410" s="56">
        <f>SUMIF('TB-Jan-25'!$A$12:$A$167,'Working-Jan-25'!C410,'TB-Jan-25'!$E$12:$E$167)</f>
        <v>5540</v>
      </c>
      <c r="L410" s="56">
        <f>SUMIF('TB-Jan-25'!I:I,C410,'TB-Jan-25'!M:M)</f>
        <v>-5540</v>
      </c>
      <c r="M410" s="56">
        <f t="shared" si="12"/>
        <v>0</v>
      </c>
      <c r="N410" s="57">
        <f>IFERROR(VLOOKUP(C410,'[1]TB-Jun-24'!A:F,6,FALSE),0)</f>
        <v>0</v>
      </c>
      <c r="O410" s="35">
        <f>IFERROR(VLOOKUP(C410,'[1]TB-Jun-24'!I:N,6,FALSE),0)</f>
        <v>550</v>
      </c>
      <c r="Q410" s="35" t="s">
        <v>33</v>
      </c>
    </row>
    <row r="411" hidden="1" spans="2:17">
      <c r="B411" s="35">
        <f t="shared" si="14"/>
        <v>379</v>
      </c>
      <c r="C411" s="43" t="s">
        <v>1301</v>
      </c>
      <c r="D411" s="43" t="s">
        <v>935</v>
      </c>
      <c r="E411" s="44" t="s">
        <v>942</v>
      </c>
      <c r="F411" s="44" t="s">
        <v>33</v>
      </c>
      <c r="G411" s="44" t="s">
        <v>493</v>
      </c>
      <c r="H411" s="44" t="s">
        <v>120</v>
      </c>
      <c r="I411" s="44" t="s">
        <v>309</v>
      </c>
      <c r="J411" s="44"/>
      <c r="K411" s="56">
        <f>SUMIF('TB-Jan-25'!$A$12:$A$167,'Working-Jan-25'!C411,'TB-Jan-25'!$E$12:$E$167)</f>
        <v>0</v>
      </c>
      <c r="L411" s="56">
        <f>SUMIF('TB-Jan-25'!I:I,C411,'TB-Jan-25'!M:M)</f>
        <v>0</v>
      </c>
      <c r="M411" s="56">
        <f t="shared" si="12"/>
        <v>0</v>
      </c>
      <c r="N411" s="57">
        <f>IFERROR(VLOOKUP(C411,'[1]TB-Jun-24'!A:F,6,FALSE),0)</f>
        <v>0</v>
      </c>
      <c r="O411" s="35">
        <f>IFERROR(VLOOKUP(C411,'[1]TB-Jun-24'!I:N,6,FALSE),0)</f>
        <v>0</v>
      </c>
      <c r="Q411" s="35" t="s">
        <v>493</v>
      </c>
    </row>
    <row r="412" hidden="1" spans="1:17">
      <c r="A412" s="35" t="s">
        <v>1297</v>
      </c>
      <c r="B412" s="35">
        <f t="shared" si="14"/>
        <v>380</v>
      </c>
      <c r="C412" s="43" t="s">
        <v>890</v>
      </c>
      <c r="D412" s="43" t="s">
        <v>935</v>
      </c>
      <c r="E412" s="44" t="s">
        <v>525</v>
      </c>
      <c r="F412" s="44" t="s">
        <v>1011</v>
      </c>
      <c r="G412" s="44" t="s">
        <v>479</v>
      </c>
      <c r="H412" s="44" t="s">
        <v>33</v>
      </c>
      <c r="I412" s="44" t="s">
        <v>309</v>
      </c>
      <c r="J412" s="44"/>
      <c r="K412" s="56">
        <f>SUMIF('TB-Jan-25'!$A$12:$A$167,'Working-Jan-25'!C412,'TB-Jan-25'!$E$12:$E$167)</f>
        <v>164602.63</v>
      </c>
      <c r="L412" s="56">
        <f>SUMIF('TB-Jan-25'!I:I,C412,'TB-Jan-25'!M:M)</f>
        <v>-164602.63</v>
      </c>
      <c r="M412" s="56">
        <f t="shared" si="12"/>
        <v>0</v>
      </c>
      <c r="N412" s="57">
        <f>IFERROR(VLOOKUP(C412,'[1]TB-Jun-24'!A:F,6,FALSE),0)</f>
        <v>143918.87</v>
      </c>
      <c r="O412" s="35">
        <f>IFERROR(VLOOKUP(C412,'[1]TB-Jun-24'!I:N,6,FALSE),0)</f>
        <v>0</v>
      </c>
      <c r="Q412" s="35" t="s">
        <v>1023</v>
      </c>
    </row>
    <row r="413" hidden="1" spans="2:14">
      <c r="B413" s="35">
        <f t="shared" si="14"/>
        <v>381</v>
      </c>
      <c r="C413" s="43" t="s">
        <v>1302</v>
      </c>
      <c r="D413" s="43" t="s">
        <v>935</v>
      </c>
      <c r="E413" s="44" t="s">
        <v>525</v>
      </c>
      <c r="F413" s="44" t="s">
        <v>1011</v>
      </c>
      <c r="G413" s="44" t="s">
        <v>487</v>
      </c>
      <c r="H413" s="44" t="s">
        <v>1023</v>
      </c>
      <c r="I413" s="44" t="s">
        <v>309</v>
      </c>
      <c r="J413" s="44"/>
      <c r="K413" s="56">
        <f>SUMIF('TB-Jan-25'!$A$12:$A$167,'Working-Jan-25'!C413,'TB-Jan-25'!$E$12:$E$167)</f>
        <v>0</v>
      </c>
      <c r="L413" s="56">
        <f>SUMIF('TB-Jan-25'!I:I,C413,'TB-Jan-25'!M:M)</f>
        <v>0</v>
      </c>
      <c r="M413" s="56">
        <f t="shared" si="12"/>
        <v>0</v>
      </c>
      <c r="N413" s="57"/>
    </row>
    <row r="414" hidden="1" spans="2:14">
      <c r="B414" s="35">
        <f>B413+1</f>
        <v>382</v>
      </c>
      <c r="C414" s="43" t="s">
        <v>920</v>
      </c>
      <c r="D414" s="43" t="s">
        <v>935</v>
      </c>
      <c r="E414" s="44" t="s">
        <v>966</v>
      </c>
      <c r="F414" s="44" t="s">
        <v>33</v>
      </c>
      <c r="G414" s="44" t="s">
        <v>487</v>
      </c>
      <c r="H414" s="44" t="s">
        <v>33</v>
      </c>
      <c r="I414" s="44" t="s">
        <v>309</v>
      </c>
      <c r="J414" s="44"/>
      <c r="K414" s="56">
        <f>SUMIF('TB-Jan-25'!$A$12:$A$167,'Working-Jan-25'!C414,'TB-Jan-25'!$E$12:$E$167)</f>
        <v>0</v>
      </c>
      <c r="L414" s="56">
        <f>SUMIF('TB-Jan-25'!I:I,C414,'TB-Jan-25'!M:M)</f>
        <v>11223</v>
      </c>
      <c r="M414" s="56">
        <f t="shared" si="12"/>
        <v>11223</v>
      </c>
      <c r="N414" s="57" t="e">
        <f>SUMIF([6]Final!$B:$B,C414,[6]Final!$F:$F)-M414</f>
        <v>#VALUE!</v>
      </c>
    </row>
    <row r="415" hidden="1" spans="2:14">
      <c r="B415" s="35">
        <f>B414+1</f>
        <v>383</v>
      </c>
      <c r="C415" s="43" t="s">
        <v>1303</v>
      </c>
      <c r="D415" s="43" t="s">
        <v>935</v>
      </c>
      <c r="E415" s="44" t="s">
        <v>525</v>
      </c>
      <c r="F415" s="44" t="s">
        <v>1011</v>
      </c>
      <c r="G415" s="44" t="s">
        <v>1304</v>
      </c>
      <c r="H415" s="44" t="s">
        <v>1023</v>
      </c>
      <c r="I415" s="44" t="s">
        <v>309</v>
      </c>
      <c r="J415" s="44"/>
      <c r="K415" s="56">
        <f>SUMIF('TB-Jan-25'!$A$12:$A$167,'Working-Jan-25'!C415,'TB-Jan-25'!$E$12:$E$167)</f>
        <v>0</v>
      </c>
      <c r="L415" s="56">
        <f>SUMIF('TB-Jan-25'!I:I,C415,'TB-Jan-25'!M:M)</f>
        <v>0</v>
      </c>
      <c r="M415" s="56">
        <f t="shared" si="12"/>
        <v>0</v>
      </c>
      <c r="N415" s="57"/>
    </row>
    <row r="416" hidden="1" spans="2:14">
      <c r="B416" s="35">
        <f t="shared" si="14"/>
        <v>384</v>
      </c>
      <c r="C416" s="43" t="s">
        <v>725</v>
      </c>
      <c r="D416" s="43" t="s">
        <v>935</v>
      </c>
      <c r="E416" s="44" t="s">
        <v>525</v>
      </c>
      <c r="F416" s="44" t="s">
        <v>1162</v>
      </c>
      <c r="G416" s="44" t="s">
        <v>479</v>
      </c>
      <c r="H416" s="44" t="s">
        <v>1305</v>
      </c>
      <c r="I416" s="44" t="s">
        <v>309</v>
      </c>
      <c r="J416" s="44"/>
      <c r="K416" s="56">
        <f>SUMIF('TB-Jan-25'!$A$12:$A$167,'Working-Jan-25'!C416,'TB-Jan-25'!$E$12:$E$167)</f>
        <v>0</v>
      </c>
      <c r="L416" s="56">
        <f>SUMIF('TB-Jan-25'!I:I,C416,'TB-Jan-25'!M:M)</f>
        <v>65872.63</v>
      </c>
      <c r="M416" s="56">
        <f t="shared" si="12"/>
        <v>65872.63</v>
      </c>
      <c r="N416" s="57" t="e">
        <f>SUMIF([6]Final!$B:$B,C416,[6]Final!$F:$F)-M416</f>
        <v>#VALUE!</v>
      </c>
    </row>
    <row r="417" hidden="1" spans="2:17">
      <c r="B417" s="35">
        <f t="shared" si="14"/>
        <v>385</v>
      </c>
      <c r="C417" s="43" t="s">
        <v>1306</v>
      </c>
      <c r="D417" s="43" t="s">
        <v>935</v>
      </c>
      <c r="E417" s="44" t="s">
        <v>1299</v>
      </c>
      <c r="F417" s="44" t="s">
        <v>33</v>
      </c>
      <c r="G417" s="44" t="s">
        <v>487</v>
      </c>
      <c r="H417" s="44" t="s">
        <v>33</v>
      </c>
      <c r="I417" s="44" t="s">
        <v>309</v>
      </c>
      <c r="J417" s="44"/>
      <c r="K417" s="56">
        <f>SUMIF('TB-Jan-25'!$A$12:$A$167,'Working-Jan-25'!C417,'TB-Jan-25'!$E$12:$E$167)</f>
        <v>0</v>
      </c>
      <c r="L417" s="56">
        <f>SUMIF('TB-Jan-25'!I:I,C417,'TB-Jan-25'!M:M)</f>
        <v>0</v>
      </c>
      <c r="M417" s="56">
        <f t="shared" si="12"/>
        <v>0</v>
      </c>
      <c r="N417" s="57">
        <f>IFERROR(VLOOKUP(C417,'[1]TB-Jun-24'!A:F,6,FALSE),0)</f>
        <v>0</v>
      </c>
      <c r="O417" s="35">
        <f>IFERROR(VLOOKUP(C417,'[1]TB-Jun-24'!I:N,6,FALSE),0)</f>
        <v>0</v>
      </c>
      <c r="Q417" s="35" t="s">
        <v>33</v>
      </c>
    </row>
    <row r="418" hidden="1" spans="2:17">
      <c r="B418" s="35">
        <f t="shared" si="14"/>
        <v>386</v>
      </c>
      <c r="C418" s="43" t="s">
        <v>1307</v>
      </c>
      <c r="D418" s="43" t="s">
        <v>935</v>
      </c>
      <c r="E418" s="44" t="s">
        <v>942</v>
      </c>
      <c r="F418" s="44" t="s">
        <v>33</v>
      </c>
      <c r="G418" s="44" t="s">
        <v>493</v>
      </c>
      <c r="H418" s="44" t="s">
        <v>120</v>
      </c>
      <c r="I418" s="44" t="s">
        <v>309</v>
      </c>
      <c r="J418" s="44"/>
      <c r="K418" s="56">
        <f>SUMIF('TB-Jan-25'!$A$12:$A$167,'Working-Jan-25'!C418,'TB-Jan-25'!$E$12:$E$167)</f>
        <v>0</v>
      </c>
      <c r="L418" s="56">
        <f>SUMIF('TB-Jan-25'!I:I,C418,'TB-Jan-25'!M:M)</f>
        <v>0</v>
      </c>
      <c r="M418" s="56">
        <f t="shared" si="12"/>
        <v>0</v>
      </c>
      <c r="N418" s="57">
        <f>IFERROR(VLOOKUP(C418,'[1]TB-Jun-24'!A:F,6,FALSE),0)</f>
        <v>0</v>
      </c>
      <c r="O418" s="35">
        <f>IFERROR(VLOOKUP(C418,'[1]TB-Jun-24'!I:N,6,FALSE),0)</f>
        <v>0</v>
      </c>
      <c r="Q418" s="35" t="s">
        <v>493</v>
      </c>
    </row>
    <row r="419" hidden="1" spans="2:17">
      <c r="B419" s="35">
        <f t="shared" si="14"/>
        <v>387</v>
      </c>
      <c r="C419" s="43" t="s">
        <v>892</v>
      </c>
      <c r="D419" s="43" t="s">
        <v>935</v>
      </c>
      <c r="E419" s="44" t="s">
        <v>1284</v>
      </c>
      <c r="F419" s="44" t="s">
        <v>33</v>
      </c>
      <c r="G419" s="44" t="s">
        <v>487</v>
      </c>
      <c r="H419" s="44" t="s">
        <v>33</v>
      </c>
      <c r="I419" s="44" t="s">
        <v>309</v>
      </c>
      <c r="J419" s="44"/>
      <c r="K419" s="56">
        <f>SUMIF('TB-Jan-25'!$A$12:$A$167,'Working-Jan-25'!C419,'TB-Jan-25'!$E$12:$E$167)</f>
        <v>1690</v>
      </c>
      <c r="L419" s="56">
        <f>SUMIF('TB-Jan-25'!I:I,C419,'TB-Jan-25'!M:M)</f>
        <v>-1690</v>
      </c>
      <c r="M419" s="56">
        <f t="shared" si="12"/>
        <v>0</v>
      </c>
      <c r="N419" s="57">
        <f>IFERROR(VLOOKUP(C419,'[1]TB-Jun-24'!A:F,6,FALSE),0)</f>
        <v>17968.76</v>
      </c>
      <c r="O419" s="35">
        <f>IFERROR(VLOOKUP(C419,'[1]TB-Jun-24'!I:N,6,FALSE),0)</f>
        <v>0</v>
      </c>
      <c r="Q419" s="35" t="s">
        <v>33</v>
      </c>
    </row>
    <row r="420" hidden="1" spans="2:14">
      <c r="B420" s="35">
        <f t="shared" si="14"/>
        <v>388</v>
      </c>
      <c r="C420" s="43" t="s">
        <v>737</v>
      </c>
      <c r="D420" s="43" t="s">
        <v>935</v>
      </c>
      <c r="E420" s="44" t="s">
        <v>525</v>
      </c>
      <c r="F420" s="44" t="s">
        <v>1162</v>
      </c>
      <c r="G420" s="44" t="s">
        <v>487</v>
      </c>
      <c r="H420" s="44" t="s">
        <v>1305</v>
      </c>
      <c r="I420" s="44" t="s">
        <v>309</v>
      </c>
      <c r="J420" s="44"/>
      <c r="K420" s="56">
        <f>SUMIF('TB-Jan-25'!$A$12:$A$167,'Working-Jan-25'!C420,'TB-Jan-25'!$E$12:$E$167)</f>
        <v>0</v>
      </c>
      <c r="L420" s="56">
        <f>SUMIF('TB-Jan-25'!I:I,C420,'TB-Jan-25'!M:M)</f>
        <v>1492</v>
      </c>
      <c r="M420" s="56">
        <f t="shared" ref="M420:M484" si="15">K420+L420</f>
        <v>1492</v>
      </c>
      <c r="N420" s="57" t="e">
        <f>SUMIF([6]Final!$B:$B,C420,[6]Final!$F:$F)-M420</f>
        <v>#VALUE!</v>
      </c>
    </row>
    <row r="421" hidden="1" spans="2:14">
      <c r="B421" s="35">
        <f t="shared" si="14"/>
        <v>389</v>
      </c>
      <c r="C421" s="43" t="s">
        <v>739</v>
      </c>
      <c r="D421" s="43" t="s">
        <v>935</v>
      </c>
      <c r="E421" s="44" t="s">
        <v>525</v>
      </c>
      <c r="F421" s="44" t="s">
        <v>1162</v>
      </c>
      <c r="G421" s="44" t="s">
        <v>1304</v>
      </c>
      <c r="H421" s="44" t="s">
        <v>1305</v>
      </c>
      <c r="I421" s="44" t="s">
        <v>309</v>
      </c>
      <c r="J421" s="44"/>
      <c r="K421" s="56">
        <f>SUMIF('TB-Jan-25'!$A$12:$A$167,'Working-Jan-25'!C421,'TB-Jan-25'!$E$12:$E$167)</f>
        <v>0</v>
      </c>
      <c r="L421" s="56">
        <f>SUMIF('TB-Jan-25'!I:I,C421,'TB-Jan-25'!M:M)</f>
        <v>18102</v>
      </c>
      <c r="M421" s="56">
        <f t="shared" si="15"/>
        <v>18102</v>
      </c>
      <c r="N421" s="57" t="e">
        <f>SUMIF([6]Final!$B:$B,C421,[6]Final!$F:$F)-M421</f>
        <v>#VALUE!</v>
      </c>
    </row>
    <row r="422" hidden="1" spans="2:17">
      <c r="B422" s="35">
        <f t="shared" si="14"/>
        <v>390</v>
      </c>
      <c r="C422" s="43" t="s">
        <v>1308</v>
      </c>
      <c r="D422" s="43" t="s">
        <v>935</v>
      </c>
      <c r="E422" s="44" t="s">
        <v>942</v>
      </c>
      <c r="F422" s="44" t="s">
        <v>33</v>
      </c>
      <c r="G422" s="44" t="s">
        <v>493</v>
      </c>
      <c r="H422" s="44" t="s">
        <v>120</v>
      </c>
      <c r="I422" s="44" t="s">
        <v>309</v>
      </c>
      <c r="J422" s="44"/>
      <c r="K422" s="56">
        <f>SUMIF('TB-Jan-25'!$A$12:$A$167,'Working-Jan-25'!C422,'TB-Jan-25'!$E$12:$E$167)</f>
        <v>0</v>
      </c>
      <c r="L422" s="56">
        <f>SUMIF('TB-Jan-25'!I:I,C422,'TB-Jan-25'!M:M)</f>
        <v>0</v>
      </c>
      <c r="M422" s="56">
        <f t="shared" si="15"/>
        <v>0</v>
      </c>
      <c r="N422" s="57">
        <f>IFERROR(VLOOKUP(C422,'[1]TB-Jun-24'!A:F,6,FALSE),0)</f>
        <v>0</v>
      </c>
      <c r="O422" s="35">
        <f>IFERROR(VLOOKUP(C422,'[1]TB-Jun-24'!I:N,6,FALSE),0)</f>
        <v>0</v>
      </c>
      <c r="Q422" s="35" t="s">
        <v>493</v>
      </c>
    </row>
    <row r="423" hidden="1" spans="2:17">
      <c r="B423" s="35">
        <f t="shared" si="14"/>
        <v>391</v>
      </c>
      <c r="C423" s="43" t="s">
        <v>1309</v>
      </c>
      <c r="D423" s="43" t="s">
        <v>935</v>
      </c>
      <c r="E423" s="44" t="s">
        <v>525</v>
      </c>
      <c r="F423" s="44" t="s">
        <v>33</v>
      </c>
      <c r="G423" s="44" t="s">
        <v>479</v>
      </c>
      <c r="H423" s="44" t="s">
        <v>33</v>
      </c>
      <c r="I423" s="44" t="s">
        <v>529</v>
      </c>
      <c r="J423" s="44"/>
      <c r="K423" s="56">
        <f>SUMIF('TB-Jan-25'!$A$12:$A$167,'Working-Jan-25'!C423,'TB-Jan-25'!$E$12:$E$167)</f>
        <v>0</v>
      </c>
      <c r="L423" s="56">
        <f>SUMIF('TB-Jan-25'!I:I,C423,'TB-Jan-25'!M:M)</f>
        <v>0</v>
      </c>
      <c r="M423" s="56">
        <f t="shared" si="15"/>
        <v>0</v>
      </c>
      <c r="N423" s="57">
        <f>IFERROR(VLOOKUP(C423,'[1]TB-Jun-24'!A:F,6,FALSE),0)</f>
        <v>0</v>
      </c>
      <c r="O423" s="35">
        <f>IFERROR(VLOOKUP(C423,'[1]TB-Jun-24'!I:N,6,FALSE),0)</f>
        <v>0</v>
      </c>
      <c r="Q423" s="35" t="s">
        <v>33</v>
      </c>
    </row>
    <row r="424" hidden="1" spans="2:17">
      <c r="B424" s="35">
        <f t="shared" si="14"/>
        <v>392</v>
      </c>
      <c r="C424" s="43" t="s">
        <v>1310</v>
      </c>
      <c r="D424" s="43" t="s">
        <v>935</v>
      </c>
      <c r="E424" s="44" t="s">
        <v>1299</v>
      </c>
      <c r="F424" s="44" t="s">
        <v>33</v>
      </c>
      <c r="G424" s="44" t="s">
        <v>487</v>
      </c>
      <c r="H424" s="44" t="s">
        <v>33</v>
      </c>
      <c r="I424" s="44" t="s">
        <v>309</v>
      </c>
      <c r="J424" s="44"/>
      <c r="K424" s="56">
        <f>SUMIF('TB-Jan-25'!$A$12:$A$167,'Working-Jan-25'!C424,'TB-Jan-25'!$E$12:$E$167)</f>
        <v>0</v>
      </c>
      <c r="L424" s="56">
        <f>SUMIF('TB-Jan-25'!I:I,C424,'TB-Jan-25'!M:M)</f>
        <v>0</v>
      </c>
      <c r="M424" s="56">
        <f t="shared" si="15"/>
        <v>0</v>
      </c>
      <c r="N424" s="57">
        <f>IFERROR(VLOOKUP(C424,'[1]TB-Jun-24'!A:F,6,FALSE),0)</f>
        <v>0</v>
      </c>
      <c r="O424" s="35">
        <f>IFERROR(VLOOKUP(C424,'[1]TB-Jun-24'!I:N,6,FALSE),0)</f>
        <v>0</v>
      </c>
      <c r="Q424" s="35" t="s">
        <v>33</v>
      </c>
    </row>
    <row r="425" hidden="1" spans="2:17">
      <c r="B425" s="35">
        <f t="shared" si="14"/>
        <v>393</v>
      </c>
      <c r="C425" s="43" t="s">
        <v>1311</v>
      </c>
      <c r="D425" s="43" t="s">
        <v>935</v>
      </c>
      <c r="E425" s="44" t="s">
        <v>942</v>
      </c>
      <c r="F425" s="44" t="s">
        <v>33</v>
      </c>
      <c r="G425" s="44" t="s">
        <v>493</v>
      </c>
      <c r="H425" s="44" t="s">
        <v>120</v>
      </c>
      <c r="I425" s="44" t="s">
        <v>309</v>
      </c>
      <c r="J425" s="44"/>
      <c r="K425" s="56">
        <f>SUMIF('TB-Jan-25'!$A$12:$A$167,'Working-Jan-25'!C425,'TB-Jan-25'!$E$12:$E$167)</f>
        <v>0</v>
      </c>
      <c r="L425" s="56">
        <f>SUMIF('TB-Jan-25'!I:I,C425,'TB-Jan-25'!M:M)</f>
        <v>0</v>
      </c>
      <c r="M425" s="56">
        <f t="shared" si="15"/>
        <v>0</v>
      </c>
      <c r="N425" s="57">
        <f>IFERROR(VLOOKUP(C425,'[1]TB-Jun-24'!A:F,6,FALSE),0)</f>
        <v>0</v>
      </c>
      <c r="O425" s="35">
        <f>IFERROR(VLOOKUP(C425,'[1]TB-Jun-24'!I:N,6,FALSE),0)</f>
        <v>0</v>
      </c>
      <c r="Q425" s="35" t="s">
        <v>493</v>
      </c>
    </row>
    <row r="426" hidden="1" spans="2:17">
      <c r="B426" s="35">
        <f t="shared" si="14"/>
        <v>394</v>
      </c>
      <c r="C426" s="43" t="s">
        <v>1312</v>
      </c>
      <c r="D426" s="43" t="s">
        <v>935</v>
      </c>
      <c r="E426" s="44" t="s">
        <v>1284</v>
      </c>
      <c r="F426" s="44" t="s">
        <v>33</v>
      </c>
      <c r="G426" s="44" t="s">
        <v>487</v>
      </c>
      <c r="H426" s="44" t="s">
        <v>33</v>
      </c>
      <c r="I426" s="44" t="s">
        <v>309</v>
      </c>
      <c r="J426" s="44"/>
      <c r="K426" s="56">
        <f>SUMIF('TB-Jan-25'!$A$12:$A$167,'Working-Jan-25'!C426,'TB-Jan-25'!$E$12:$E$167)</f>
        <v>0</v>
      </c>
      <c r="L426" s="56">
        <f>SUMIF('TB-Jan-25'!I:I,C426,'TB-Jan-25'!M:M)</f>
        <v>0</v>
      </c>
      <c r="M426" s="56">
        <f t="shared" si="15"/>
        <v>0</v>
      </c>
      <c r="N426" s="57">
        <f>IFERROR(VLOOKUP(C426,'[1]TB-Jun-24'!A:F,6,FALSE),0)</f>
        <v>0</v>
      </c>
      <c r="O426" s="35">
        <f>IFERROR(VLOOKUP(C426,'[1]TB-Jun-24'!I:N,6,FALSE),0)</f>
        <v>0</v>
      </c>
      <c r="Q426" s="35" t="s">
        <v>33</v>
      </c>
    </row>
    <row r="427" hidden="1" spans="2:17">
      <c r="B427" s="35">
        <f t="shared" si="14"/>
        <v>395</v>
      </c>
      <c r="C427" s="43" t="s">
        <v>1313</v>
      </c>
      <c r="D427" s="43" t="s">
        <v>935</v>
      </c>
      <c r="E427" s="44" t="s">
        <v>942</v>
      </c>
      <c r="F427" s="44" t="s">
        <v>33</v>
      </c>
      <c r="G427" s="44" t="s">
        <v>493</v>
      </c>
      <c r="H427" s="44" t="s">
        <v>120</v>
      </c>
      <c r="I427" s="44" t="s">
        <v>309</v>
      </c>
      <c r="J427" s="44"/>
      <c r="K427" s="56">
        <f>SUMIF('TB-Jan-25'!$A$12:$A$167,'Working-Jan-25'!C427,'TB-Jan-25'!$E$12:$E$167)</f>
        <v>0</v>
      </c>
      <c r="L427" s="56">
        <f>SUMIF('TB-Jan-25'!I:I,C427,'TB-Jan-25'!M:M)</f>
        <v>0</v>
      </c>
      <c r="M427" s="56">
        <f t="shared" si="15"/>
        <v>0</v>
      </c>
      <c r="N427" s="57">
        <f>IFERROR(VLOOKUP(C427,'[1]TB-Jun-24'!A:F,6,FALSE),0)</f>
        <v>0</v>
      </c>
      <c r="O427" s="35">
        <f>IFERROR(VLOOKUP(C427,'[1]TB-Jun-24'!I:N,6,FALSE),0)</f>
        <v>0</v>
      </c>
      <c r="Q427" s="35" t="s">
        <v>493</v>
      </c>
    </row>
    <row r="428" hidden="1" spans="2:17">
      <c r="B428" s="35">
        <f t="shared" si="14"/>
        <v>396</v>
      </c>
      <c r="C428" s="62" t="s">
        <v>894</v>
      </c>
      <c r="D428" s="43" t="s">
        <v>935</v>
      </c>
      <c r="E428" s="44" t="s">
        <v>580</v>
      </c>
      <c r="F428" s="44" t="s">
        <v>33</v>
      </c>
      <c r="G428" s="44" t="s">
        <v>479</v>
      </c>
      <c r="H428" s="44" t="s">
        <v>33</v>
      </c>
      <c r="I428" s="44" t="s">
        <v>309</v>
      </c>
      <c r="J428" s="44"/>
      <c r="K428" s="56">
        <f>SUMIF('TB-Jan-25'!$A$12:$A$167,'Working-Jan-25'!C428,'TB-Jan-25'!$E$12:$E$167)</f>
        <v>7534.71</v>
      </c>
      <c r="L428" s="56">
        <f>SUMIF('TB-Jan-25'!I:I,C428,'TB-Jan-25'!M:M)</f>
        <v>-7535</v>
      </c>
      <c r="M428" s="56">
        <f t="shared" si="15"/>
        <v>-0.289999999999964</v>
      </c>
      <c r="N428" s="57">
        <f>IFERROR(VLOOKUP(C428,'[1]TB-Jun-24'!A:F,6,FALSE),0)</f>
        <v>15440.16</v>
      </c>
      <c r="O428" s="35">
        <f>IFERROR(VLOOKUP(C428,'[1]TB-Jun-24'!I:N,6,FALSE),0)</f>
        <v>0</v>
      </c>
      <c r="Q428" s="35" t="s">
        <v>33</v>
      </c>
    </row>
    <row r="429" hidden="1" spans="2:17">
      <c r="B429" s="35">
        <f t="shared" si="14"/>
        <v>397</v>
      </c>
      <c r="C429" s="43" t="s">
        <v>1314</v>
      </c>
      <c r="D429" s="43" t="s">
        <v>935</v>
      </c>
      <c r="E429" s="44" t="s">
        <v>1299</v>
      </c>
      <c r="F429" s="44" t="s">
        <v>33</v>
      </c>
      <c r="G429" s="44" t="s">
        <v>487</v>
      </c>
      <c r="H429" s="44" t="s">
        <v>33</v>
      </c>
      <c r="I429" s="44" t="s">
        <v>309</v>
      </c>
      <c r="J429" s="44"/>
      <c r="K429" s="56">
        <f>SUMIF('TB-Jan-25'!$A$12:$A$167,'Working-Jan-25'!C429,'TB-Jan-25'!$E$12:$E$167)</f>
        <v>0</v>
      </c>
      <c r="L429" s="56">
        <f>SUMIF('TB-Jan-25'!I:I,C429,'TB-Jan-25'!M:M)</f>
        <v>0</v>
      </c>
      <c r="M429" s="56">
        <f t="shared" si="15"/>
        <v>0</v>
      </c>
      <c r="N429" s="57">
        <f>IFERROR(VLOOKUP(C429,'[1]TB-Jun-24'!A:F,6,FALSE),0)</f>
        <v>0</v>
      </c>
      <c r="O429" s="35">
        <f>IFERROR(VLOOKUP(C429,'[1]TB-Jun-24'!I:N,6,FALSE),0)</f>
        <v>0</v>
      </c>
      <c r="Q429" s="35" t="s">
        <v>33</v>
      </c>
    </row>
    <row r="430" hidden="1" spans="2:17">
      <c r="B430" s="35">
        <f t="shared" si="14"/>
        <v>398</v>
      </c>
      <c r="C430" s="43" t="s">
        <v>1315</v>
      </c>
      <c r="D430" s="43" t="s">
        <v>935</v>
      </c>
      <c r="E430" s="44" t="s">
        <v>942</v>
      </c>
      <c r="F430" s="44" t="s">
        <v>33</v>
      </c>
      <c r="G430" s="44" t="s">
        <v>493</v>
      </c>
      <c r="H430" s="44" t="s">
        <v>120</v>
      </c>
      <c r="I430" s="44" t="s">
        <v>309</v>
      </c>
      <c r="J430" s="44"/>
      <c r="K430" s="56">
        <f>SUMIF('TB-Jan-25'!$A$12:$A$167,'Working-Jan-25'!C430,'TB-Jan-25'!$E$12:$E$167)</f>
        <v>0</v>
      </c>
      <c r="L430" s="56">
        <f>SUMIF('TB-Jan-25'!I:I,C430,'TB-Jan-25'!M:M)</f>
        <v>0</v>
      </c>
      <c r="M430" s="56">
        <f t="shared" si="15"/>
        <v>0</v>
      </c>
      <c r="N430" s="57">
        <f>IFERROR(VLOOKUP(C430,'[1]TB-Jun-24'!A:F,6,FALSE),0)</f>
        <v>0</v>
      </c>
      <c r="O430" s="35">
        <f>IFERROR(VLOOKUP(C430,'[1]TB-Jun-24'!I:N,6,FALSE),0)</f>
        <v>0</v>
      </c>
      <c r="Q430" s="35" t="s">
        <v>493</v>
      </c>
    </row>
    <row r="431" hidden="1" spans="2:17">
      <c r="B431" s="35">
        <f t="shared" si="14"/>
        <v>399</v>
      </c>
      <c r="C431" s="43" t="s">
        <v>895</v>
      </c>
      <c r="D431" s="43" t="s">
        <v>935</v>
      </c>
      <c r="E431" s="44" t="s">
        <v>1284</v>
      </c>
      <c r="F431" s="44" t="s">
        <v>33</v>
      </c>
      <c r="G431" s="44" t="s">
        <v>487</v>
      </c>
      <c r="H431" s="44" t="s">
        <v>33</v>
      </c>
      <c r="I431" s="44" t="s">
        <v>309</v>
      </c>
      <c r="J431" s="44"/>
      <c r="K431" s="56">
        <f>SUMIF('TB-Jan-25'!$A$12:$A$167,'Working-Jan-25'!C431,'TB-Jan-25'!$E$12:$E$167)</f>
        <v>13390</v>
      </c>
      <c r="L431" s="56">
        <f>SUMIF('TB-Jan-25'!I:I,C431,'TB-Jan-25'!M:M)</f>
        <v>-13390</v>
      </c>
      <c r="M431" s="56">
        <f t="shared" si="15"/>
        <v>0</v>
      </c>
      <c r="N431" s="57">
        <f>IFERROR(VLOOKUP(C431,'[1]TB-Jun-24'!A:F,6,FALSE),0)</f>
        <v>0</v>
      </c>
      <c r="O431" s="35">
        <f>IFERROR(VLOOKUP(C431,'[1]TB-Jun-24'!I:N,6,FALSE),0)</f>
        <v>0</v>
      </c>
      <c r="Q431" s="35" t="s">
        <v>33</v>
      </c>
    </row>
    <row r="432" hidden="1" spans="2:17">
      <c r="B432" s="35">
        <f t="shared" si="14"/>
        <v>400</v>
      </c>
      <c r="C432" s="43" t="s">
        <v>1316</v>
      </c>
      <c r="D432" s="43" t="s">
        <v>935</v>
      </c>
      <c r="E432" s="44" t="s">
        <v>942</v>
      </c>
      <c r="F432" s="44" t="s">
        <v>33</v>
      </c>
      <c r="G432" s="44" t="s">
        <v>493</v>
      </c>
      <c r="H432" s="44" t="s">
        <v>120</v>
      </c>
      <c r="I432" s="44" t="s">
        <v>309</v>
      </c>
      <c r="J432" s="44"/>
      <c r="K432" s="56">
        <f>SUMIF('TB-Jan-25'!$A$12:$A$167,'Working-Jan-25'!C432,'TB-Jan-25'!$E$12:$E$167)</f>
        <v>0</v>
      </c>
      <c r="L432" s="56">
        <f>SUMIF('TB-Jan-25'!I:I,C432,'TB-Jan-25'!M:M)</f>
        <v>0</v>
      </c>
      <c r="M432" s="56">
        <f t="shared" si="15"/>
        <v>0</v>
      </c>
      <c r="N432" s="57">
        <f>IFERROR(VLOOKUP(C432,'[1]TB-Jun-24'!A:F,6,FALSE),0)</f>
        <v>0</v>
      </c>
      <c r="O432" s="35">
        <f>IFERROR(VLOOKUP(C432,'[1]TB-Jun-24'!I:N,6,FALSE),0)</f>
        <v>0</v>
      </c>
      <c r="Q432" s="35" t="s">
        <v>493</v>
      </c>
    </row>
    <row r="433" hidden="1" spans="2:17">
      <c r="B433" s="35">
        <f t="shared" si="14"/>
        <v>401</v>
      </c>
      <c r="C433" s="43" t="s">
        <v>1317</v>
      </c>
      <c r="D433" s="43" t="s">
        <v>935</v>
      </c>
      <c r="E433" s="44" t="s">
        <v>525</v>
      </c>
      <c r="F433" s="44" t="s">
        <v>33</v>
      </c>
      <c r="G433" s="44" t="s">
        <v>479</v>
      </c>
      <c r="H433" s="44" t="s">
        <v>33</v>
      </c>
      <c r="I433" s="44" t="s">
        <v>529</v>
      </c>
      <c r="J433" s="44"/>
      <c r="K433" s="56">
        <f>SUMIF('TB-Jan-25'!$A$12:$A$167,'Working-Jan-25'!C433,'TB-Jan-25'!$E$12:$E$167)</f>
        <v>0</v>
      </c>
      <c r="L433" s="56">
        <f>SUMIF('TB-Jan-25'!I:I,C433,'TB-Jan-25'!M:M)</f>
        <v>0</v>
      </c>
      <c r="M433" s="56">
        <f t="shared" si="15"/>
        <v>0</v>
      </c>
      <c r="N433" s="57">
        <f>IFERROR(VLOOKUP(C433,'[1]TB-Jun-24'!A:F,6,FALSE),0)</f>
        <v>0</v>
      </c>
      <c r="O433" s="35">
        <f>IFERROR(VLOOKUP(C433,'[1]TB-Jun-24'!I:N,6,FALSE),0)</f>
        <v>0</v>
      </c>
      <c r="Q433" s="35" t="s">
        <v>33</v>
      </c>
    </row>
    <row r="434" hidden="1" spans="2:17">
      <c r="B434" s="35">
        <f t="shared" si="14"/>
        <v>402</v>
      </c>
      <c r="C434" s="43" t="s">
        <v>1318</v>
      </c>
      <c r="D434" s="43" t="s">
        <v>935</v>
      </c>
      <c r="E434" s="44" t="s">
        <v>1299</v>
      </c>
      <c r="F434" s="44" t="s">
        <v>33</v>
      </c>
      <c r="G434" s="44" t="s">
        <v>487</v>
      </c>
      <c r="H434" s="44" t="s">
        <v>33</v>
      </c>
      <c r="I434" s="44" t="s">
        <v>309</v>
      </c>
      <c r="J434" s="44"/>
      <c r="K434" s="56">
        <f>SUMIF('TB-Jan-25'!$A$12:$A$167,'Working-Jan-25'!C434,'TB-Jan-25'!$E$12:$E$167)</f>
        <v>0</v>
      </c>
      <c r="L434" s="56">
        <f>SUMIF('TB-Jan-25'!I:I,C434,'TB-Jan-25'!M:M)</f>
        <v>0</v>
      </c>
      <c r="M434" s="56">
        <f t="shared" si="15"/>
        <v>0</v>
      </c>
      <c r="N434" s="57">
        <f>IFERROR(VLOOKUP(C434,'[1]TB-Jun-24'!A:F,6,FALSE),0)</f>
        <v>0</v>
      </c>
      <c r="O434" s="35">
        <f>IFERROR(VLOOKUP(C434,'[1]TB-Jun-24'!I:N,6,FALSE),0)</f>
        <v>0</v>
      </c>
      <c r="Q434" s="35" t="s">
        <v>33</v>
      </c>
    </row>
    <row r="435" hidden="1" spans="2:17">
      <c r="B435" s="35">
        <f t="shared" si="14"/>
        <v>403</v>
      </c>
      <c r="C435" s="43" t="s">
        <v>1319</v>
      </c>
      <c r="D435" s="43" t="s">
        <v>935</v>
      </c>
      <c r="E435" s="44" t="s">
        <v>942</v>
      </c>
      <c r="F435" s="44" t="s">
        <v>33</v>
      </c>
      <c r="G435" s="44" t="s">
        <v>493</v>
      </c>
      <c r="H435" s="44" t="s">
        <v>120</v>
      </c>
      <c r="I435" s="44" t="s">
        <v>309</v>
      </c>
      <c r="J435" s="44"/>
      <c r="K435" s="56">
        <f>SUMIF('TB-Jan-25'!$A$12:$A$167,'Working-Jan-25'!C435,'TB-Jan-25'!$E$12:$E$167)</f>
        <v>0</v>
      </c>
      <c r="L435" s="56">
        <f>SUMIF('TB-Jan-25'!I:I,C435,'TB-Jan-25'!M:M)</f>
        <v>0</v>
      </c>
      <c r="M435" s="56">
        <f t="shared" si="15"/>
        <v>0</v>
      </c>
      <c r="N435" s="57">
        <f>IFERROR(VLOOKUP(C435,'[1]TB-Jun-24'!A:F,6,FALSE),0)</f>
        <v>0</v>
      </c>
      <c r="O435" s="35">
        <f>IFERROR(VLOOKUP(C435,'[1]TB-Jun-24'!I:N,6,FALSE),0)</f>
        <v>0</v>
      </c>
      <c r="Q435" s="35" t="s">
        <v>493</v>
      </c>
    </row>
    <row r="436" hidden="1" spans="2:17">
      <c r="B436" s="35">
        <f t="shared" si="14"/>
        <v>404</v>
      </c>
      <c r="C436" s="43" t="s">
        <v>1320</v>
      </c>
      <c r="D436" s="43" t="s">
        <v>935</v>
      </c>
      <c r="E436" s="44" t="s">
        <v>1284</v>
      </c>
      <c r="F436" s="44" t="s">
        <v>33</v>
      </c>
      <c r="G436" s="44" t="s">
        <v>487</v>
      </c>
      <c r="H436" s="44" t="s">
        <v>33</v>
      </c>
      <c r="I436" s="44" t="s">
        <v>309</v>
      </c>
      <c r="J436" s="44"/>
      <c r="K436" s="56">
        <f>SUMIF('TB-Jan-25'!$A$12:$A$167,'Working-Jan-25'!C436,'TB-Jan-25'!$E$12:$E$167)</f>
        <v>0</v>
      </c>
      <c r="L436" s="56">
        <f>SUMIF('TB-Jan-25'!I:I,C436,'TB-Jan-25'!M:M)</f>
        <v>0</v>
      </c>
      <c r="M436" s="56">
        <f t="shared" si="15"/>
        <v>0</v>
      </c>
      <c r="N436" s="57">
        <f>IFERROR(VLOOKUP(C436,'[1]TB-Jun-24'!A:F,6,FALSE),0)</f>
        <v>0</v>
      </c>
      <c r="O436" s="35">
        <f>IFERROR(VLOOKUP(C436,'[1]TB-Jun-24'!I:N,6,FALSE),0)</f>
        <v>0</v>
      </c>
      <c r="Q436" s="35" t="s">
        <v>33</v>
      </c>
    </row>
    <row r="437" hidden="1" spans="2:17">
      <c r="B437" s="35">
        <f t="shared" si="14"/>
        <v>405</v>
      </c>
      <c r="C437" s="43" t="s">
        <v>1321</v>
      </c>
      <c r="D437" s="43" t="s">
        <v>935</v>
      </c>
      <c r="E437" s="44" t="s">
        <v>942</v>
      </c>
      <c r="F437" s="44" t="s">
        <v>33</v>
      </c>
      <c r="G437" s="44" t="s">
        <v>493</v>
      </c>
      <c r="H437" s="44" t="s">
        <v>120</v>
      </c>
      <c r="I437" s="44" t="s">
        <v>309</v>
      </c>
      <c r="J437" s="44"/>
      <c r="K437" s="56">
        <f>SUMIF('TB-Jan-25'!$A$12:$A$167,'Working-Jan-25'!C437,'TB-Jan-25'!$E$12:$E$167)</f>
        <v>0</v>
      </c>
      <c r="L437" s="56">
        <f>SUMIF('TB-Jan-25'!I:I,C437,'TB-Jan-25'!M:M)</f>
        <v>0</v>
      </c>
      <c r="M437" s="56">
        <f t="shared" si="15"/>
        <v>0</v>
      </c>
      <c r="N437" s="57">
        <f>IFERROR(VLOOKUP(C437,'[1]TB-Jun-24'!A:F,6,FALSE),0)</f>
        <v>0</v>
      </c>
      <c r="O437" s="35">
        <f>IFERROR(VLOOKUP(C437,'[1]TB-Jun-24'!I:N,6,FALSE),0)</f>
        <v>0</v>
      </c>
      <c r="Q437" s="35" t="s">
        <v>493</v>
      </c>
    </row>
    <row r="438" hidden="1" spans="2:17">
      <c r="B438" s="35">
        <f t="shared" si="14"/>
        <v>406</v>
      </c>
      <c r="C438" s="43" t="s">
        <v>1322</v>
      </c>
      <c r="D438" s="43" t="s">
        <v>935</v>
      </c>
      <c r="E438" s="44" t="s">
        <v>525</v>
      </c>
      <c r="F438" s="44" t="s">
        <v>33</v>
      </c>
      <c r="G438" s="44" t="s">
        <v>479</v>
      </c>
      <c r="H438" s="44" t="s">
        <v>33</v>
      </c>
      <c r="I438" s="44" t="s">
        <v>529</v>
      </c>
      <c r="J438" s="44"/>
      <c r="K438" s="56">
        <f>SUMIF('TB-Jan-25'!$A$12:$A$167,'Working-Jan-25'!C438,'TB-Jan-25'!$E$12:$E$167)</f>
        <v>0</v>
      </c>
      <c r="L438" s="56">
        <f>SUMIF('TB-Jan-25'!I:I,C438,'TB-Jan-25'!M:M)</f>
        <v>0</v>
      </c>
      <c r="M438" s="56">
        <f t="shared" si="15"/>
        <v>0</v>
      </c>
      <c r="N438" s="57">
        <f>IFERROR(VLOOKUP(C438,'[1]TB-Jun-24'!A:F,6,FALSE),0)</f>
        <v>0</v>
      </c>
      <c r="O438" s="35">
        <f>IFERROR(VLOOKUP(C438,'[1]TB-Jun-24'!I:N,6,FALSE),0)</f>
        <v>0</v>
      </c>
      <c r="Q438" s="35" t="s">
        <v>33</v>
      </c>
    </row>
    <row r="439" hidden="1" spans="2:17">
      <c r="B439" s="35">
        <f t="shared" si="14"/>
        <v>407</v>
      </c>
      <c r="C439" s="43" t="s">
        <v>1323</v>
      </c>
      <c r="D439" s="43" t="s">
        <v>935</v>
      </c>
      <c r="E439" s="44" t="s">
        <v>1299</v>
      </c>
      <c r="F439" s="44" t="s">
        <v>33</v>
      </c>
      <c r="G439" s="44" t="s">
        <v>487</v>
      </c>
      <c r="H439" s="44" t="s">
        <v>33</v>
      </c>
      <c r="I439" s="44" t="s">
        <v>309</v>
      </c>
      <c r="J439" s="44"/>
      <c r="K439" s="56">
        <f>SUMIF('TB-Jan-25'!$A$12:$A$167,'Working-Jan-25'!C439,'TB-Jan-25'!$E$12:$E$167)</f>
        <v>0</v>
      </c>
      <c r="L439" s="56">
        <f>SUMIF('TB-Jan-25'!I:I,C439,'TB-Jan-25'!M:M)</f>
        <v>0</v>
      </c>
      <c r="M439" s="56">
        <f t="shared" si="15"/>
        <v>0</v>
      </c>
      <c r="N439" s="57">
        <f>IFERROR(VLOOKUP(C439,'[1]TB-Jun-24'!A:F,6,FALSE),0)</f>
        <v>0</v>
      </c>
      <c r="O439" s="35">
        <f>IFERROR(VLOOKUP(C439,'[1]TB-Jun-24'!I:N,6,FALSE),0)</f>
        <v>0</v>
      </c>
      <c r="Q439" s="35" t="s">
        <v>33</v>
      </c>
    </row>
    <row r="440" hidden="1" spans="2:17">
      <c r="B440" s="35">
        <f t="shared" si="14"/>
        <v>408</v>
      </c>
      <c r="C440" s="43" t="s">
        <v>1324</v>
      </c>
      <c r="D440" s="43" t="s">
        <v>935</v>
      </c>
      <c r="E440" s="44" t="s">
        <v>942</v>
      </c>
      <c r="F440" s="44" t="s">
        <v>33</v>
      </c>
      <c r="G440" s="44" t="s">
        <v>493</v>
      </c>
      <c r="H440" s="44" t="s">
        <v>120</v>
      </c>
      <c r="I440" s="44" t="s">
        <v>309</v>
      </c>
      <c r="J440" s="44"/>
      <c r="K440" s="56">
        <f>SUMIF('TB-Jan-25'!$A$12:$A$167,'Working-Jan-25'!C440,'TB-Jan-25'!$E$12:$E$167)</f>
        <v>0</v>
      </c>
      <c r="L440" s="56">
        <f>SUMIF('TB-Jan-25'!I:I,C440,'TB-Jan-25'!M:M)</f>
        <v>0</v>
      </c>
      <c r="M440" s="56">
        <f t="shared" si="15"/>
        <v>0</v>
      </c>
      <c r="N440" s="57">
        <f>IFERROR(VLOOKUP(C440,'[1]TB-Jun-24'!A:F,6,FALSE),0)</f>
        <v>0</v>
      </c>
      <c r="O440" s="35">
        <f>IFERROR(VLOOKUP(C440,'[1]TB-Jun-24'!I:N,6,FALSE),0)</f>
        <v>0</v>
      </c>
      <c r="Q440" s="35" t="s">
        <v>493</v>
      </c>
    </row>
    <row r="441" hidden="1" spans="2:17">
      <c r="B441" s="35">
        <f t="shared" si="14"/>
        <v>409</v>
      </c>
      <c r="C441" s="43" t="s">
        <v>1325</v>
      </c>
      <c r="D441" s="43" t="s">
        <v>935</v>
      </c>
      <c r="E441" s="44" t="s">
        <v>1284</v>
      </c>
      <c r="F441" s="44" t="s">
        <v>33</v>
      </c>
      <c r="G441" s="44" t="s">
        <v>487</v>
      </c>
      <c r="H441" s="44" t="s">
        <v>33</v>
      </c>
      <c r="I441" s="44" t="s">
        <v>309</v>
      </c>
      <c r="J441" s="44"/>
      <c r="K441" s="56">
        <f>SUMIF('TB-Jan-25'!$A$12:$A$167,'Working-Jan-25'!C441,'TB-Jan-25'!$E$12:$E$167)</f>
        <v>0</v>
      </c>
      <c r="L441" s="56">
        <f>SUMIF('TB-Jan-25'!I:I,C441,'TB-Jan-25'!M:M)</f>
        <v>0</v>
      </c>
      <c r="M441" s="56">
        <f t="shared" si="15"/>
        <v>0</v>
      </c>
      <c r="N441" s="57">
        <f>IFERROR(VLOOKUP(C441,'[1]TB-Jun-24'!A:F,6,FALSE),0)</f>
        <v>0</v>
      </c>
      <c r="O441" s="35">
        <f>IFERROR(VLOOKUP(C441,'[1]TB-Jun-24'!I:N,6,FALSE),0)</f>
        <v>0</v>
      </c>
      <c r="Q441" s="35" t="s">
        <v>33</v>
      </c>
    </row>
    <row r="442" hidden="1" spans="2:17">
      <c r="B442" s="35">
        <f t="shared" si="14"/>
        <v>410</v>
      </c>
      <c r="C442" s="43" t="s">
        <v>1326</v>
      </c>
      <c r="D442" s="43" t="s">
        <v>935</v>
      </c>
      <c r="E442" s="44" t="s">
        <v>942</v>
      </c>
      <c r="F442" s="44" t="s">
        <v>33</v>
      </c>
      <c r="G442" s="44" t="s">
        <v>493</v>
      </c>
      <c r="H442" s="44" t="s">
        <v>120</v>
      </c>
      <c r="I442" s="44" t="s">
        <v>309</v>
      </c>
      <c r="J442" s="44"/>
      <c r="K442" s="56">
        <f>SUMIF('TB-Jan-25'!$A$12:$A$167,'Working-Jan-25'!C442,'TB-Jan-25'!$E$12:$E$167)</f>
        <v>0</v>
      </c>
      <c r="L442" s="56">
        <f>SUMIF('TB-Jan-25'!I:I,C442,'TB-Jan-25'!M:M)</f>
        <v>0</v>
      </c>
      <c r="M442" s="56">
        <f t="shared" si="15"/>
        <v>0</v>
      </c>
      <c r="N442" s="57">
        <f>IFERROR(VLOOKUP(C442,'[1]TB-Jun-24'!A:F,6,FALSE),0)</f>
        <v>0</v>
      </c>
      <c r="O442" s="35">
        <f>IFERROR(VLOOKUP(C442,'[1]TB-Jun-24'!I:N,6,FALSE),0)</f>
        <v>0</v>
      </c>
      <c r="Q442" s="35" t="s">
        <v>493</v>
      </c>
    </row>
    <row r="443" hidden="1" spans="2:17">
      <c r="B443" s="35">
        <f t="shared" si="14"/>
        <v>411</v>
      </c>
      <c r="C443" s="43" t="s">
        <v>1327</v>
      </c>
      <c r="D443" s="43" t="s">
        <v>935</v>
      </c>
      <c r="E443" s="44" t="s">
        <v>942</v>
      </c>
      <c r="F443" s="44" t="s">
        <v>33</v>
      </c>
      <c r="G443" s="44" t="s">
        <v>1304</v>
      </c>
      <c r="H443" s="44" t="s">
        <v>120</v>
      </c>
      <c r="I443" s="44" t="s">
        <v>309</v>
      </c>
      <c r="J443" s="44"/>
      <c r="K443" s="56">
        <f>SUMIF('TB-Jan-25'!$A$12:$A$167,'Working-Jan-25'!C443,'TB-Jan-25'!$E$12:$E$167)</f>
        <v>0</v>
      </c>
      <c r="L443" s="56">
        <f>SUMIF('TB-Jan-25'!I:I,C443,'TB-Jan-25'!M:M)</f>
        <v>0</v>
      </c>
      <c r="M443" s="56">
        <f t="shared" si="15"/>
        <v>0</v>
      </c>
      <c r="N443" s="57">
        <f>IFERROR(VLOOKUP(C443,'[1]TB-Jun-24'!A:F,6,FALSE),0)</f>
        <v>0</v>
      </c>
      <c r="O443" s="35">
        <f>IFERROR(VLOOKUP(C443,'[1]TB-Jun-24'!I:N,6,FALSE),0)</f>
        <v>0</v>
      </c>
      <c r="Q443" s="35" t="s">
        <v>1304</v>
      </c>
    </row>
    <row r="444" hidden="1" spans="2:17">
      <c r="B444" s="35">
        <f t="shared" si="14"/>
        <v>412</v>
      </c>
      <c r="C444" s="43" t="s">
        <v>1328</v>
      </c>
      <c r="D444" s="43" t="s">
        <v>935</v>
      </c>
      <c r="E444" s="44" t="s">
        <v>525</v>
      </c>
      <c r="F444" s="44" t="s">
        <v>33</v>
      </c>
      <c r="G444" s="44" t="s">
        <v>479</v>
      </c>
      <c r="H444" s="44" t="s">
        <v>33</v>
      </c>
      <c r="I444" s="44" t="s">
        <v>529</v>
      </c>
      <c r="J444" s="44"/>
      <c r="K444" s="56">
        <f>SUMIF('TB-Jan-25'!$A$12:$A$167,'Working-Jan-25'!C444,'TB-Jan-25'!$E$12:$E$167)</f>
        <v>0</v>
      </c>
      <c r="L444" s="56">
        <f>SUMIF('TB-Jan-25'!I:I,C444,'TB-Jan-25'!M:M)</f>
        <v>0</v>
      </c>
      <c r="M444" s="56">
        <f t="shared" si="15"/>
        <v>0</v>
      </c>
      <c r="N444" s="57">
        <f>IFERROR(VLOOKUP(C444,'[1]TB-Jun-24'!A:F,6,FALSE),0)</f>
        <v>0</v>
      </c>
      <c r="O444" s="35">
        <f>IFERROR(VLOOKUP(C444,'[1]TB-Jun-24'!I:N,6,FALSE),0)</f>
        <v>0</v>
      </c>
      <c r="Q444" s="35" t="s">
        <v>33</v>
      </c>
    </row>
    <row r="445" hidden="1" spans="2:17">
      <c r="B445" s="35">
        <f t="shared" si="14"/>
        <v>413</v>
      </c>
      <c r="C445" s="43" t="s">
        <v>1329</v>
      </c>
      <c r="D445" s="43" t="s">
        <v>935</v>
      </c>
      <c r="E445" s="44" t="s">
        <v>525</v>
      </c>
      <c r="F445" s="44" t="s">
        <v>33</v>
      </c>
      <c r="G445" s="44" t="s">
        <v>479</v>
      </c>
      <c r="H445" s="44" t="s">
        <v>33</v>
      </c>
      <c r="I445" s="44" t="s">
        <v>529</v>
      </c>
      <c r="J445" s="44"/>
      <c r="K445" s="56">
        <f>SUMIF('TB-Jan-25'!$A$12:$A$167,'Working-Jan-25'!C445,'TB-Jan-25'!$E$12:$E$167)</f>
        <v>0</v>
      </c>
      <c r="L445" s="56">
        <f>SUMIF('TB-Jan-25'!I:I,C445,'TB-Jan-25'!M:M)</f>
        <v>0</v>
      </c>
      <c r="M445" s="56">
        <f t="shared" si="15"/>
        <v>0</v>
      </c>
      <c r="N445" s="57">
        <f>IFERROR(VLOOKUP(C445,'[1]TB-Jun-24'!A:F,6,FALSE),0)</f>
        <v>0</v>
      </c>
      <c r="O445" s="35">
        <f>IFERROR(VLOOKUP(C445,'[1]TB-Jun-24'!I:N,6,FALSE),0)</f>
        <v>0</v>
      </c>
      <c r="Q445" s="35" t="s">
        <v>33</v>
      </c>
    </row>
    <row r="446" hidden="1" spans="2:17">
      <c r="B446" s="35">
        <f t="shared" si="14"/>
        <v>414</v>
      </c>
      <c r="C446" s="43" t="s">
        <v>1330</v>
      </c>
      <c r="D446" s="43" t="s">
        <v>935</v>
      </c>
      <c r="E446" s="44" t="s">
        <v>525</v>
      </c>
      <c r="F446" s="44" t="s">
        <v>33</v>
      </c>
      <c r="G446" s="44" t="s">
        <v>479</v>
      </c>
      <c r="H446" s="44" t="s">
        <v>33</v>
      </c>
      <c r="I446" s="44" t="s">
        <v>529</v>
      </c>
      <c r="J446" s="44"/>
      <c r="K446" s="56">
        <f>SUMIF('TB-Jan-25'!$A$12:$A$167,'Working-Jan-25'!C446,'TB-Jan-25'!$E$12:$E$167)</f>
        <v>0</v>
      </c>
      <c r="L446" s="56">
        <f>SUMIF('TB-Jan-25'!I:I,C446,'TB-Jan-25'!M:M)</f>
        <v>0</v>
      </c>
      <c r="M446" s="56">
        <f t="shared" si="15"/>
        <v>0</v>
      </c>
      <c r="N446" s="57">
        <f>IFERROR(VLOOKUP(C446,'[1]TB-Jun-24'!A:F,6,FALSE),0)</f>
        <v>0</v>
      </c>
      <c r="O446" s="35">
        <f>IFERROR(VLOOKUP(C446,'[1]TB-Jun-24'!I:N,6,FALSE),0)</f>
        <v>0</v>
      </c>
      <c r="Q446" s="35" t="s">
        <v>33</v>
      </c>
    </row>
    <row r="447" hidden="1" spans="2:17">
      <c r="B447" s="35">
        <f t="shared" si="14"/>
        <v>415</v>
      </c>
      <c r="C447" s="43" t="s">
        <v>1331</v>
      </c>
      <c r="D447" s="43" t="s">
        <v>935</v>
      </c>
      <c r="E447" s="44" t="s">
        <v>525</v>
      </c>
      <c r="F447" s="44" t="s">
        <v>33</v>
      </c>
      <c r="G447" s="44" t="s">
        <v>479</v>
      </c>
      <c r="H447" s="44" t="s">
        <v>33</v>
      </c>
      <c r="I447" s="44" t="s">
        <v>529</v>
      </c>
      <c r="J447" s="44"/>
      <c r="K447" s="56">
        <f>SUMIF('TB-Jan-25'!$A$12:$A$167,'Working-Jan-25'!C447,'TB-Jan-25'!$E$12:$E$167)</f>
        <v>0</v>
      </c>
      <c r="L447" s="56">
        <f>SUMIF('TB-Jan-25'!I:I,C447,'TB-Jan-25'!M:M)</f>
        <v>0</v>
      </c>
      <c r="M447" s="56">
        <f t="shared" si="15"/>
        <v>0</v>
      </c>
      <c r="N447" s="57">
        <f>IFERROR(VLOOKUP(C447,'[1]TB-Jun-24'!A:F,6,FALSE),0)</f>
        <v>0</v>
      </c>
      <c r="O447" s="35">
        <f>IFERROR(VLOOKUP(C447,'[1]TB-Jun-24'!I:N,6,FALSE),0)</f>
        <v>0</v>
      </c>
      <c r="Q447" s="35" t="s">
        <v>33</v>
      </c>
    </row>
    <row r="448" hidden="1" spans="2:14">
      <c r="B448" s="35">
        <f>B447+1</f>
        <v>416</v>
      </c>
      <c r="C448" s="43" t="s">
        <v>1332</v>
      </c>
      <c r="D448" s="43" t="s">
        <v>935</v>
      </c>
      <c r="E448" s="44" t="s">
        <v>525</v>
      </c>
      <c r="F448" s="44" t="s">
        <v>33</v>
      </c>
      <c r="G448" s="44" t="s">
        <v>473</v>
      </c>
      <c r="H448" s="44" t="s">
        <v>33</v>
      </c>
      <c r="I448" s="44" t="s">
        <v>309</v>
      </c>
      <c r="J448" s="44"/>
      <c r="K448" s="56">
        <f>SUMIF('TB-Jan-25'!$A$12:$A$167,'Working-Jan-25'!C448,'TB-Jan-25'!$E$12:$E$167)</f>
        <v>0</v>
      </c>
      <c r="L448" s="56">
        <f>SUMIF('TB-Jan-25'!I:I,C448,'TB-Jan-25'!M:M)</f>
        <v>0</v>
      </c>
      <c r="M448" s="56">
        <f t="shared" si="15"/>
        <v>0</v>
      </c>
      <c r="N448" s="57"/>
    </row>
    <row r="449" hidden="1" spans="2:17">
      <c r="B449" s="35">
        <f>B448+1</f>
        <v>417</v>
      </c>
      <c r="C449" s="43" t="s">
        <v>1333</v>
      </c>
      <c r="D449" s="43" t="s">
        <v>935</v>
      </c>
      <c r="E449" s="44" t="s">
        <v>525</v>
      </c>
      <c r="F449" s="44" t="s">
        <v>33</v>
      </c>
      <c r="G449" s="44" t="s">
        <v>479</v>
      </c>
      <c r="H449" s="44" t="s">
        <v>33</v>
      </c>
      <c r="I449" s="44" t="s">
        <v>529</v>
      </c>
      <c r="J449" s="44"/>
      <c r="K449" s="56">
        <f>SUMIF('TB-Jan-25'!$A$12:$A$167,'Working-Jan-25'!C449,'TB-Jan-25'!$E$12:$E$167)</f>
        <v>0</v>
      </c>
      <c r="L449" s="56">
        <f>SUMIF('TB-Jan-25'!I:I,C449,'TB-Jan-25'!M:M)</f>
        <v>0</v>
      </c>
      <c r="M449" s="56">
        <f t="shared" si="15"/>
        <v>0</v>
      </c>
      <c r="N449" s="57">
        <f>IFERROR(VLOOKUP(C449,'[1]TB-Jun-24'!A:F,6,FALSE),0)</f>
        <v>0</v>
      </c>
      <c r="O449" s="35">
        <f>IFERROR(VLOOKUP(C449,'[1]TB-Jun-24'!I:N,6,FALSE),0)</f>
        <v>0</v>
      </c>
      <c r="Q449" s="35" t="s">
        <v>33</v>
      </c>
    </row>
    <row r="450" hidden="1" spans="2:17">
      <c r="B450" s="35">
        <f t="shared" si="14"/>
        <v>418</v>
      </c>
      <c r="C450" s="43" t="s">
        <v>1334</v>
      </c>
      <c r="D450" s="43" t="s">
        <v>935</v>
      </c>
      <c r="E450" s="44" t="s">
        <v>525</v>
      </c>
      <c r="F450" s="44" t="s">
        <v>33</v>
      </c>
      <c r="G450" s="44" t="s">
        <v>479</v>
      </c>
      <c r="H450" s="44" t="s">
        <v>33</v>
      </c>
      <c r="I450" s="44" t="s">
        <v>529</v>
      </c>
      <c r="J450" s="44"/>
      <c r="K450" s="56">
        <f>SUMIF('TB-Jan-25'!$A$12:$A$167,'Working-Jan-25'!C450,'TB-Jan-25'!$E$12:$E$167)</f>
        <v>0</v>
      </c>
      <c r="L450" s="56">
        <f>SUMIF('TB-Jan-25'!I:I,C450,'TB-Jan-25'!M:M)</f>
        <v>0</v>
      </c>
      <c r="M450" s="56">
        <f t="shared" si="15"/>
        <v>0</v>
      </c>
      <c r="N450" s="57">
        <f>IFERROR(VLOOKUP(C450,'[1]TB-Jun-24'!A:F,6,FALSE),0)</f>
        <v>0</v>
      </c>
      <c r="O450" s="35">
        <f>IFERROR(VLOOKUP(C450,'[1]TB-Jun-24'!I:N,6,FALSE),0)</f>
        <v>0</v>
      </c>
      <c r="Q450" s="35" t="s">
        <v>33</v>
      </c>
    </row>
    <row r="451" hidden="1" spans="2:17">
      <c r="B451" s="35">
        <f t="shared" si="14"/>
        <v>419</v>
      </c>
      <c r="C451" s="43" t="s">
        <v>1335</v>
      </c>
      <c r="D451" s="43" t="s">
        <v>935</v>
      </c>
      <c r="E451" s="44" t="s">
        <v>1299</v>
      </c>
      <c r="F451" s="44" t="s">
        <v>33</v>
      </c>
      <c r="G451" s="44" t="s">
        <v>487</v>
      </c>
      <c r="H451" s="44" t="s">
        <v>33</v>
      </c>
      <c r="I451" s="44" t="s">
        <v>309</v>
      </c>
      <c r="J451" s="44"/>
      <c r="K451" s="56">
        <f>SUMIF('TB-Jan-25'!$A$12:$A$167,'Working-Jan-25'!C451,'TB-Jan-25'!$E$12:$E$167)</f>
        <v>0</v>
      </c>
      <c r="L451" s="56">
        <f>SUMIF('TB-Jan-25'!I:I,C451,'TB-Jan-25'!M:M)</f>
        <v>0</v>
      </c>
      <c r="M451" s="56">
        <f t="shared" si="15"/>
        <v>0</v>
      </c>
      <c r="N451" s="57">
        <f>IFERROR(VLOOKUP(C451,'[1]TB-Jun-24'!A:F,6,FALSE),0)</f>
        <v>0</v>
      </c>
      <c r="O451" s="35">
        <f>IFERROR(VLOOKUP(C451,'[1]TB-Jun-24'!I:N,6,FALSE),0)</f>
        <v>0</v>
      </c>
      <c r="Q451" s="35" t="s">
        <v>33</v>
      </c>
    </row>
    <row r="452" hidden="1" spans="2:17">
      <c r="B452" s="35">
        <f t="shared" si="14"/>
        <v>420</v>
      </c>
      <c r="C452" s="43" t="s">
        <v>1336</v>
      </c>
      <c r="D452" s="43" t="s">
        <v>935</v>
      </c>
      <c r="E452" s="44" t="s">
        <v>942</v>
      </c>
      <c r="F452" s="44" t="s">
        <v>33</v>
      </c>
      <c r="G452" s="44" t="s">
        <v>493</v>
      </c>
      <c r="H452" s="44" t="s">
        <v>120</v>
      </c>
      <c r="I452" s="44" t="s">
        <v>309</v>
      </c>
      <c r="J452" s="44"/>
      <c r="K452" s="56">
        <f>SUMIF('TB-Jan-25'!$A$12:$A$167,'Working-Jan-25'!C452,'TB-Jan-25'!$E$12:$E$167)</f>
        <v>0</v>
      </c>
      <c r="L452" s="56">
        <f>SUMIF('TB-Jan-25'!I:I,C452,'TB-Jan-25'!M:M)</f>
        <v>0</v>
      </c>
      <c r="M452" s="56">
        <f t="shared" si="15"/>
        <v>0</v>
      </c>
      <c r="N452" s="57">
        <f>IFERROR(VLOOKUP(C452,'[1]TB-Jun-24'!A:F,6,FALSE),0)</f>
        <v>0</v>
      </c>
      <c r="O452" s="35">
        <f>IFERROR(VLOOKUP(C452,'[1]TB-Jun-24'!I:N,6,FALSE),0)</f>
        <v>0</v>
      </c>
      <c r="Q452" s="35" t="s">
        <v>493</v>
      </c>
    </row>
    <row r="453" hidden="1" spans="2:17">
      <c r="B453" s="35">
        <f t="shared" si="14"/>
        <v>421</v>
      </c>
      <c r="C453" s="43" t="s">
        <v>1337</v>
      </c>
      <c r="D453" s="43" t="s">
        <v>935</v>
      </c>
      <c r="E453" s="44" t="s">
        <v>1284</v>
      </c>
      <c r="F453" s="44" t="s">
        <v>33</v>
      </c>
      <c r="G453" s="44" t="s">
        <v>487</v>
      </c>
      <c r="H453" s="44" t="s">
        <v>33</v>
      </c>
      <c r="I453" s="44" t="s">
        <v>309</v>
      </c>
      <c r="J453" s="44"/>
      <c r="K453" s="56">
        <f>SUMIF('TB-Jan-25'!$A$12:$A$167,'Working-Jan-25'!C453,'TB-Jan-25'!$E$12:$E$167)</f>
        <v>0</v>
      </c>
      <c r="L453" s="56">
        <f>SUMIF('TB-Jan-25'!I:I,C453,'TB-Jan-25'!M:M)</f>
        <v>0</v>
      </c>
      <c r="M453" s="56">
        <f t="shared" si="15"/>
        <v>0</v>
      </c>
      <c r="N453" s="57">
        <f>IFERROR(VLOOKUP(C453,'[1]TB-Jun-24'!A:F,6,FALSE),0)</f>
        <v>0</v>
      </c>
      <c r="O453" s="35">
        <f>IFERROR(VLOOKUP(C453,'[1]TB-Jun-24'!I:N,6,FALSE),0)</f>
        <v>0</v>
      </c>
      <c r="Q453" s="35" t="s">
        <v>33</v>
      </c>
    </row>
    <row r="454" hidden="1" spans="2:17">
      <c r="B454" s="35">
        <f t="shared" si="14"/>
        <v>422</v>
      </c>
      <c r="C454" s="43" t="s">
        <v>1338</v>
      </c>
      <c r="D454" s="43" t="s">
        <v>935</v>
      </c>
      <c r="E454" s="44" t="s">
        <v>1284</v>
      </c>
      <c r="F454" s="44" t="s">
        <v>33</v>
      </c>
      <c r="G454" s="44" t="s">
        <v>487</v>
      </c>
      <c r="H454" s="44" t="s">
        <v>33</v>
      </c>
      <c r="I454" s="44" t="s">
        <v>309</v>
      </c>
      <c r="J454" s="44"/>
      <c r="K454" s="56">
        <f>SUMIF('TB-Jan-25'!$A$12:$A$167,'Working-Jan-25'!C454,'TB-Jan-25'!$E$12:$E$167)</f>
        <v>0</v>
      </c>
      <c r="L454" s="56">
        <f>SUMIF('TB-Jan-25'!I:I,C454,'TB-Jan-25'!M:M)</f>
        <v>0</v>
      </c>
      <c r="M454" s="56">
        <f t="shared" si="15"/>
        <v>0</v>
      </c>
      <c r="N454" s="57">
        <f>IFERROR(VLOOKUP(C454,'[1]TB-Jun-24'!A:F,6,FALSE),0)</f>
        <v>0</v>
      </c>
      <c r="O454" s="35">
        <f>IFERROR(VLOOKUP(C454,'[1]TB-Jun-24'!I:N,6,FALSE),0)</f>
        <v>0</v>
      </c>
      <c r="Q454" s="35" t="s">
        <v>33</v>
      </c>
    </row>
    <row r="455" hidden="1" spans="2:17">
      <c r="B455" s="35">
        <f t="shared" si="14"/>
        <v>423</v>
      </c>
      <c r="C455" s="43" t="s">
        <v>1339</v>
      </c>
      <c r="D455" s="43" t="s">
        <v>935</v>
      </c>
      <c r="E455" s="44" t="s">
        <v>1284</v>
      </c>
      <c r="F455" s="44" t="s">
        <v>33</v>
      </c>
      <c r="G455" s="44" t="s">
        <v>487</v>
      </c>
      <c r="H455" s="44" t="s">
        <v>33</v>
      </c>
      <c r="I455" s="44" t="s">
        <v>309</v>
      </c>
      <c r="J455" s="44"/>
      <c r="K455" s="56">
        <f>SUMIF('TB-Jan-25'!$A$12:$A$167,'Working-Jan-25'!C455,'TB-Jan-25'!$E$12:$E$167)</f>
        <v>0</v>
      </c>
      <c r="L455" s="56">
        <f>SUMIF('TB-Jan-25'!I:I,C455,'TB-Jan-25'!M:M)</f>
        <v>0</v>
      </c>
      <c r="M455" s="56">
        <f t="shared" si="15"/>
        <v>0</v>
      </c>
      <c r="N455" s="57">
        <f>IFERROR(VLOOKUP(C455,'[1]TB-Jun-24'!A:F,6,FALSE),0)</f>
        <v>0</v>
      </c>
      <c r="O455" s="35">
        <f>IFERROR(VLOOKUP(C455,'[1]TB-Jun-24'!I:N,6,FALSE),0)</f>
        <v>0</v>
      </c>
      <c r="Q455" s="35" t="s">
        <v>33</v>
      </c>
    </row>
    <row r="456" hidden="1" spans="2:17">
      <c r="B456" s="35">
        <f t="shared" si="14"/>
        <v>424</v>
      </c>
      <c r="C456" s="43" t="s">
        <v>1340</v>
      </c>
      <c r="D456" s="43" t="s">
        <v>935</v>
      </c>
      <c r="E456" s="44" t="s">
        <v>1284</v>
      </c>
      <c r="F456" s="44" t="s">
        <v>33</v>
      </c>
      <c r="G456" s="44" t="s">
        <v>487</v>
      </c>
      <c r="H456" s="44" t="s">
        <v>33</v>
      </c>
      <c r="I456" s="44" t="s">
        <v>309</v>
      </c>
      <c r="J456" s="44"/>
      <c r="K456" s="56">
        <f>SUMIF('TB-Jan-25'!$A$12:$A$167,'Working-Jan-25'!C456,'TB-Jan-25'!$E$12:$E$167)</f>
        <v>0</v>
      </c>
      <c r="L456" s="56">
        <f>SUMIF('TB-Jan-25'!I:I,C456,'TB-Jan-25'!M:M)</f>
        <v>0</v>
      </c>
      <c r="M456" s="56">
        <f t="shared" si="15"/>
        <v>0</v>
      </c>
      <c r="N456" s="57">
        <f>IFERROR(VLOOKUP(C456,'[1]TB-Jun-24'!A:F,6,FALSE),0)</f>
        <v>0</v>
      </c>
      <c r="O456" s="35">
        <f>IFERROR(VLOOKUP(C456,'[1]TB-Jun-24'!I:N,6,FALSE),0)</f>
        <v>0</v>
      </c>
      <c r="Q456" s="35" t="s">
        <v>33</v>
      </c>
    </row>
    <row r="457" hidden="1" spans="2:17">
      <c r="B457" s="35">
        <f t="shared" si="14"/>
        <v>425</v>
      </c>
      <c r="C457" s="43" t="s">
        <v>1341</v>
      </c>
      <c r="D457" s="43" t="s">
        <v>935</v>
      </c>
      <c r="E457" s="44" t="s">
        <v>1284</v>
      </c>
      <c r="F457" s="44" t="s">
        <v>33</v>
      </c>
      <c r="G457" s="44" t="s">
        <v>487</v>
      </c>
      <c r="H457" s="44" t="s">
        <v>33</v>
      </c>
      <c r="I457" s="44" t="s">
        <v>309</v>
      </c>
      <c r="J457" s="44"/>
      <c r="K457" s="56">
        <f>SUMIF('TB-Jan-25'!$A$12:$A$167,'Working-Jan-25'!C457,'TB-Jan-25'!$E$12:$E$167)</f>
        <v>0</v>
      </c>
      <c r="L457" s="56">
        <f>SUMIF('TB-Jan-25'!I:I,C457,'TB-Jan-25'!M:M)</f>
        <v>0</v>
      </c>
      <c r="M457" s="56">
        <f t="shared" si="15"/>
        <v>0</v>
      </c>
      <c r="N457" s="57">
        <f>IFERROR(VLOOKUP(C457,'[1]TB-Jun-24'!A:F,6,FALSE),0)</f>
        <v>0</v>
      </c>
      <c r="O457" s="35">
        <f>IFERROR(VLOOKUP(C457,'[1]TB-Jun-24'!I:N,6,FALSE),0)</f>
        <v>0</v>
      </c>
      <c r="Q457" s="35" t="s">
        <v>33</v>
      </c>
    </row>
    <row r="458" hidden="1" spans="2:17">
      <c r="B458" s="35">
        <f t="shared" si="14"/>
        <v>426</v>
      </c>
      <c r="C458" s="43" t="s">
        <v>1342</v>
      </c>
      <c r="D458" s="43" t="s">
        <v>935</v>
      </c>
      <c r="E458" s="44" t="s">
        <v>1284</v>
      </c>
      <c r="F458" s="44" t="s">
        <v>33</v>
      </c>
      <c r="G458" s="44" t="s">
        <v>487</v>
      </c>
      <c r="H458" s="44" t="s">
        <v>33</v>
      </c>
      <c r="I458" s="44" t="s">
        <v>309</v>
      </c>
      <c r="J458" s="44"/>
      <c r="K458" s="56">
        <f>SUMIF('TB-Jan-25'!$A$12:$A$167,'Working-Jan-25'!C458,'TB-Jan-25'!$E$12:$E$167)</f>
        <v>0</v>
      </c>
      <c r="L458" s="56">
        <f>SUMIF('TB-Jan-25'!I:I,C458,'TB-Jan-25'!M:M)</f>
        <v>0</v>
      </c>
      <c r="M458" s="56">
        <f t="shared" si="15"/>
        <v>0</v>
      </c>
      <c r="N458" s="57">
        <f>IFERROR(VLOOKUP(C458,'[1]TB-Jun-24'!A:F,6,FALSE),0)</f>
        <v>0</v>
      </c>
      <c r="O458" s="35">
        <f>IFERROR(VLOOKUP(C458,'[1]TB-Jun-24'!I:N,6,FALSE),0)</f>
        <v>0</v>
      </c>
      <c r="Q458" s="35" t="s">
        <v>33</v>
      </c>
    </row>
    <row r="459" hidden="1" spans="2:17">
      <c r="B459" s="35">
        <f t="shared" si="14"/>
        <v>427</v>
      </c>
      <c r="C459" s="43" t="s">
        <v>1343</v>
      </c>
      <c r="D459" s="43" t="s">
        <v>935</v>
      </c>
      <c r="E459" s="44" t="s">
        <v>1284</v>
      </c>
      <c r="F459" s="44" t="s">
        <v>33</v>
      </c>
      <c r="G459" s="44" t="s">
        <v>487</v>
      </c>
      <c r="H459" s="44" t="s">
        <v>33</v>
      </c>
      <c r="I459" s="44" t="s">
        <v>309</v>
      </c>
      <c r="J459" s="44"/>
      <c r="K459" s="56">
        <f>SUMIF('TB-Jan-25'!$A$12:$A$167,'Working-Jan-25'!C459,'TB-Jan-25'!$E$12:$E$167)</f>
        <v>0</v>
      </c>
      <c r="L459" s="56">
        <f>SUMIF('TB-Jan-25'!I:I,C459,'TB-Jan-25'!M:M)</f>
        <v>0</v>
      </c>
      <c r="M459" s="56">
        <f t="shared" si="15"/>
        <v>0</v>
      </c>
      <c r="N459" s="57">
        <f>IFERROR(VLOOKUP(C459,'[1]TB-Jun-24'!A:F,6,FALSE),0)</f>
        <v>0</v>
      </c>
      <c r="O459" s="35">
        <f>IFERROR(VLOOKUP(C459,'[1]TB-Jun-24'!I:N,6,FALSE),0)</f>
        <v>0</v>
      </c>
      <c r="Q459" s="35" t="s">
        <v>33</v>
      </c>
    </row>
    <row r="460" hidden="1" spans="2:17">
      <c r="B460" s="35">
        <f t="shared" si="14"/>
        <v>428</v>
      </c>
      <c r="C460" s="43" t="s">
        <v>1344</v>
      </c>
      <c r="D460" s="43" t="s">
        <v>935</v>
      </c>
      <c r="E460" s="44" t="s">
        <v>942</v>
      </c>
      <c r="F460" s="44" t="s">
        <v>33</v>
      </c>
      <c r="G460" s="44" t="s">
        <v>493</v>
      </c>
      <c r="H460" s="44" t="s">
        <v>120</v>
      </c>
      <c r="I460" s="44" t="s">
        <v>309</v>
      </c>
      <c r="J460" s="44"/>
      <c r="K460" s="56">
        <f>SUMIF('TB-Jan-25'!$A$12:$A$167,'Working-Jan-25'!C460,'TB-Jan-25'!$E$12:$E$167)</f>
        <v>0</v>
      </c>
      <c r="L460" s="56">
        <f>SUMIF('TB-Jan-25'!I:I,C460,'TB-Jan-25'!M:M)</f>
        <v>0</v>
      </c>
      <c r="M460" s="56">
        <f t="shared" si="15"/>
        <v>0</v>
      </c>
      <c r="N460" s="57">
        <f>IFERROR(VLOOKUP(C460,'[1]TB-Jun-24'!A:F,6,FALSE),0)</f>
        <v>0</v>
      </c>
      <c r="O460" s="35">
        <f>IFERROR(VLOOKUP(C460,'[1]TB-Jun-24'!I:N,6,FALSE),0)</f>
        <v>0</v>
      </c>
      <c r="Q460" s="35" t="s">
        <v>493</v>
      </c>
    </row>
    <row r="461" hidden="1" spans="2:17">
      <c r="B461" s="35">
        <f t="shared" si="14"/>
        <v>429</v>
      </c>
      <c r="C461" s="43" t="s">
        <v>753</v>
      </c>
      <c r="D461" s="43" t="s">
        <v>939</v>
      </c>
      <c r="E461" s="44" t="s">
        <v>1004</v>
      </c>
      <c r="F461" s="44" t="s">
        <v>33</v>
      </c>
      <c r="G461" s="44" t="s">
        <v>548</v>
      </c>
      <c r="H461" s="44" t="s">
        <v>33</v>
      </c>
      <c r="I461" s="44" t="s">
        <v>309</v>
      </c>
      <c r="J461" s="44"/>
      <c r="K461" s="56">
        <f>SUMIF('TB-Jan-25'!$A$12:$A$167,'Working-Jan-25'!C461,'TB-Jan-25'!$E$12:$E$167)</f>
        <v>0</v>
      </c>
      <c r="L461" s="56">
        <f>SUMIF('TB-Jan-25'!I:I,C461,'TB-Jan-25'!M:M)</f>
        <v>6729</v>
      </c>
      <c r="M461" s="56">
        <f t="shared" si="15"/>
        <v>6729</v>
      </c>
      <c r="N461" s="57" t="e">
        <f>SUMIF([6]Final!$B:$B,C461,[6]Final!$F:$F)-M461</f>
        <v>#VALUE!</v>
      </c>
      <c r="O461" s="35">
        <f>IFERROR(VLOOKUP(C461,'[1]TB-Jun-24'!I:N,6,FALSE),0)</f>
        <v>950</v>
      </c>
      <c r="Q461" s="35" t="s">
        <v>33</v>
      </c>
    </row>
    <row r="462" hidden="1" spans="2:17">
      <c r="B462" s="35">
        <f t="shared" si="14"/>
        <v>430</v>
      </c>
      <c r="C462" s="43" t="s">
        <v>1345</v>
      </c>
      <c r="D462" s="43" t="s">
        <v>939</v>
      </c>
      <c r="E462" s="44" t="s">
        <v>1007</v>
      </c>
      <c r="F462" s="44" t="s">
        <v>33</v>
      </c>
      <c r="G462" s="44" t="s">
        <v>1008</v>
      </c>
      <c r="H462" s="44" t="s">
        <v>120</v>
      </c>
      <c r="I462" s="44" t="s">
        <v>309</v>
      </c>
      <c r="J462" s="44"/>
      <c r="K462" s="56">
        <f>SUMIF('TB-Jan-25'!$A$12:$A$167,'Working-Jan-25'!C462,'TB-Jan-25'!$E$12:$E$167)</f>
        <v>0</v>
      </c>
      <c r="L462" s="56">
        <f>SUMIF('TB-Jan-25'!I:I,C462,'TB-Jan-25'!M:M)</f>
        <v>0</v>
      </c>
      <c r="M462" s="56">
        <f t="shared" si="15"/>
        <v>0</v>
      </c>
      <c r="N462" s="57">
        <f>IFERROR(VLOOKUP(C462,'[1]TB-Jun-24'!A:F,6,FALSE),0)</f>
        <v>0</v>
      </c>
      <c r="O462" s="35">
        <f>IFERROR(VLOOKUP(C462,'[1]TB-Jun-24'!I:N,6,FALSE),0)</f>
        <v>0</v>
      </c>
      <c r="Q462" s="35" t="s">
        <v>120</v>
      </c>
    </row>
    <row r="463" hidden="1" spans="2:17">
      <c r="B463" s="35">
        <f t="shared" si="14"/>
        <v>431</v>
      </c>
      <c r="C463" s="43" t="s">
        <v>1346</v>
      </c>
      <c r="D463" s="43" t="s">
        <v>939</v>
      </c>
      <c r="E463" s="44" t="s">
        <v>1004</v>
      </c>
      <c r="F463" s="44" t="s">
        <v>33</v>
      </c>
      <c r="G463" s="44" t="s">
        <v>552</v>
      </c>
      <c r="H463" s="44" t="s">
        <v>33</v>
      </c>
      <c r="I463" s="44" t="s">
        <v>309</v>
      </c>
      <c r="J463" s="44"/>
      <c r="K463" s="56">
        <f>SUMIF('TB-Jan-25'!$A$12:$A$167,'Working-Jan-25'!C463,'TB-Jan-25'!$E$12:$E$167)</f>
        <v>0</v>
      </c>
      <c r="L463" s="56">
        <f>SUMIF('TB-Jan-25'!I:I,C463,'TB-Jan-25'!M:M)</f>
        <v>0</v>
      </c>
      <c r="M463" s="56">
        <f t="shared" si="15"/>
        <v>0</v>
      </c>
      <c r="N463" s="57">
        <f>IFERROR(VLOOKUP(C463,'[1]TB-Jun-24'!A:F,6,FALSE),0)</f>
        <v>0</v>
      </c>
      <c r="O463" s="35">
        <f>IFERROR(VLOOKUP(C463,'[1]TB-Jun-24'!I:N,6,FALSE),0)</f>
        <v>0</v>
      </c>
      <c r="Q463" s="35" t="s">
        <v>33</v>
      </c>
    </row>
    <row r="464" hidden="1" spans="2:17">
      <c r="B464" s="35">
        <f t="shared" si="14"/>
        <v>432</v>
      </c>
      <c r="C464" s="43" t="s">
        <v>1347</v>
      </c>
      <c r="D464" s="43" t="s">
        <v>939</v>
      </c>
      <c r="E464" s="44" t="s">
        <v>1007</v>
      </c>
      <c r="F464" s="44" t="s">
        <v>33</v>
      </c>
      <c r="G464" s="44" t="s">
        <v>1008</v>
      </c>
      <c r="H464" s="44" t="s">
        <v>120</v>
      </c>
      <c r="I464" s="44" t="s">
        <v>309</v>
      </c>
      <c r="J464" s="44"/>
      <c r="K464" s="56">
        <f>SUMIF('TB-Jan-25'!$A$12:$A$167,'Working-Jan-25'!C464,'TB-Jan-25'!$E$12:$E$167)</f>
        <v>0</v>
      </c>
      <c r="L464" s="56">
        <f>SUMIF('TB-Jan-25'!I:I,C464,'TB-Jan-25'!M:M)</f>
        <v>0</v>
      </c>
      <c r="M464" s="56">
        <f t="shared" si="15"/>
        <v>0</v>
      </c>
      <c r="N464" s="57">
        <f>IFERROR(VLOOKUP(C464,'[1]TB-Jun-24'!A:F,6,FALSE),0)</f>
        <v>0</v>
      </c>
      <c r="O464" s="35">
        <f>IFERROR(VLOOKUP(C464,'[1]TB-Jun-24'!I:N,6,FALSE),0)</f>
        <v>0</v>
      </c>
      <c r="Q464" s="35" t="s">
        <v>120</v>
      </c>
    </row>
    <row r="465" hidden="1" spans="2:17">
      <c r="B465" s="35">
        <f t="shared" si="14"/>
        <v>433</v>
      </c>
      <c r="C465" s="43" t="s">
        <v>1348</v>
      </c>
      <c r="D465" s="43" t="s">
        <v>939</v>
      </c>
      <c r="E465" s="44" t="s">
        <v>1007</v>
      </c>
      <c r="F465" s="44" t="s">
        <v>33</v>
      </c>
      <c r="G465" s="44" t="s">
        <v>1008</v>
      </c>
      <c r="H465" s="44" t="s">
        <v>120</v>
      </c>
      <c r="I465" s="44" t="s">
        <v>309</v>
      </c>
      <c r="J465" s="44"/>
      <c r="K465" s="56">
        <f>SUMIF('TB-Jan-25'!$A$12:$A$167,'Working-Jan-25'!C465,'TB-Jan-25'!$E$12:$E$167)</f>
        <v>0</v>
      </c>
      <c r="L465" s="56">
        <f>SUMIF('TB-Jan-25'!I:I,C465,'TB-Jan-25'!M:M)</f>
        <v>0</v>
      </c>
      <c r="M465" s="56">
        <f t="shared" si="15"/>
        <v>0</v>
      </c>
      <c r="N465" s="57">
        <f>IFERROR(VLOOKUP(C465,'[1]TB-Jun-24'!A:F,6,FALSE),0)</f>
        <v>0</v>
      </c>
      <c r="O465" s="35">
        <f>IFERROR(VLOOKUP(C465,'[1]TB-Jun-24'!I:N,6,FALSE),0)</f>
        <v>0</v>
      </c>
      <c r="Q465" s="35" t="s">
        <v>120</v>
      </c>
    </row>
    <row r="466" spans="2:17">
      <c r="B466" s="35">
        <f t="shared" si="14"/>
        <v>434</v>
      </c>
      <c r="C466" s="43" t="s">
        <v>1349</v>
      </c>
      <c r="D466" s="46" t="s">
        <v>939</v>
      </c>
      <c r="E466" s="47" t="s">
        <v>1105</v>
      </c>
      <c r="F466" s="47" t="s">
        <v>33</v>
      </c>
      <c r="G466" s="44" t="s">
        <v>515</v>
      </c>
      <c r="H466" s="44" t="s">
        <v>120</v>
      </c>
      <c r="I466" s="44" t="s">
        <v>309</v>
      </c>
      <c r="J466" s="44"/>
      <c r="K466" s="56">
        <f>SUMIF('TB-Jan-25'!$A$12:$A$167,'Working-Jan-25'!C466,'TB-Jan-25'!$E$12:$E$167)</f>
        <v>0</v>
      </c>
      <c r="L466" s="56">
        <f>SUMIF('TB-Jan-25'!I:I,C466,'TB-Jan-25'!M:M)</f>
        <v>0</v>
      </c>
      <c r="M466" s="56">
        <f t="shared" si="15"/>
        <v>0</v>
      </c>
      <c r="N466" s="57">
        <f>IFERROR(VLOOKUP(C466,'[1]TB-Jun-24'!A:F,6,FALSE),0)</f>
        <v>0</v>
      </c>
      <c r="O466" s="35">
        <f>IFERROR(VLOOKUP(C466,'[1]TB-Jun-24'!I:N,6,FALSE),0)</f>
        <v>0</v>
      </c>
      <c r="Q466" s="35" t="s">
        <v>120</v>
      </c>
    </row>
    <row r="467" spans="2:17">
      <c r="B467" s="35">
        <f t="shared" si="14"/>
        <v>435</v>
      </c>
      <c r="C467" s="43" t="s">
        <v>1350</v>
      </c>
      <c r="D467" s="46" t="s">
        <v>939</v>
      </c>
      <c r="E467" s="47" t="s">
        <v>1351</v>
      </c>
      <c r="F467" s="47" t="s">
        <v>33</v>
      </c>
      <c r="G467" s="44" t="s">
        <v>515</v>
      </c>
      <c r="H467" s="44" t="s">
        <v>120</v>
      </c>
      <c r="I467" s="44" t="s">
        <v>309</v>
      </c>
      <c r="J467" s="44"/>
      <c r="K467" s="56">
        <f>SUMIF('TB-Jan-25'!$A$12:$A$167,'Working-Jan-25'!C467,'TB-Jan-25'!$E$12:$E$167)</f>
        <v>0</v>
      </c>
      <c r="L467" s="56">
        <f>SUMIF('TB-Jan-25'!I:I,C467,'TB-Jan-25'!M:M)</f>
        <v>0</v>
      </c>
      <c r="M467" s="56">
        <f t="shared" si="15"/>
        <v>0</v>
      </c>
      <c r="N467" s="57">
        <f>IFERROR(VLOOKUP(C467,'[1]TB-Jun-24'!A:F,6,FALSE),0)</f>
        <v>0</v>
      </c>
      <c r="O467" s="35">
        <f>IFERROR(VLOOKUP(C467,'[1]TB-Jun-24'!I:N,6,FALSE),0)</f>
        <v>0</v>
      </c>
      <c r="Q467" s="35" t="s">
        <v>120</v>
      </c>
    </row>
    <row r="468" hidden="1" spans="2:17">
      <c r="B468" s="35">
        <f t="shared" si="14"/>
        <v>436</v>
      </c>
      <c r="C468" s="43" t="s">
        <v>1352</v>
      </c>
      <c r="D468" s="43" t="s">
        <v>939</v>
      </c>
      <c r="E468" s="44" t="s">
        <v>1108</v>
      </c>
      <c r="F468" s="44" t="s">
        <v>33</v>
      </c>
      <c r="G468" s="44" t="s">
        <v>538</v>
      </c>
      <c r="H468" s="44" t="s">
        <v>120</v>
      </c>
      <c r="I468" s="44" t="s">
        <v>309</v>
      </c>
      <c r="J468" s="44"/>
      <c r="K468" s="56">
        <f>SUMIF('TB-Jan-25'!$A$12:$A$167,'Working-Jan-25'!C468,'TB-Jan-25'!$E$12:$E$167)</f>
        <v>0</v>
      </c>
      <c r="L468" s="56">
        <f>SUMIF('TB-Jan-25'!I:I,C468,'TB-Jan-25'!M:M)</f>
        <v>0</v>
      </c>
      <c r="M468" s="56">
        <f t="shared" si="15"/>
        <v>0</v>
      </c>
      <c r="N468" s="57">
        <f>IFERROR(VLOOKUP(C468,'[1]TB-Jun-24'!A:F,6,FALSE),0)</f>
        <v>0</v>
      </c>
      <c r="O468" s="35">
        <f>IFERROR(VLOOKUP(C468,'[1]TB-Jun-24'!I:N,6,FALSE),0)</f>
        <v>0</v>
      </c>
      <c r="Q468" s="35" t="s">
        <v>120</v>
      </c>
    </row>
    <row r="469" hidden="1" spans="2:17">
      <c r="B469" s="35">
        <f t="shared" si="14"/>
        <v>437</v>
      </c>
      <c r="C469" s="43" t="s">
        <v>773</v>
      </c>
      <c r="D469" s="43" t="s">
        <v>935</v>
      </c>
      <c r="E469" s="44" t="s">
        <v>1353</v>
      </c>
      <c r="F469" s="44" t="s">
        <v>33</v>
      </c>
      <c r="G469" s="44" t="s">
        <v>501</v>
      </c>
      <c r="H469" s="44" t="s">
        <v>120</v>
      </c>
      <c r="I469" s="44" t="s">
        <v>309</v>
      </c>
      <c r="J469" s="44"/>
      <c r="K469" s="56">
        <f>SUMIF('TB-Jan-25'!$A$12:$A$167,'Working-Jan-25'!C469,'TB-Jan-25'!$E$12:$E$167)</f>
        <v>0</v>
      </c>
      <c r="L469" s="56">
        <f>SUMIF('TB-Jan-25'!I:I,C469,'TB-Jan-25'!M:M)</f>
        <v>278500</v>
      </c>
      <c r="M469" s="56">
        <f t="shared" si="15"/>
        <v>278500</v>
      </c>
      <c r="N469" s="57" t="e">
        <f>SUMIF([6]Final!$B:$B,C469,[6]Final!$F:$F)-M469</f>
        <v>#VALUE!</v>
      </c>
      <c r="O469" s="35">
        <f>IFERROR(VLOOKUP(C469,'[1]TB-Jun-24'!I:N,6,FALSE),0)</f>
        <v>278500</v>
      </c>
      <c r="Q469" s="35" t="s">
        <v>120</v>
      </c>
    </row>
    <row r="470" hidden="1" spans="2:17">
      <c r="B470" s="35">
        <f t="shared" si="14"/>
        <v>438</v>
      </c>
      <c r="C470" s="43" t="s">
        <v>775</v>
      </c>
      <c r="D470" s="43" t="s">
        <v>935</v>
      </c>
      <c r="E470" s="44" t="s">
        <v>1353</v>
      </c>
      <c r="F470" s="44" t="s">
        <v>33</v>
      </c>
      <c r="G470" s="44" t="s">
        <v>501</v>
      </c>
      <c r="H470" s="44" t="s">
        <v>120</v>
      </c>
      <c r="I470" s="44" t="s">
        <v>309</v>
      </c>
      <c r="J470" s="44"/>
      <c r="K470" s="56">
        <f>SUMIF('TB-Jan-25'!$A$12:$A$167,'Working-Jan-25'!C470,'TB-Jan-25'!$E$12:$E$167)</f>
        <v>0</v>
      </c>
      <c r="L470" s="56">
        <f>SUMIF('TB-Jan-25'!I:I,C470,'TB-Jan-25'!M:M)</f>
        <v>75000</v>
      </c>
      <c r="M470" s="56">
        <f t="shared" si="15"/>
        <v>75000</v>
      </c>
      <c r="N470" s="57" t="e">
        <f>SUMIF([6]Final!$B:$B,C470,[6]Final!$F:$F)-M470</f>
        <v>#VALUE!</v>
      </c>
      <c r="O470" s="35">
        <f>IFERROR(VLOOKUP(C470,'[1]TB-Jun-24'!I:N,6,FALSE),0)</f>
        <v>125000</v>
      </c>
      <c r="Q470" s="35" t="s">
        <v>120</v>
      </c>
    </row>
    <row r="471" hidden="1" spans="2:17">
      <c r="B471" s="35">
        <f t="shared" si="14"/>
        <v>439</v>
      </c>
      <c r="C471" s="43" t="s">
        <v>1354</v>
      </c>
      <c r="D471" s="43" t="s">
        <v>935</v>
      </c>
      <c r="E471" s="44" t="s">
        <v>1353</v>
      </c>
      <c r="F471" s="44" t="s">
        <v>33</v>
      </c>
      <c r="G471" s="44" t="s">
        <v>501</v>
      </c>
      <c r="H471" s="44" t="s">
        <v>120</v>
      </c>
      <c r="I471" s="44" t="s">
        <v>309</v>
      </c>
      <c r="J471" s="44"/>
      <c r="K471" s="56">
        <f>SUMIF('TB-Jan-25'!$A$12:$A$167,'Working-Jan-25'!C471,'TB-Jan-25'!$E$12:$E$167)</f>
        <v>0</v>
      </c>
      <c r="L471" s="56">
        <f>SUMIF('TB-Jan-25'!I:I,C471,'TB-Jan-25'!M:M)</f>
        <v>0</v>
      </c>
      <c r="M471" s="56">
        <f t="shared" si="15"/>
        <v>0</v>
      </c>
      <c r="N471" s="57">
        <f>IFERROR(VLOOKUP(C471,'[1]TB-Jun-24'!A:F,6,FALSE),0)</f>
        <v>0</v>
      </c>
      <c r="O471" s="35">
        <f>IFERROR(VLOOKUP(C471,'[1]TB-Jun-24'!I:N,6,FALSE),0)</f>
        <v>130839</v>
      </c>
      <c r="Q471" s="35" t="s">
        <v>120</v>
      </c>
    </row>
    <row r="472" hidden="1" spans="2:17">
      <c r="B472" s="35">
        <f t="shared" ref="B472:B535" si="16">+B471+1</f>
        <v>440</v>
      </c>
      <c r="C472" s="43" t="s">
        <v>777</v>
      </c>
      <c r="D472" s="43" t="s">
        <v>935</v>
      </c>
      <c r="E472" s="44" t="s">
        <v>1353</v>
      </c>
      <c r="F472" s="44" t="s">
        <v>33</v>
      </c>
      <c r="G472" s="44" t="s">
        <v>501</v>
      </c>
      <c r="H472" s="44" t="s">
        <v>120</v>
      </c>
      <c r="I472" s="44" t="s">
        <v>309</v>
      </c>
      <c r="J472" s="44"/>
      <c r="K472" s="56">
        <f>SUMIF('TB-Jan-25'!$A$12:$A$167,'Working-Jan-25'!C472,'TB-Jan-25'!$E$12:$E$167)</f>
        <v>0</v>
      </c>
      <c r="L472" s="56">
        <f>SUMIF('TB-Jan-25'!I:I,C472,'TB-Jan-25'!M:M)</f>
        <v>74352</v>
      </c>
      <c r="M472" s="56">
        <f t="shared" si="15"/>
        <v>74352</v>
      </c>
      <c r="N472" s="57" t="e">
        <f>SUMIF([6]Final!$B:$B,C472,[6]Final!$F:$F)-M472</f>
        <v>#VALUE!</v>
      </c>
      <c r="O472" s="35">
        <f>IFERROR(VLOOKUP(C472,'[1]TB-Jun-24'!I:N,6,FALSE),0)</f>
        <v>102882</v>
      </c>
      <c r="Q472" s="35" t="s">
        <v>120</v>
      </c>
    </row>
    <row r="473" hidden="1" spans="2:17">
      <c r="B473" s="35">
        <f t="shared" si="16"/>
        <v>441</v>
      </c>
      <c r="C473" s="43" t="s">
        <v>1355</v>
      </c>
      <c r="D473" s="43" t="s">
        <v>935</v>
      </c>
      <c r="E473" s="44" t="s">
        <v>1353</v>
      </c>
      <c r="F473" s="44" t="s">
        <v>33</v>
      </c>
      <c r="G473" s="44" t="s">
        <v>501</v>
      </c>
      <c r="H473" s="44" t="s">
        <v>120</v>
      </c>
      <c r="I473" s="44" t="s">
        <v>309</v>
      </c>
      <c r="J473" s="44"/>
      <c r="K473" s="56">
        <f>SUMIF('TB-Jan-25'!$A$12:$A$167,'Working-Jan-25'!C473,'TB-Jan-25'!$E$12:$E$167)</f>
        <v>0</v>
      </c>
      <c r="L473" s="56">
        <f>SUMIF('TB-Jan-25'!I:I,C473,'TB-Jan-25'!M:M)</f>
        <v>0</v>
      </c>
      <c r="M473" s="56">
        <f t="shared" si="15"/>
        <v>0</v>
      </c>
      <c r="N473" s="57">
        <f>IFERROR(VLOOKUP(C473,'[1]TB-Jun-24'!A:F,6,FALSE),0)</f>
        <v>0</v>
      </c>
      <c r="O473" s="35">
        <f>IFERROR(VLOOKUP(C473,'[1]TB-Jun-24'!I:N,6,FALSE),0)</f>
        <v>77025</v>
      </c>
      <c r="Q473" s="35" t="s">
        <v>120</v>
      </c>
    </row>
    <row r="474" hidden="1" spans="2:17">
      <c r="B474" s="35">
        <f t="shared" si="16"/>
        <v>442</v>
      </c>
      <c r="C474" s="43" t="s">
        <v>1356</v>
      </c>
      <c r="D474" s="43" t="s">
        <v>939</v>
      </c>
      <c r="E474" s="44" t="s">
        <v>1118</v>
      </c>
      <c r="F474" s="44" t="s">
        <v>33</v>
      </c>
      <c r="G474" s="44" t="s">
        <v>582</v>
      </c>
      <c r="H474" s="44" t="s">
        <v>120</v>
      </c>
      <c r="I474" s="44" t="s">
        <v>309</v>
      </c>
      <c r="J474" s="44"/>
      <c r="K474" s="56">
        <f>SUMIF('TB-Jan-25'!$A$12:$A$167,'Working-Jan-25'!C474,'TB-Jan-25'!$E$12:$E$167)</f>
        <v>0</v>
      </c>
      <c r="L474" s="56">
        <f>SUMIF('TB-Jan-25'!I:I,C474,'TB-Jan-25'!M:M)</f>
        <v>0</v>
      </c>
      <c r="M474" s="56">
        <f t="shared" si="15"/>
        <v>0</v>
      </c>
      <c r="N474" s="57">
        <f>IFERROR(VLOOKUP(C474,'[1]TB-Jun-24'!A:F,6,FALSE),0)</f>
        <v>0</v>
      </c>
      <c r="O474" s="35">
        <f>IFERROR(VLOOKUP(C474,'[1]TB-Jun-24'!I:N,6,FALSE),0)</f>
        <v>0</v>
      </c>
      <c r="Q474" s="35" t="s">
        <v>120</v>
      </c>
    </row>
    <row r="475" hidden="1" spans="2:17">
      <c r="B475" s="35">
        <f t="shared" si="16"/>
        <v>443</v>
      </c>
      <c r="C475" s="43" t="s">
        <v>1357</v>
      </c>
      <c r="D475" s="43" t="s">
        <v>939</v>
      </c>
      <c r="E475" s="44" t="s">
        <v>1358</v>
      </c>
      <c r="F475" s="44" t="s">
        <v>33</v>
      </c>
      <c r="G475" s="44" t="s">
        <v>550</v>
      </c>
      <c r="H475" s="44" t="s">
        <v>120</v>
      </c>
      <c r="I475" s="44" t="s">
        <v>309</v>
      </c>
      <c r="J475" s="44"/>
      <c r="K475" s="56">
        <f>SUMIF('TB-Jan-25'!$A$12:$A$167,'Working-Jan-25'!C475,'TB-Jan-25'!$E$12:$E$167)</f>
        <v>0</v>
      </c>
      <c r="L475" s="56">
        <f>SUMIF('TB-Jan-25'!I:I,C475,'TB-Jan-25'!M:M)</f>
        <v>0</v>
      </c>
      <c r="M475" s="56">
        <f t="shared" si="15"/>
        <v>0</v>
      </c>
      <c r="N475" s="57">
        <f>IFERROR(VLOOKUP(C475,'[1]TB-Jun-24'!A:F,6,FALSE),0)</f>
        <v>0</v>
      </c>
      <c r="O475" s="35">
        <f>IFERROR(VLOOKUP(C475,'[1]TB-Jun-24'!I:N,6,FALSE),0)</f>
        <v>0</v>
      </c>
      <c r="Q475" s="35" t="s">
        <v>120</v>
      </c>
    </row>
    <row r="476" hidden="1" spans="2:17">
      <c r="B476" s="35">
        <f t="shared" si="16"/>
        <v>444</v>
      </c>
      <c r="C476" s="43" t="s">
        <v>1359</v>
      </c>
      <c r="D476" s="43" t="s">
        <v>939</v>
      </c>
      <c r="E476" s="44" t="s">
        <v>1075</v>
      </c>
      <c r="F476" s="44" t="s">
        <v>33</v>
      </c>
      <c r="G476" s="44" t="s">
        <v>502</v>
      </c>
      <c r="H476" s="44" t="s">
        <v>120</v>
      </c>
      <c r="I476" s="44" t="s">
        <v>309</v>
      </c>
      <c r="J476" s="44"/>
      <c r="K476" s="56">
        <f>SUMIF('TB-Jan-25'!$A$12:$A$167,'Working-Jan-25'!C476,'TB-Jan-25'!$E$12:$E$167)</f>
        <v>0</v>
      </c>
      <c r="L476" s="56">
        <f>SUMIF('TB-Jan-25'!I:I,C476,'TB-Jan-25'!M:M)</f>
        <v>0</v>
      </c>
      <c r="M476" s="56">
        <f t="shared" si="15"/>
        <v>0</v>
      </c>
      <c r="N476" s="57">
        <f>IFERROR(VLOOKUP(C476,'[1]TB-Jun-24'!A:F,6,FALSE),0)</f>
        <v>0</v>
      </c>
      <c r="O476" s="35">
        <f>IFERROR(VLOOKUP(C476,'[1]TB-Jun-24'!I:N,6,FALSE),0)</f>
        <v>0</v>
      </c>
      <c r="Q476" s="35" t="s">
        <v>120</v>
      </c>
    </row>
    <row r="477" hidden="1" spans="2:17">
      <c r="B477" s="35">
        <f t="shared" si="16"/>
        <v>445</v>
      </c>
      <c r="C477" s="43" t="s">
        <v>1360</v>
      </c>
      <c r="D477" s="43" t="s">
        <v>939</v>
      </c>
      <c r="E477" s="44" t="s">
        <v>977</v>
      </c>
      <c r="F477" s="44" t="s">
        <v>33</v>
      </c>
      <c r="G477" s="44" t="s">
        <v>483</v>
      </c>
      <c r="H477" s="44" t="s">
        <v>33</v>
      </c>
      <c r="I477" s="44" t="s">
        <v>309</v>
      </c>
      <c r="J477" s="44"/>
      <c r="K477" s="56">
        <f>SUMIF('TB-Jan-25'!$A$12:$A$167,'Working-Jan-25'!C477,'TB-Jan-25'!$E$12:$E$167)</f>
        <v>0</v>
      </c>
      <c r="L477" s="56">
        <f>SUMIF('TB-Jan-25'!I:I,C477,'TB-Jan-25'!M:M)</f>
        <v>0</v>
      </c>
      <c r="M477" s="56">
        <f t="shared" si="15"/>
        <v>0</v>
      </c>
      <c r="N477" s="57">
        <f>IFERROR(VLOOKUP(C477,'[1]TB-Jun-24'!A:F,6,FALSE),0)</f>
        <v>0</v>
      </c>
      <c r="O477" s="35">
        <f>IFERROR(VLOOKUP(C477,'[1]TB-Jun-24'!I:N,6,FALSE),0)</f>
        <v>0</v>
      </c>
      <c r="Q477" s="35" t="s">
        <v>33</v>
      </c>
    </row>
    <row r="478" spans="2:17">
      <c r="B478" s="35">
        <f t="shared" si="16"/>
        <v>446</v>
      </c>
      <c r="C478" s="43" t="s">
        <v>1361</v>
      </c>
      <c r="D478" s="46" t="s">
        <v>935</v>
      </c>
      <c r="E478" s="47" t="s">
        <v>1065</v>
      </c>
      <c r="F478" s="47" t="s">
        <v>33</v>
      </c>
      <c r="G478" s="44" t="s">
        <v>515</v>
      </c>
      <c r="H478" s="44" t="s">
        <v>120</v>
      </c>
      <c r="I478" s="44" t="s">
        <v>309</v>
      </c>
      <c r="J478" s="44"/>
      <c r="K478" s="56">
        <f>SUMIF('TB-Jan-25'!$A$12:$A$167,'Working-Jan-25'!C478,'TB-Jan-25'!$E$12:$E$167)</f>
        <v>0</v>
      </c>
      <c r="L478" s="56">
        <f>SUMIF('TB-Jan-25'!I:I,C478,'TB-Jan-25'!M:M)</f>
        <v>0</v>
      </c>
      <c r="M478" s="56">
        <f t="shared" si="15"/>
        <v>0</v>
      </c>
      <c r="N478" s="57">
        <f>IFERROR(VLOOKUP(C478,'[1]TB-Jun-24'!A:F,6,FALSE),0)</f>
        <v>0</v>
      </c>
      <c r="O478" s="35">
        <f>IFERROR(VLOOKUP(C478,'[1]TB-Jun-24'!I:N,6,FALSE),0)</f>
        <v>0</v>
      </c>
      <c r="Q478" s="35" t="s">
        <v>120</v>
      </c>
    </row>
    <row r="479" hidden="1" spans="2:17">
      <c r="B479" s="35">
        <f t="shared" si="16"/>
        <v>447</v>
      </c>
      <c r="C479" s="43" t="s">
        <v>1362</v>
      </c>
      <c r="D479" s="43" t="s">
        <v>935</v>
      </c>
      <c r="E479" s="44" t="s">
        <v>586</v>
      </c>
      <c r="F479" s="44" t="s">
        <v>33</v>
      </c>
      <c r="G479" s="44" t="s">
        <v>600</v>
      </c>
      <c r="H479" s="44" t="s">
        <v>120</v>
      </c>
      <c r="I479" s="44" t="s">
        <v>309</v>
      </c>
      <c r="J479" s="44"/>
      <c r="K479" s="56">
        <f>SUMIF('TB-Jan-25'!$A$12:$A$167,'Working-Jan-25'!C479,'TB-Jan-25'!$E$12:$E$167)</f>
        <v>0</v>
      </c>
      <c r="L479" s="56">
        <f>SUMIF('TB-Jan-25'!I:I,C479,'TB-Jan-25'!M:M)</f>
        <v>0</v>
      </c>
      <c r="M479" s="56">
        <f t="shared" si="15"/>
        <v>0</v>
      </c>
      <c r="N479" s="57">
        <f>IFERROR(VLOOKUP(C479,'[1]TB-Jun-24'!A:F,6,FALSE),0)</f>
        <v>0</v>
      </c>
      <c r="O479" s="35">
        <f>IFERROR(VLOOKUP(C479,'[1]TB-Jun-24'!I:N,6,FALSE),0)</f>
        <v>0</v>
      </c>
      <c r="Q479" s="35" t="s">
        <v>120</v>
      </c>
    </row>
    <row r="480" spans="2:17">
      <c r="B480" s="35">
        <f t="shared" si="16"/>
        <v>448</v>
      </c>
      <c r="C480" s="43" t="s">
        <v>1363</v>
      </c>
      <c r="D480" s="46" t="s">
        <v>939</v>
      </c>
      <c r="E480" s="47" t="s">
        <v>1105</v>
      </c>
      <c r="F480" s="47" t="s">
        <v>33</v>
      </c>
      <c r="G480" s="44" t="s">
        <v>515</v>
      </c>
      <c r="H480" s="44" t="s">
        <v>120</v>
      </c>
      <c r="I480" s="44" t="s">
        <v>309</v>
      </c>
      <c r="J480" s="44"/>
      <c r="K480" s="56">
        <f>SUMIF('TB-Jan-25'!$A$12:$A$167,'Working-Jan-25'!C480,'TB-Jan-25'!$E$12:$E$167)</f>
        <v>0</v>
      </c>
      <c r="L480" s="56">
        <f>SUMIF('TB-Jan-25'!I:I,C480,'TB-Jan-25'!M:M)</f>
        <v>0</v>
      </c>
      <c r="M480" s="56">
        <f t="shared" si="15"/>
        <v>0</v>
      </c>
      <c r="N480" s="57">
        <f>IFERROR(VLOOKUP(C480,'[1]TB-Jun-24'!A:F,6,FALSE),0)</f>
        <v>0</v>
      </c>
      <c r="O480" s="35">
        <f>IFERROR(VLOOKUP(C480,'[1]TB-Jun-24'!I:N,6,FALSE),0)</f>
        <v>0</v>
      </c>
      <c r="Q480" s="35" t="s">
        <v>120</v>
      </c>
    </row>
    <row r="481" spans="2:17">
      <c r="B481" s="35">
        <f t="shared" si="16"/>
        <v>449</v>
      </c>
      <c r="C481" s="43" t="s">
        <v>1364</v>
      </c>
      <c r="D481" s="46" t="s">
        <v>935</v>
      </c>
      <c r="E481" s="47" t="s">
        <v>1065</v>
      </c>
      <c r="F481" s="47" t="s">
        <v>33</v>
      </c>
      <c r="G481" s="44" t="s">
        <v>515</v>
      </c>
      <c r="H481" s="44" t="s">
        <v>120</v>
      </c>
      <c r="I481" s="44" t="s">
        <v>309</v>
      </c>
      <c r="J481" s="44"/>
      <c r="K481" s="56">
        <f>SUMIF('TB-Jan-25'!$A$12:$A$167,'Working-Jan-25'!C481,'TB-Jan-25'!$E$12:$E$167)</f>
        <v>0</v>
      </c>
      <c r="L481" s="56">
        <f>SUMIF('TB-Jan-25'!I:I,C481,'TB-Jan-25'!M:M)</f>
        <v>0</v>
      </c>
      <c r="M481" s="56">
        <f t="shared" si="15"/>
        <v>0</v>
      </c>
      <c r="N481" s="57">
        <f>IFERROR(VLOOKUP(C481,'[1]TB-Jun-24'!A:F,6,FALSE),0)</f>
        <v>0</v>
      </c>
      <c r="O481" s="35">
        <f>IFERROR(VLOOKUP(C481,'[1]TB-Jun-24'!I:N,6,FALSE),0)</f>
        <v>0</v>
      </c>
      <c r="Q481" s="35" t="s">
        <v>120</v>
      </c>
    </row>
    <row r="482" spans="2:17">
      <c r="B482" s="35">
        <f t="shared" si="16"/>
        <v>450</v>
      </c>
      <c r="C482" s="43" t="s">
        <v>849</v>
      </c>
      <c r="D482" s="46" t="s">
        <v>935</v>
      </c>
      <c r="E482" s="47" t="s">
        <v>1215</v>
      </c>
      <c r="F482" s="47" t="s">
        <v>33</v>
      </c>
      <c r="G482" s="44" t="s">
        <v>515</v>
      </c>
      <c r="H482" s="44" t="s">
        <v>120</v>
      </c>
      <c r="I482" s="44" t="s">
        <v>309</v>
      </c>
      <c r="J482" s="44"/>
      <c r="K482" s="56">
        <f>SUMIF('TB-Jan-25'!$A$12:$A$167,'Working-Jan-25'!C482,'TB-Jan-25'!$E$12:$E$167)</f>
        <v>0</v>
      </c>
      <c r="L482" s="56">
        <f>SUMIF('TB-Jan-25'!I:I,C482,'TB-Jan-25'!M:M)</f>
        <v>5000</v>
      </c>
      <c r="M482" s="56">
        <f t="shared" si="15"/>
        <v>5000</v>
      </c>
      <c r="N482" s="57" t="e">
        <f>SUMIF([6]Final!$B:$B,C482,[6]Final!$F:$F)-M482</f>
        <v>#VALUE!</v>
      </c>
      <c r="O482" s="35">
        <f>IFERROR(VLOOKUP(C482,'[1]TB-Jun-24'!I:N,6,FALSE),0)</f>
        <v>5000</v>
      </c>
      <c r="Q482" s="35" t="s">
        <v>120</v>
      </c>
    </row>
    <row r="483" spans="2:17">
      <c r="B483" s="35">
        <f t="shared" si="16"/>
        <v>451</v>
      </c>
      <c r="C483" s="43" t="s">
        <v>1365</v>
      </c>
      <c r="D483" s="46" t="s">
        <v>935</v>
      </c>
      <c r="E483" s="47" t="s">
        <v>1215</v>
      </c>
      <c r="F483" s="47" t="s">
        <v>33</v>
      </c>
      <c r="G483" s="44" t="s">
        <v>515</v>
      </c>
      <c r="H483" s="44" t="s">
        <v>120</v>
      </c>
      <c r="I483" s="44" t="s">
        <v>309</v>
      </c>
      <c r="J483" s="44"/>
      <c r="K483" s="56">
        <f>SUMIF('TB-Jan-25'!$A$12:$A$167,'Working-Jan-25'!C483,'TB-Jan-25'!$E$12:$E$167)</f>
        <v>0</v>
      </c>
      <c r="L483" s="56">
        <f>SUMIF('TB-Jan-25'!I:I,C483,'TB-Jan-25'!M:M)</f>
        <v>0</v>
      </c>
      <c r="M483" s="56">
        <f t="shared" si="15"/>
        <v>0</v>
      </c>
      <c r="N483" s="57">
        <f>IFERROR(VLOOKUP(C483,'[1]TB-Jun-24'!A:F,6,FALSE),0)</f>
        <v>0</v>
      </c>
      <c r="O483" s="35">
        <f>IFERROR(VLOOKUP(C483,'[1]TB-Jun-24'!I:N,6,FALSE),0)</f>
        <v>0</v>
      </c>
      <c r="Q483" s="35" t="s">
        <v>120</v>
      </c>
    </row>
    <row r="484" spans="2:17">
      <c r="B484" s="35">
        <f t="shared" si="16"/>
        <v>452</v>
      </c>
      <c r="C484" s="43" t="s">
        <v>851</v>
      </c>
      <c r="D484" s="46" t="s">
        <v>935</v>
      </c>
      <c r="E484" s="47" t="s">
        <v>1215</v>
      </c>
      <c r="F484" s="47" t="s">
        <v>33</v>
      </c>
      <c r="G484" s="44" t="s">
        <v>515</v>
      </c>
      <c r="H484" s="44" t="s">
        <v>120</v>
      </c>
      <c r="I484" s="44" t="s">
        <v>309</v>
      </c>
      <c r="J484" s="44"/>
      <c r="K484" s="56">
        <f>SUMIF('TB-Jan-25'!$A$12:$A$167,'Working-Jan-25'!C484,'TB-Jan-25'!$E$12:$E$167)</f>
        <v>0</v>
      </c>
      <c r="L484" s="56">
        <f>SUMIF('TB-Jan-25'!I:I,C484,'TB-Jan-25'!M:M)</f>
        <v>5000</v>
      </c>
      <c r="M484" s="56">
        <f t="shared" si="15"/>
        <v>5000</v>
      </c>
      <c r="N484" s="57" t="e">
        <f>SUMIF([6]Final!$B:$B,C484,[6]Final!$F:$F)-M484</f>
        <v>#VALUE!</v>
      </c>
      <c r="O484" s="35">
        <f>IFERROR(VLOOKUP(C484,'[1]TB-Jun-24'!I:N,6,FALSE),0)</f>
        <v>5000</v>
      </c>
      <c r="Q484" s="35" t="s">
        <v>120</v>
      </c>
    </row>
    <row r="485" spans="2:17">
      <c r="B485" s="35">
        <f t="shared" si="16"/>
        <v>453</v>
      </c>
      <c r="C485" s="43" t="s">
        <v>853</v>
      </c>
      <c r="D485" s="46" t="s">
        <v>935</v>
      </c>
      <c r="E485" s="47" t="s">
        <v>1215</v>
      </c>
      <c r="F485" s="47" t="s">
        <v>33</v>
      </c>
      <c r="G485" s="44" t="s">
        <v>515</v>
      </c>
      <c r="H485" s="44" t="s">
        <v>120</v>
      </c>
      <c r="I485" s="44" t="s">
        <v>309</v>
      </c>
      <c r="J485" s="44"/>
      <c r="K485" s="56">
        <f>SUMIF('TB-Jan-25'!$A$12:$A$167,'Working-Jan-25'!C485,'TB-Jan-25'!$E$12:$E$167)</f>
        <v>0</v>
      </c>
      <c r="L485" s="56">
        <f>SUMIF('TB-Jan-25'!I:I,C485,'TB-Jan-25'!M:M)</f>
        <v>5000</v>
      </c>
      <c r="M485" s="56">
        <f t="shared" ref="M485:M517" si="17">K485+L485</f>
        <v>5000</v>
      </c>
      <c r="N485" s="57" t="e">
        <f>SUMIF([6]Final!$B:$B,C485,[6]Final!$F:$F)-M485</f>
        <v>#VALUE!</v>
      </c>
      <c r="O485" s="35">
        <f>IFERROR(VLOOKUP(C485,'[1]TB-Jun-24'!I:N,6,FALSE),0)</f>
        <v>5000</v>
      </c>
      <c r="Q485" s="35" t="s">
        <v>120</v>
      </c>
    </row>
    <row r="486" spans="2:17">
      <c r="B486" s="35">
        <f t="shared" si="16"/>
        <v>454</v>
      </c>
      <c r="C486" s="43" t="s">
        <v>855</v>
      </c>
      <c r="D486" s="46" t="s">
        <v>935</v>
      </c>
      <c r="E486" s="47" t="s">
        <v>1215</v>
      </c>
      <c r="F486" s="47" t="s">
        <v>33</v>
      </c>
      <c r="G486" s="44" t="s">
        <v>515</v>
      </c>
      <c r="H486" s="44" t="s">
        <v>120</v>
      </c>
      <c r="I486" s="44" t="s">
        <v>309</v>
      </c>
      <c r="J486" s="44"/>
      <c r="K486" s="56">
        <f>SUMIF('TB-Jan-25'!$A$12:$A$167,'Working-Jan-25'!C486,'TB-Jan-25'!$E$12:$E$167)</f>
        <v>0</v>
      </c>
      <c r="L486" s="56">
        <f>SUMIF('TB-Jan-25'!I:I,C486,'TB-Jan-25'!M:M)</f>
        <v>5000</v>
      </c>
      <c r="M486" s="56">
        <f t="shared" si="17"/>
        <v>5000</v>
      </c>
      <c r="N486" s="57" t="e">
        <f>SUMIF([6]Final!$B:$B,C486,[6]Final!$F:$F)-M486</f>
        <v>#VALUE!</v>
      </c>
      <c r="O486" s="35">
        <f>IFERROR(VLOOKUP(C486,'[1]TB-Jun-24'!I:N,6,FALSE),0)</f>
        <v>5000</v>
      </c>
      <c r="Q486" s="35" t="s">
        <v>120</v>
      </c>
    </row>
    <row r="487" spans="2:17">
      <c r="B487" s="35">
        <f t="shared" si="16"/>
        <v>455</v>
      </c>
      <c r="C487" s="43" t="s">
        <v>856</v>
      </c>
      <c r="D487" s="46" t="s">
        <v>935</v>
      </c>
      <c r="E487" s="47" t="s">
        <v>1215</v>
      </c>
      <c r="F487" s="47" t="s">
        <v>33</v>
      </c>
      <c r="G487" s="44" t="s">
        <v>515</v>
      </c>
      <c r="H487" s="44" t="s">
        <v>120</v>
      </c>
      <c r="I487" s="44" t="s">
        <v>309</v>
      </c>
      <c r="J487" s="44"/>
      <c r="K487" s="56">
        <f>SUMIF('TB-Jan-25'!$A$12:$A$167,'Working-Jan-25'!C487,'TB-Jan-25'!$E$12:$E$167)</f>
        <v>0</v>
      </c>
      <c r="L487" s="56">
        <f>SUMIF('TB-Jan-25'!I:I,C487,'TB-Jan-25'!M:M)</f>
        <v>5000</v>
      </c>
      <c r="M487" s="56">
        <f t="shared" si="17"/>
        <v>5000</v>
      </c>
      <c r="N487" s="57" t="e">
        <f>SUMIF([6]Final!$B:$B,C487,[6]Final!$F:$F)-M487</f>
        <v>#VALUE!</v>
      </c>
      <c r="O487" s="35">
        <f>IFERROR(VLOOKUP(C487,'[1]TB-Jun-24'!I:N,6,FALSE),0)</f>
        <v>5000</v>
      </c>
      <c r="Q487" s="35" t="s">
        <v>120</v>
      </c>
    </row>
    <row r="488" spans="2:17">
      <c r="B488" s="35">
        <f t="shared" si="16"/>
        <v>456</v>
      </c>
      <c r="C488" s="43" t="s">
        <v>857</v>
      </c>
      <c r="D488" s="46" t="s">
        <v>935</v>
      </c>
      <c r="E488" s="47" t="s">
        <v>1215</v>
      </c>
      <c r="F488" s="47" t="s">
        <v>33</v>
      </c>
      <c r="G488" s="44" t="s">
        <v>515</v>
      </c>
      <c r="H488" s="44" t="s">
        <v>120</v>
      </c>
      <c r="I488" s="44" t="s">
        <v>309</v>
      </c>
      <c r="J488" s="44"/>
      <c r="K488" s="56">
        <f>SUMIF('TB-Jan-25'!$A$12:$A$167,'Working-Jan-25'!C488,'TB-Jan-25'!$E$12:$E$167)</f>
        <v>0</v>
      </c>
      <c r="L488" s="56">
        <f>SUMIF('TB-Jan-25'!I:I,C488,'TB-Jan-25'!M:M)</f>
        <v>5000</v>
      </c>
      <c r="M488" s="56">
        <f t="shared" si="17"/>
        <v>5000</v>
      </c>
      <c r="N488" s="57" t="e">
        <f>SUMIF([6]Final!$B:$B,C488,[6]Final!$F:$F)-M488</f>
        <v>#VALUE!</v>
      </c>
      <c r="O488" s="35">
        <f>IFERROR(VLOOKUP(C488,'[1]TB-Jun-24'!I:N,6,FALSE),0)</f>
        <v>5000</v>
      </c>
      <c r="Q488" s="35" t="s">
        <v>120</v>
      </c>
    </row>
    <row r="489" spans="2:17">
      <c r="B489" s="35">
        <f t="shared" si="16"/>
        <v>457</v>
      </c>
      <c r="C489" s="43" t="s">
        <v>858</v>
      </c>
      <c r="D489" s="46" t="s">
        <v>935</v>
      </c>
      <c r="E489" s="47" t="s">
        <v>1215</v>
      </c>
      <c r="F489" s="47" t="s">
        <v>33</v>
      </c>
      <c r="G489" s="44" t="s">
        <v>515</v>
      </c>
      <c r="H489" s="44" t="s">
        <v>120</v>
      </c>
      <c r="I489" s="44" t="s">
        <v>309</v>
      </c>
      <c r="J489" s="44"/>
      <c r="K489" s="56">
        <f>SUMIF('TB-Jan-25'!$A$12:$A$167,'Working-Jan-25'!C489,'TB-Jan-25'!$E$12:$E$167)</f>
        <v>0</v>
      </c>
      <c r="L489" s="56">
        <f>SUMIF('TB-Jan-25'!I:I,C489,'TB-Jan-25'!M:M)</f>
        <v>5000</v>
      </c>
      <c r="M489" s="56">
        <f t="shared" si="17"/>
        <v>5000</v>
      </c>
      <c r="N489" s="57" t="e">
        <f>SUMIF([6]Final!$B:$B,C489,[6]Final!$F:$F)-M489</f>
        <v>#VALUE!</v>
      </c>
      <c r="O489" s="35">
        <f>IFERROR(VLOOKUP(C489,'[1]TB-Jun-24'!I:N,6,FALSE),0)</f>
        <v>5000</v>
      </c>
      <c r="Q489" s="35" t="s">
        <v>120</v>
      </c>
    </row>
    <row r="490" spans="2:17">
      <c r="B490" s="35">
        <f t="shared" si="16"/>
        <v>458</v>
      </c>
      <c r="C490" s="43" t="s">
        <v>859</v>
      </c>
      <c r="D490" s="46" t="s">
        <v>935</v>
      </c>
      <c r="E490" s="47" t="s">
        <v>1215</v>
      </c>
      <c r="F490" s="47" t="s">
        <v>33</v>
      </c>
      <c r="G490" s="44" t="s">
        <v>515</v>
      </c>
      <c r="H490" s="44" t="s">
        <v>120</v>
      </c>
      <c r="I490" s="44" t="s">
        <v>309</v>
      </c>
      <c r="J490" s="44"/>
      <c r="K490" s="56">
        <f>SUMIF('TB-Jan-25'!$A$12:$A$167,'Working-Jan-25'!C490,'TB-Jan-25'!$E$12:$E$167)</f>
        <v>0</v>
      </c>
      <c r="L490" s="56">
        <f>SUMIF('TB-Jan-25'!I:I,C490,'TB-Jan-25'!M:M)</f>
        <v>5000</v>
      </c>
      <c r="M490" s="56">
        <f t="shared" si="17"/>
        <v>5000</v>
      </c>
      <c r="N490" s="57" t="e">
        <f>SUMIF([6]Final!$B:$B,C490,[6]Final!$F:$F)-M490</f>
        <v>#VALUE!</v>
      </c>
      <c r="O490" s="35">
        <f>IFERROR(VLOOKUP(C490,'[1]TB-Jun-24'!I:N,6,FALSE),0)</f>
        <v>5000</v>
      </c>
      <c r="Q490" s="35" t="s">
        <v>120</v>
      </c>
    </row>
    <row r="491" spans="2:17">
      <c r="B491" s="35">
        <f t="shared" si="16"/>
        <v>459</v>
      </c>
      <c r="C491" s="43" t="s">
        <v>860</v>
      </c>
      <c r="D491" s="46" t="s">
        <v>935</v>
      </c>
      <c r="E491" s="47" t="s">
        <v>1215</v>
      </c>
      <c r="F491" s="47" t="s">
        <v>33</v>
      </c>
      <c r="G491" s="44" t="s">
        <v>515</v>
      </c>
      <c r="H491" s="44" t="s">
        <v>120</v>
      </c>
      <c r="I491" s="44" t="s">
        <v>309</v>
      </c>
      <c r="J491" s="44"/>
      <c r="K491" s="56">
        <f>SUMIF('TB-Jan-25'!$A$12:$A$167,'Working-Jan-25'!C491,'TB-Jan-25'!$E$12:$E$167)</f>
        <v>0</v>
      </c>
      <c r="L491" s="56">
        <f>SUMIF('TB-Jan-25'!I:I,C491,'TB-Jan-25'!M:M)</f>
        <v>2000</v>
      </c>
      <c r="M491" s="56">
        <f t="shared" si="17"/>
        <v>2000</v>
      </c>
      <c r="N491" s="57" t="e">
        <f>SUMIF([6]Final!$B:$B,C491,[6]Final!$F:$F)-M491</f>
        <v>#VALUE!</v>
      </c>
      <c r="O491" s="35">
        <f>IFERROR(VLOOKUP(C491,'[1]TB-Jun-24'!I:N,6,FALSE),0)</f>
        <v>2000</v>
      </c>
      <c r="Q491" s="35" t="s">
        <v>120</v>
      </c>
    </row>
    <row r="492" spans="2:17">
      <c r="B492" s="35">
        <f t="shared" si="16"/>
        <v>460</v>
      </c>
      <c r="C492" s="43" t="s">
        <v>861</v>
      </c>
      <c r="D492" s="46" t="s">
        <v>935</v>
      </c>
      <c r="E492" s="47" t="s">
        <v>1215</v>
      </c>
      <c r="F492" s="47" t="s">
        <v>33</v>
      </c>
      <c r="G492" s="44" t="s">
        <v>515</v>
      </c>
      <c r="H492" s="44" t="s">
        <v>120</v>
      </c>
      <c r="I492" s="44" t="s">
        <v>309</v>
      </c>
      <c r="J492" s="44"/>
      <c r="K492" s="56">
        <f>SUMIF('TB-Jan-25'!$A$12:$A$167,'Working-Jan-25'!C492,'TB-Jan-25'!$E$12:$E$167)</f>
        <v>0</v>
      </c>
      <c r="L492" s="56">
        <f>SUMIF('TB-Jan-25'!I:I,C492,'TB-Jan-25'!M:M)</f>
        <v>5000</v>
      </c>
      <c r="M492" s="56">
        <f t="shared" si="17"/>
        <v>5000</v>
      </c>
      <c r="N492" s="57" t="e">
        <f>SUMIF([6]Final!$B:$B,C492,[6]Final!$F:$F)-M492</f>
        <v>#VALUE!</v>
      </c>
      <c r="O492" s="35">
        <f>IFERROR(VLOOKUP(C492,'[1]TB-Jun-24'!I:N,6,FALSE),0)</f>
        <v>5000</v>
      </c>
      <c r="Q492" s="35" t="s">
        <v>120</v>
      </c>
    </row>
    <row r="493" spans="2:17">
      <c r="B493" s="35">
        <f t="shared" si="16"/>
        <v>461</v>
      </c>
      <c r="C493" s="43" t="s">
        <v>865</v>
      </c>
      <c r="D493" s="46" t="s">
        <v>935</v>
      </c>
      <c r="E493" s="47" t="s">
        <v>1009</v>
      </c>
      <c r="F493" s="47" t="s">
        <v>33</v>
      </c>
      <c r="G493" s="44" t="s">
        <v>515</v>
      </c>
      <c r="H493" s="44" t="s">
        <v>120</v>
      </c>
      <c r="I493" s="44" t="s">
        <v>309</v>
      </c>
      <c r="J493" s="44"/>
      <c r="K493" s="56">
        <f>SUMIF('TB-Jan-25'!$A$12:$A$167,'Working-Jan-25'!C493,'TB-Jan-25'!$E$12:$E$167)</f>
        <v>0</v>
      </c>
      <c r="L493" s="56">
        <f>SUMIF('TB-Jan-25'!I:I,C493,'TB-Jan-25'!M:M)</f>
        <v>2000</v>
      </c>
      <c r="M493" s="56">
        <f t="shared" si="17"/>
        <v>2000</v>
      </c>
      <c r="N493" s="57" t="e">
        <f>SUMIF([6]Final!$B:$B,C493,[6]Final!$F:$F)-M493</f>
        <v>#VALUE!</v>
      </c>
      <c r="O493" s="35">
        <f>IFERROR(VLOOKUP(C493,'[1]TB-Jun-24'!I:N,6,FALSE),0)</f>
        <v>2000</v>
      </c>
      <c r="Q493" s="35" t="s">
        <v>120</v>
      </c>
    </row>
    <row r="494" spans="2:17">
      <c r="B494" s="35">
        <f t="shared" si="16"/>
        <v>462</v>
      </c>
      <c r="C494" s="43" t="s">
        <v>877</v>
      </c>
      <c r="D494" s="46" t="s">
        <v>935</v>
      </c>
      <c r="E494" s="47" t="s">
        <v>1009</v>
      </c>
      <c r="F494" s="47" t="s">
        <v>33</v>
      </c>
      <c r="G494" s="44" t="s">
        <v>515</v>
      </c>
      <c r="H494" s="44" t="s">
        <v>120</v>
      </c>
      <c r="I494" s="44" t="s">
        <v>309</v>
      </c>
      <c r="J494" s="44"/>
      <c r="K494" s="56">
        <f>SUMIF('TB-Jan-25'!$A$12:$A$167,'Working-Jan-25'!C494,'TB-Jan-25'!$E$12:$E$167)</f>
        <v>0</v>
      </c>
      <c r="L494" s="56">
        <f>SUMIF('TB-Jan-25'!I:I,C494,'TB-Jan-25'!M:M)</f>
        <v>2000</v>
      </c>
      <c r="M494" s="56">
        <f t="shared" si="17"/>
        <v>2000</v>
      </c>
      <c r="N494" s="57" t="e">
        <f>SUMIF([6]Final!$B:$B,C494,[6]Final!$F:$F)-M494</f>
        <v>#VALUE!</v>
      </c>
      <c r="O494" s="35">
        <f>IFERROR(VLOOKUP(C494,'[1]TB-Jun-24'!I:N,6,FALSE),0)</f>
        <v>2000</v>
      </c>
      <c r="Q494" s="35" t="s">
        <v>120</v>
      </c>
    </row>
    <row r="495" spans="2:17">
      <c r="B495" s="35">
        <f t="shared" si="16"/>
        <v>463</v>
      </c>
      <c r="C495" s="43" t="s">
        <v>863</v>
      </c>
      <c r="D495" s="46" t="s">
        <v>935</v>
      </c>
      <c r="E495" s="47" t="s">
        <v>1009</v>
      </c>
      <c r="F495" s="47" t="s">
        <v>33</v>
      </c>
      <c r="G495" s="44" t="s">
        <v>515</v>
      </c>
      <c r="H495" s="44" t="s">
        <v>120</v>
      </c>
      <c r="I495" s="44" t="s">
        <v>309</v>
      </c>
      <c r="J495" s="44"/>
      <c r="K495" s="56">
        <f>SUMIF('TB-Jan-25'!$A$12:$A$167,'Working-Jan-25'!C495,'TB-Jan-25'!$E$12:$E$167)</f>
        <v>0</v>
      </c>
      <c r="L495" s="56">
        <f>SUMIF('TB-Jan-25'!I:I,C495,'TB-Jan-25'!M:M)</f>
        <v>3000</v>
      </c>
      <c r="M495" s="56">
        <f t="shared" si="17"/>
        <v>3000</v>
      </c>
      <c r="N495" s="57" t="e">
        <f>SUMIF([6]Final!$B:$B,C495,[6]Final!$F:$F)-M495</f>
        <v>#VALUE!</v>
      </c>
      <c r="O495" s="35">
        <f>IFERROR(VLOOKUP(C495,'[1]TB-Jun-24'!I:N,6,FALSE),0)</f>
        <v>3000</v>
      </c>
      <c r="Q495" s="35" t="s">
        <v>120</v>
      </c>
    </row>
    <row r="496" spans="2:17">
      <c r="B496" s="35">
        <f t="shared" si="16"/>
        <v>464</v>
      </c>
      <c r="C496" s="43" t="s">
        <v>842</v>
      </c>
      <c r="D496" s="46" t="s">
        <v>935</v>
      </c>
      <c r="E496" s="47" t="s">
        <v>1009</v>
      </c>
      <c r="F496" s="47" t="s">
        <v>33</v>
      </c>
      <c r="G496" s="44" t="s">
        <v>515</v>
      </c>
      <c r="H496" s="44" t="s">
        <v>120</v>
      </c>
      <c r="I496" s="44" t="s">
        <v>309</v>
      </c>
      <c r="J496" s="44"/>
      <c r="K496" s="56">
        <f>SUMIF('TB-Jan-25'!$A$12:$A$167,'Working-Jan-25'!C496,'TB-Jan-25'!$E$12:$E$167)</f>
        <v>0</v>
      </c>
      <c r="L496" s="56">
        <f>SUMIF('TB-Jan-25'!I:I,C496,'TB-Jan-25'!M:M)</f>
        <v>10000</v>
      </c>
      <c r="M496" s="56">
        <f t="shared" si="17"/>
        <v>10000</v>
      </c>
      <c r="N496" s="57" t="e">
        <f>SUMIF([6]Final!$B:$B,C496,[6]Final!$F:$F)-M496</f>
        <v>#VALUE!</v>
      </c>
      <c r="O496" s="35">
        <f>IFERROR(VLOOKUP(C496,'[1]TB-Jun-24'!I:N,6,FALSE),0)</f>
        <v>10000</v>
      </c>
      <c r="Q496" s="35" t="s">
        <v>120</v>
      </c>
    </row>
    <row r="497" hidden="1" spans="2:17">
      <c r="B497" s="35">
        <f t="shared" si="16"/>
        <v>465</v>
      </c>
      <c r="C497" s="43" t="s">
        <v>1366</v>
      </c>
      <c r="D497" s="43" t="s">
        <v>939</v>
      </c>
      <c r="E497" s="44" t="s">
        <v>1075</v>
      </c>
      <c r="F497" s="44" t="s">
        <v>33</v>
      </c>
      <c r="G497" s="44" t="s">
        <v>502</v>
      </c>
      <c r="H497" s="44" t="s">
        <v>120</v>
      </c>
      <c r="I497" s="44" t="s">
        <v>309</v>
      </c>
      <c r="J497" s="44"/>
      <c r="K497" s="56">
        <f>SUMIF('TB-Jan-25'!$A$12:$A$167,'Working-Jan-25'!C497,'TB-Jan-25'!$E$12:$E$167)</f>
        <v>0</v>
      </c>
      <c r="L497" s="56">
        <f>SUMIF('TB-Jan-25'!I:I,C497,'TB-Jan-25'!M:M)</f>
        <v>0</v>
      </c>
      <c r="M497" s="56">
        <f t="shared" si="17"/>
        <v>0</v>
      </c>
      <c r="N497" s="57">
        <f>IFERROR(VLOOKUP(C497,'[1]TB-Jun-24'!A:F,6,FALSE),0)</f>
        <v>0</v>
      </c>
      <c r="O497" s="35">
        <f>IFERROR(VLOOKUP(C497,'[1]TB-Jun-24'!I:N,6,FALSE),0)</f>
        <v>0</v>
      </c>
      <c r="Q497" s="35" t="s">
        <v>120</v>
      </c>
    </row>
    <row r="498" hidden="1" spans="2:17">
      <c r="B498" s="35">
        <f t="shared" si="16"/>
        <v>466</v>
      </c>
      <c r="C498" s="43" t="s">
        <v>1367</v>
      </c>
      <c r="D498" s="43" t="s">
        <v>939</v>
      </c>
      <c r="E498" s="44" t="s">
        <v>1075</v>
      </c>
      <c r="F498" s="44" t="s">
        <v>33</v>
      </c>
      <c r="G498" s="44" t="s">
        <v>502</v>
      </c>
      <c r="H498" s="44" t="s">
        <v>120</v>
      </c>
      <c r="I498" s="44" t="s">
        <v>309</v>
      </c>
      <c r="J498" s="44"/>
      <c r="K498" s="56">
        <f>SUMIF('TB-Jan-25'!$A$12:$A$167,'Working-Jan-25'!C498,'TB-Jan-25'!$E$12:$E$167)</f>
        <v>0</v>
      </c>
      <c r="L498" s="56">
        <f>SUMIF('TB-Jan-25'!I:I,C498,'TB-Jan-25'!M:M)</f>
        <v>0</v>
      </c>
      <c r="M498" s="56">
        <f t="shared" si="17"/>
        <v>0</v>
      </c>
      <c r="N498" s="57">
        <f>IFERROR(VLOOKUP(C498,'[1]TB-Jun-24'!A:F,6,FALSE),0)</f>
        <v>0</v>
      </c>
      <c r="O498" s="35">
        <f>IFERROR(VLOOKUP(C498,'[1]TB-Jun-24'!I:N,6,FALSE),0)</f>
        <v>0</v>
      </c>
      <c r="Q498" s="35" t="s">
        <v>120</v>
      </c>
    </row>
    <row r="499" hidden="1" spans="2:17">
      <c r="B499" s="35">
        <f t="shared" si="16"/>
        <v>467</v>
      </c>
      <c r="C499" s="43" t="s">
        <v>1368</v>
      </c>
      <c r="D499" s="43" t="s">
        <v>939</v>
      </c>
      <c r="E499" s="44" t="s">
        <v>1075</v>
      </c>
      <c r="F499" s="44" t="s">
        <v>33</v>
      </c>
      <c r="G499" s="44" t="s">
        <v>502</v>
      </c>
      <c r="H499" s="44" t="s">
        <v>120</v>
      </c>
      <c r="I499" s="44" t="s">
        <v>309</v>
      </c>
      <c r="J499" s="44"/>
      <c r="K499" s="56">
        <f>SUMIF('TB-Jan-25'!$A$12:$A$167,'Working-Jan-25'!C499,'TB-Jan-25'!$E$12:$E$167)</f>
        <v>0</v>
      </c>
      <c r="L499" s="56">
        <f>SUMIF('TB-Jan-25'!I:I,C499,'TB-Jan-25'!M:M)</f>
        <v>0</v>
      </c>
      <c r="M499" s="56">
        <f t="shared" si="17"/>
        <v>0</v>
      </c>
      <c r="N499" s="57">
        <f>IFERROR(VLOOKUP(C499,'[1]TB-Jun-24'!A:F,6,FALSE),0)</f>
        <v>0</v>
      </c>
      <c r="O499" s="35">
        <f>IFERROR(VLOOKUP(C499,'[1]TB-Jun-24'!I:N,6,FALSE),0)</f>
        <v>0</v>
      </c>
      <c r="Q499" s="35" t="s">
        <v>120</v>
      </c>
    </row>
    <row r="500" hidden="1" spans="2:17">
      <c r="B500" s="35">
        <f t="shared" si="16"/>
        <v>468</v>
      </c>
      <c r="C500" s="43" t="s">
        <v>1369</v>
      </c>
      <c r="D500" s="43" t="s">
        <v>939</v>
      </c>
      <c r="E500" s="44" t="s">
        <v>1252</v>
      </c>
      <c r="F500" s="44" t="s">
        <v>33</v>
      </c>
      <c r="G500" s="44" t="s">
        <v>600</v>
      </c>
      <c r="H500" s="44" t="s">
        <v>120</v>
      </c>
      <c r="I500" s="44" t="s">
        <v>309</v>
      </c>
      <c r="J500" s="44"/>
      <c r="K500" s="56">
        <f>SUMIF('TB-Jan-25'!$A$12:$A$167,'Working-Jan-25'!C500,'TB-Jan-25'!$E$12:$E$167)</f>
        <v>0</v>
      </c>
      <c r="L500" s="56">
        <f>SUMIF('TB-Jan-25'!I:I,C500,'TB-Jan-25'!M:M)</f>
        <v>0</v>
      </c>
      <c r="M500" s="56">
        <f t="shared" si="17"/>
        <v>0</v>
      </c>
      <c r="N500" s="57">
        <f>IFERROR(VLOOKUP(C500,'[1]TB-Jun-24'!A:F,6,FALSE),0)</f>
        <v>0</v>
      </c>
      <c r="O500" s="35">
        <f>IFERROR(VLOOKUP(C500,'[1]TB-Jun-24'!I:N,6,FALSE),0)</f>
        <v>0</v>
      </c>
      <c r="Q500" s="35" t="s">
        <v>120</v>
      </c>
    </row>
    <row r="501" hidden="1" spans="2:17">
      <c r="B501" s="35">
        <f t="shared" si="16"/>
        <v>469</v>
      </c>
      <c r="C501" s="43" t="s">
        <v>1370</v>
      </c>
      <c r="D501" s="43" t="s">
        <v>935</v>
      </c>
      <c r="E501" s="44" t="s">
        <v>1286</v>
      </c>
      <c r="F501" s="44" t="s">
        <v>33</v>
      </c>
      <c r="G501" s="44" t="s">
        <v>1287</v>
      </c>
      <c r="H501" s="44" t="s">
        <v>1287</v>
      </c>
      <c r="I501" s="44" t="s">
        <v>309</v>
      </c>
      <c r="J501" s="44"/>
      <c r="K501" s="56">
        <f>SUMIF('TB-Jan-25'!$A$12:$A$167,'Working-Jan-25'!C501,'TB-Jan-25'!$E$12:$E$167)</f>
        <v>0</v>
      </c>
      <c r="L501" s="56">
        <f>SUMIF('TB-Jan-25'!I:I,C501,'TB-Jan-25'!M:M)</f>
        <v>0</v>
      </c>
      <c r="M501" s="56">
        <f t="shared" si="17"/>
        <v>0</v>
      </c>
      <c r="N501" s="57">
        <f>IFERROR(VLOOKUP(C501,'[1]TB-Jun-24'!A:F,6,FALSE),0)</f>
        <v>0</v>
      </c>
      <c r="O501" s="35">
        <f>IFERROR(VLOOKUP(C501,'[1]TB-Jun-24'!I:N,6,FALSE),0)</f>
        <v>0</v>
      </c>
      <c r="Q501" s="35" t="s">
        <v>1287</v>
      </c>
    </row>
    <row r="502" hidden="1" spans="2:17">
      <c r="B502" s="35">
        <f t="shared" si="16"/>
        <v>470</v>
      </c>
      <c r="C502" s="43" t="s">
        <v>1371</v>
      </c>
      <c r="D502" s="43" t="s">
        <v>939</v>
      </c>
      <c r="E502" s="44" t="s">
        <v>1252</v>
      </c>
      <c r="F502" s="44" t="s">
        <v>33</v>
      </c>
      <c r="G502" s="44" t="s">
        <v>497</v>
      </c>
      <c r="H502" s="44" t="s">
        <v>33</v>
      </c>
      <c r="I502" s="44" t="s">
        <v>309</v>
      </c>
      <c r="J502" s="44"/>
      <c r="K502" s="56">
        <f>SUMIF('TB-Jan-25'!$A$12:$A$167,'Working-Jan-25'!C502,'TB-Jan-25'!$E$12:$E$167)</f>
        <v>0</v>
      </c>
      <c r="L502" s="56">
        <f>SUMIF('TB-Jan-25'!I:I,C502,'TB-Jan-25'!M:M)</f>
        <v>0</v>
      </c>
      <c r="M502" s="56">
        <f t="shared" si="17"/>
        <v>0</v>
      </c>
      <c r="N502" s="57">
        <f>IFERROR(VLOOKUP(C502,'[1]TB-Jun-24'!A:F,6,FALSE),0)</f>
        <v>0</v>
      </c>
      <c r="O502" s="35">
        <f>IFERROR(VLOOKUP(C502,'[1]TB-Jun-24'!I:N,6,FALSE),0)</f>
        <v>0</v>
      </c>
      <c r="Q502" s="35" t="s">
        <v>33</v>
      </c>
    </row>
    <row r="503" hidden="1" spans="2:17">
      <c r="B503" s="35">
        <f t="shared" si="16"/>
        <v>471</v>
      </c>
      <c r="C503" s="43" t="s">
        <v>557</v>
      </c>
      <c r="D503" s="43" t="s">
        <v>939</v>
      </c>
      <c r="E503" s="44" t="s">
        <v>1252</v>
      </c>
      <c r="F503" s="44" t="s">
        <v>33</v>
      </c>
      <c r="G503" s="61" t="s">
        <v>481</v>
      </c>
      <c r="H503" s="44" t="s">
        <v>33</v>
      </c>
      <c r="I503" s="44" t="s">
        <v>309</v>
      </c>
      <c r="J503" s="44"/>
      <c r="K503" s="56">
        <f>SUMIF('TB-Jan-25'!$A$12:$A$167,'Working-Jan-25'!C503,'TB-Jan-25'!$E$12:$E$167)</f>
        <v>0</v>
      </c>
      <c r="L503" s="56">
        <f>SUMIF('TB-Jan-25'!I:I,C503,'TB-Jan-25'!M:M)</f>
        <v>750</v>
      </c>
      <c r="M503" s="56">
        <f t="shared" si="17"/>
        <v>750</v>
      </c>
      <c r="N503" s="57" t="e">
        <f>SUMIF([6]Final!$B:$B,C503,[6]Final!$F:$F)-M503</f>
        <v>#VALUE!</v>
      </c>
      <c r="O503" s="35">
        <f>IFERROR(VLOOKUP(C503,'[1]TB-Jun-24'!I:N,6,FALSE),0)</f>
        <v>560</v>
      </c>
      <c r="Q503" s="35" t="s">
        <v>33</v>
      </c>
    </row>
    <row r="504" hidden="1" spans="2:17">
      <c r="B504" s="35">
        <f t="shared" si="16"/>
        <v>472</v>
      </c>
      <c r="C504" s="43" t="s">
        <v>1372</v>
      </c>
      <c r="D504" s="43" t="s">
        <v>935</v>
      </c>
      <c r="E504" s="44" t="s">
        <v>942</v>
      </c>
      <c r="F504" s="44" t="s">
        <v>33</v>
      </c>
      <c r="G504" s="44" t="s">
        <v>493</v>
      </c>
      <c r="H504" s="44" t="s">
        <v>120</v>
      </c>
      <c r="I504" s="44" t="s">
        <v>309</v>
      </c>
      <c r="J504" s="44"/>
      <c r="K504" s="56">
        <f>SUMIF('TB-Jan-25'!$A$12:$A$167,'Working-Jan-25'!C504,'TB-Jan-25'!$E$12:$E$167)</f>
        <v>0</v>
      </c>
      <c r="L504" s="56">
        <f>SUMIF('TB-Jan-25'!I:I,C504,'TB-Jan-25'!M:M)</f>
        <v>0</v>
      </c>
      <c r="M504" s="56">
        <f t="shared" si="17"/>
        <v>0</v>
      </c>
      <c r="N504" s="57">
        <f>IFERROR(VLOOKUP(C504,'[1]TB-Jun-24'!A:F,6,FALSE),0)</f>
        <v>0</v>
      </c>
      <c r="O504" s="35">
        <f>IFERROR(VLOOKUP(C504,'[1]TB-Jun-24'!I:N,6,FALSE),0)</f>
        <v>0</v>
      </c>
      <c r="Q504" s="35" t="s">
        <v>493</v>
      </c>
    </row>
    <row r="505" hidden="1" spans="2:14">
      <c r="B505" s="35">
        <f t="shared" si="16"/>
        <v>473</v>
      </c>
      <c r="C505" s="43" t="s">
        <v>901</v>
      </c>
      <c r="D505" s="43" t="s">
        <v>935</v>
      </c>
      <c r="E505" s="44" t="s">
        <v>571</v>
      </c>
      <c r="F505" s="44" t="s">
        <v>33</v>
      </c>
      <c r="G505" s="44" t="s">
        <v>571</v>
      </c>
      <c r="H505" s="44" t="s">
        <v>33</v>
      </c>
      <c r="I505" s="44" t="s">
        <v>309</v>
      </c>
      <c r="J505" s="44"/>
      <c r="K505" s="56">
        <f>SUMIF('TB-Jan-25'!$A$12:$A$167,'Working-Jan-25'!C505,'TB-Jan-25'!$E$12:$E$167)</f>
        <v>0</v>
      </c>
      <c r="L505" s="56">
        <f>SUMIF('TB-Jan-25'!I:I,C505,'TB-Jan-25'!M:M)</f>
        <v>799.58</v>
      </c>
      <c r="M505" s="56">
        <f t="shared" si="17"/>
        <v>799.58</v>
      </c>
      <c r="N505" s="57" t="e">
        <f>SUMIF([6]Final!$B:$B,C505,[6]Final!$F:$F)-M505</f>
        <v>#VALUE!</v>
      </c>
    </row>
    <row r="506" hidden="1" spans="2:14">
      <c r="B506" s="35">
        <f t="shared" si="16"/>
        <v>474</v>
      </c>
      <c r="C506" s="43" t="s">
        <v>904</v>
      </c>
      <c r="D506" s="43" t="s">
        <v>935</v>
      </c>
      <c r="E506" s="44" t="s">
        <v>571</v>
      </c>
      <c r="F506" s="44" t="s">
        <v>33</v>
      </c>
      <c r="G506" s="44" t="s">
        <v>571</v>
      </c>
      <c r="H506" s="44" t="s">
        <v>33</v>
      </c>
      <c r="I506" s="44" t="s">
        <v>309</v>
      </c>
      <c r="J506" s="44"/>
      <c r="K506" s="56">
        <f>SUMIF('TB-Jan-25'!$A$12:$A$167,'Working-Jan-25'!C506,'TB-Jan-25'!$E$12:$E$167)</f>
        <v>0</v>
      </c>
      <c r="L506" s="56">
        <f>SUMIF('TB-Jan-25'!I:I,C506,'TB-Jan-25'!M:M)</f>
        <v>11</v>
      </c>
      <c r="M506" s="56">
        <f t="shared" si="17"/>
        <v>11</v>
      </c>
      <c r="N506" s="57" t="e">
        <f>SUMIF([6]Final!$B:$B,C506,[6]Final!$F:$F)-M506</f>
        <v>#VALUE!</v>
      </c>
    </row>
    <row r="507" hidden="1" spans="2:14">
      <c r="B507" s="35">
        <f t="shared" si="16"/>
        <v>475</v>
      </c>
      <c r="C507" s="43" t="s">
        <v>906</v>
      </c>
      <c r="D507" s="43" t="s">
        <v>935</v>
      </c>
      <c r="E507" s="44" t="s">
        <v>571</v>
      </c>
      <c r="F507" s="44" t="s">
        <v>33</v>
      </c>
      <c r="G507" s="44" t="s">
        <v>571</v>
      </c>
      <c r="H507" s="44" t="s">
        <v>33</v>
      </c>
      <c r="I507" s="44" t="s">
        <v>309</v>
      </c>
      <c r="J507" s="44"/>
      <c r="K507" s="56">
        <f>SUMIF('TB-Jan-25'!$A$12:$A$167,'Working-Jan-25'!C507,'TB-Jan-25'!$E$12:$E$167)</f>
        <v>0</v>
      </c>
      <c r="L507" s="56">
        <f>SUMIF('TB-Jan-25'!I:I,C507,'TB-Jan-25'!M:M)</f>
        <v>214</v>
      </c>
      <c r="M507" s="56">
        <f t="shared" si="17"/>
        <v>214</v>
      </c>
      <c r="N507" s="57" t="e">
        <f>SUMIF([6]Final!$B:$B,C507,[6]Final!$F:$F)-M507</f>
        <v>#VALUE!</v>
      </c>
    </row>
    <row r="508" hidden="1" spans="2:17">
      <c r="B508" s="35">
        <f t="shared" si="16"/>
        <v>476</v>
      </c>
      <c r="C508" s="43" t="s">
        <v>903</v>
      </c>
      <c r="D508" s="43" t="s">
        <v>935</v>
      </c>
      <c r="E508" s="44" t="s">
        <v>571</v>
      </c>
      <c r="F508" s="44" t="s">
        <v>33</v>
      </c>
      <c r="G508" s="44" t="s">
        <v>571</v>
      </c>
      <c r="H508" s="44" t="s">
        <v>33</v>
      </c>
      <c r="I508" s="44" t="s">
        <v>309</v>
      </c>
      <c r="J508" s="44"/>
      <c r="K508" s="56">
        <f>SUMIF('TB-Jan-25'!$A$12:$A$167,'Working-Jan-25'!C508,'TB-Jan-25'!$E$12:$E$167)</f>
        <v>0</v>
      </c>
      <c r="L508" s="56">
        <f>SUMIF('TB-Jan-25'!I:I,C508,'TB-Jan-25'!M:M)</f>
        <v>14240</v>
      </c>
      <c r="M508" s="56">
        <f t="shared" si="17"/>
        <v>14240</v>
      </c>
      <c r="N508" s="57" t="e">
        <f>SUMIF([6]Final!$B:$B,C508,[6]Final!$F:$F)-M508</f>
        <v>#VALUE!</v>
      </c>
      <c r="O508" s="35">
        <f>IFERROR(VLOOKUP(C508,'[1]TB-Jun-24'!I:N,6,FALSE),0)</f>
        <v>29992</v>
      </c>
      <c r="Q508" s="35" t="s">
        <v>33</v>
      </c>
    </row>
    <row r="509" hidden="1" spans="2:17">
      <c r="B509" s="35">
        <f t="shared" si="16"/>
        <v>477</v>
      </c>
      <c r="C509" s="43" t="s">
        <v>1373</v>
      </c>
      <c r="D509" s="43" t="s">
        <v>935</v>
      </c>
      <c r="E509" s="44" t="s">
        <v>942</v>
      </c>
      <c r="F509" s="44" t="s">
        <v>33</v>
      </c>
      <c r="G509" s="44" t="s">
        <v>493</v>
      </c>
      <c r="H509" s="44" t="s">
        <v>120</v>
      </c>
      <c r="I509" s="44" t="s">
        <v>309</v>
      </c>
      <c r="J509" s="44"/>
      <c r="K509" s="56">
        <f>SUMIF('TB-Jan-25'!$A$12:$A$167,'Working-Jan-25'!C509,'TB-Jan-25'!$E$12:$E$167)</f>
        <v>0</v>
      </c>
      <c r="L509" s="56">
        <f>SUMIF('TB-Jan-25'!I:I,C509,'TB-Jan-25'!M:M)</f>
        <v>0</v>
      </c>
      <c r="M509" s="56">
        <f t="shared" si="17"/>
        <v>0</v>
      </c>
      <c r="N509" s="57">
        <f>IFERROR(VLOOKUP(C509,'[1]TB-Jun-24'!A:F,6,FALSE),0)</f>
        <v>0</v>
      </c>
      <c r="O509" s="35">
        <f>IFERROR(VLOOKUP(C509,'[1]TB-Jun-24'!I:N,6,FALSE),0)</f>
        <v>0</v>
      </c>
      <c r="Q509" s="35" t="s">
        <v>493</v>
      </c>
    </row>
    <row r="510" hidden="1" spans="2:17">
      <c r="B510" s="35">
        <f t="shared" si="16"/>
        <v>478</v>
      </c>
      <c r="C510" s="43" t="s">
        <v>1374</v>
      </c>
      <c r="D510" s="43" t="s">
        <v>935</v>
      </c>
      <c r="E510" s="44" t="s">
        <v>1279</v>
      </c>
      <c r="F510" s="44" t="s">
        <v>33</v>
      </c>
      <c r="G510" s="44" t="s">
        <v>564</v>
      </c>
      <c r="H510" s="44" t="s">
        <v>33</v>
      </c>
      <c r="I510" s="44" t="s">
        <v>309</v>
      </c>
      <c r="J510" s="44"/>
      <c r="K510" s="56">
        <f>SUMIF('TB-Jan-25'!$A$12:$A$167,'Working-Jan-25'!C510,'TB-Jan-25'!$E$12:$E$167)</f>
        <v>0</v>
      </c>
      <c r="L510" s="56">
        <f>SUMIF('TB-Jan-25'!I:I,C510,'TB-Jan-25'!M:M)</f>
        <v>0</v>
      </c>
      <c r="M510" s="56">
        <f t="shared" si="17"/>
        <v>0</v>
      </c>
      <c r="N510" s="57">
        <f>IFERROR(VLOOKUP(C510,'[1]TB-Jun-24'!A:F,6,FALSE),0)</f>
        <v>0</v>
      </c>
      <c r="O510" s="35">
        <f>IFERROR(VLOOKUP(C510,'[1]TB-Jun-24'!I:N,6,FALSE),0)</f>
        <v>0</v>
      </c>
      <c r="Q510" s="35" t="s">
        <v>33</v>
      </c>
    </row>
    <row r="511" hidden="1" spans="2:17">
      <c r="B511" s="35">
        <f t="shared" si="16"/>
        <v>479</v>
      </c>
      <c r="C511" s="43" t="s">
        <v>1375</v>
      </c>
      <c r="D511" s="43" t="s">
        <v>939</v>
      </c>
      <c r="E511" s="44" t="s">
        <v>1280</v>
      </c>
      <c r="F511" s="44" t="s">
        <v>33</v>
      </c>
      <c r="G511" s="44" t="s">
        <v>1376</v>
      </c>
      <c r="H511" s="44" t="s">
        <v>33</v>
      </c>
      <c r="I511" s="44" t="s">
        <v>309</v>
      </c>
      <c r="J511" s="44"/>
      <c r="K511" s="56">
        <f>SUMIF('TB-Jan-25'!$A$12:$A$167,'Working-Jan-25'!C511,'TB-Jan-25'!$E$12:$E$167)</f>
        <v>0</v>
      </c>
      <c r="L511" s="56">
        <f>SUMIF('TB-Jan-25'!I:I,C511,'TB-Jan-25'!M:M)</f>
        <v>0</v>
      </c>
      <c r="M511" s="56">
        <f t="shared" si="17"/>
        <v>0</v>
      </c>
      <c r="N511" s="57">
        <f>IFERROR(VLOOKUP(C511,'[1]TB-Jun-24'!A:F,6,FALSE),0)</f>
        <v>0</v>
      </c>
      <c r="O511" s="35">
        <f>IFERROR(VLOOKUP(C511,'[1]TB-Jun-24'!I:N,6,FALSE),0)</f>
        <v>0</v>
      </c>
      <c r="Q511" s="35" t="s">
        <v>33</v>
      </c>
    </row>
    <row r="512" hidden="1" spans="2:17">
      <c r="B512" s="35">
        <f t="shared" si="16"/>
        <v>480</v>
      </c>
      <c r="C512" s="43" t="s">
        <v>1377</v>
      </c>
      <c r="D512" s="43" t="s">
        <v>935</v>
      </c>
      <c r="E512" s="44" t="s">
        <v>1284</v>
      </c>
      <c r="F512" s="44" t="s">
        <v>33</v>
      </c>
      <c r="G512" s="44" t="s">
        <v>487</v>
      </c>
      <c r="H512" s="44" t="s">
        <v>33</v>
      </c>
      <c r="I512" s="44" t="s">
        <v>309</v>
      </c>
      <c r="J512" s="44"/>
      <c r="K512" s="56">
        <f>SUMIF('TB-Jan-25'!$A$12:$A$167,'Working-Jan-25'!C512,'TB-Jan-25'!$E$12:$E$167)</f>
        <v>0</v>
      </c>
      <c r="L512" s="56">
        <f>SUMIF('TB-Jan-25'!I:I,C512,'TB-Jan-25'!M:M)</f>
        <v>0</v>
      </c>
      <c r="M512" s="56">
        <f t="shared" si="17"/>
        <v>0</v>
      </c>
      <c r="N512" s="57">
        <f>IFERROR(VLOOKUP(C512,'[1]TB-Jun-24'!A:F,6,FALSE),0)</f>
        <v>0</v>
      </c>
      <c r="O512" s="35">
        <f>IFERROR(VLOOKUP(C512,'[1]TB-Jun-24'!I:N,6,FALSE),0)</f>
        <v>0</v>
      </c>
      <c r="Q512" s="35" t="s">
        <v>33</v>
      </c>
    </row>
    <row r="513" hidden="1" spans="2:17">
      <c r="B513" s="35">
        <f t="shared" si="16"/>
        <v>481</v>
      </c>
      <c r="C513" s="43" t="s">
        <v>1378</v>
      </c>
      <c r="D513" s="43" t="s">
        <v>935</v>
      </c>
      <c r="E513" s="44" t="s">
        <v>989</v>
      </c>
      <c r="F513" s="44" t="s">
        <v>33</v>
      </c>
      <c r="G513" s="44" t="s">
        <v>499</v>
      </c>
      <c r="H513" s="44" t="s">
        <v>33</v>
      </c>
      <c r="I513" s="44" t="s">
        <v>309</v>
      </c>
      <c r="J513" s="44"/>
      <c r="K513" s="56">
        <f>SUMIF('TB-Jan-25'!$A$12:$A$167,'Working-Jan-25'!C513,'TB-Jan-25'!$E$12:$E$167)</f>
        <v>0</v>
      </c>
      <c r="L513" s="56">
        <f>SUMIF('TB-Jan-25'!I:I,C513,'TB-Jan-25'!M:M)</f>
        <v>0</v>
      </c>
      <c r="M513" s="56">
        <f t="shared" si="17"/>
        <v>0</v>
      </c>
      <c r="N513" s="57">
        <f>IFERROR(VLOOKUP(C513,'[1]TB-Jun-24'!A:F,6,FALSE),0)</f>
        <v>0</v>
      </c>
      <c r="O513" s="35">
        <f>IFERROR(VLOOKUP(C513,'[1]TB-Jun-24'!I:N,6,FALSE),0)</f>
        <v>0</v>
      </c>
      <c r="Q513" s="35" t="s">
        <v>33</v>
      </c>
    </row>
    <row r="514" spans="2:17">
      <c r="B514" s="35">
        <f t="shared" si="16"/>
        <v>482</v>
      </c>
      <c r="C514" s="43" t="s">
        <v>1379</v>
      </c>
      <c r="D514" s="46" t="s">
        <v>939</v>
      </c>
      <c r="E514" s="47" t="s">
        <v>1380</v>
      </c>
      <c r="F514" s="47" t="s">
        <v>33</v>
      </c>
      <c r="G514" s="44" t="s">
        <v>515</v>
      </c>
      <c r="H514" s="44" t="s">
        <v>120</v>
      </c>
      <c r="I514" s="44" t="s">
        <v>309</v>
      </c>
      <c r="J514" s="44"/>
      <c r="K514" s="56">
        <f>SUMIF('TB-Jan-25'!$A$12:$A$167,'Working-Jan-25'!C514,'TB-Jan-25'!$E$12:$E$167)</f>
        <v>0</v>
      </c>
      <c r="L514" s="56">
        <f>SUMIF('TB-Jan-25'!I:I,C514,'TB-Jan-25'!M:M)</f>
        <v>0</v>
      </c>
      <c r="M514" s="56">
        <f t="shared" si="17"/>
        <v>0</v>
      </c>
      <c r="N514" s="57">
        <f>IFERROR(VLOOKUP(C514,'[1]TB-Jun-24'!A:F,6,FALSE),0)</f>
        <v>0</v>
      </c>
      <c r="O514" s="35">
        <f>IFERROR(VLOOKUP(C514,'[1]TB-Jun-24'!I:N,6,FALSE),0)</f>
        <v>0</v>
      </c>
      <c r="Q514" s="35" t="s">
        <v>120</v>
      </c>
    </row>
    <row r="515" spans="2:17">
      <c r="B515" s="35">
        <f t="shared" si="16"/>
        <v>483</v>
      </c>
      <c r="C515" s="43" t="s">
        <v>1381</v>
      </c>
      <c r="D515" s="46" t="s">
        <v>939</v>
      </c>
      <c r="E515" s="47" t="s">
        <v>1382</v>
      </c>
      <c r="F515" s="47" t="s">
        <v>33</v>
      </c>
      <c r="G515" s="44" t="s">
        <v>515</v>
      </c>
      <c r="H515" s="44" t="s">
        <v>120</v>
      </c>
      <c r="I515" s="44" t="s">
        <v>309</v>
      </c>
      <c r="J515" s="44"/>
      <c r="K515" s="56">
        <f>SUMIF('TB-Jan-25'!$A$12:$A$167,'Working-Jan-25'!C515,'TB-Jan-25'!$E$12:$E$167)</f>
        <v>0</v>
      </c>
      <c r="L515" s="56">
        <f>SUMIF('TB-Jan-25'!I:I,C515,'TB-Jan-25'!M:M)</f>
        <v>0</v>
      </c>
      <c r="M515" s="56">
        <f t="shared" si="17"/>
        <v>0</v>
      </c>
      <c r="N515" s="57">
        <f>IFERROR(VLOOKUP(C515,'[1]TB-Jun-24'!A:F,6,FALSE),0)</f>
        <v>0</v>
      </c>
      <c r="O515" s="35">
        <f>IFERROR(VLOOKUP(C515,'[1]TB-Jun-24'!I:N,6,FALSE),0)</f>
        <v>0</v>
      </c>
      <c r="Q515" s="35" t="s">
        <v>120</v>
      </c>
    </row>
    <row r="516" hidden="1" spans="2:17">
      <c r="B516" s="35">
        <f t="shared" si="16"/>
        <v>484</v>
      </c>
      <c r="C516" s="43" t="s">
        <v>1235</v>
      </c>
      <c r="D516" s="43" t="s">
        <v>935</v>
      </c>
      <c r="E516" s="44" t="s">
        <v>1235</v>
      </c>
      <c r="F516" s="44" t="s">
        <v>33</v>
      </c>
      <c r="G516" s="44" t="s">
        <v>1235</v>
      </c>
      <c r="H516" s="44" t="s">
        <v>33</v>
      </c>
      <c r="I516" s="44" t="s">
        <v>309</v>
      </c>
      <c r="J516" s="44"/>
      <c r="K516" s="56">
        <f>SUMIF('TB-Jan-25'!$A$12:$A$167,'Working-Jan-25'!C516,'TB-Jan-25'!$E$12:$E$167)</f>
        <v>0</v>
      </c>
      <c r="L516" s="56">
        <f>SUMIF('TB-Jan-25'!I:I,C516,'TB-Jan-25'!M:M)</f>
        <v>0</v>
      </c>
      <c r="M516" s="56">
        <f t="shared" si="17"/>
        <v>0</v>
      </c>
      <c r="N516" s="57">
        <f>IFERROR(VLOOKUP(C516,'[1]TB-Jun-24'!A:F,6,FALSE),0)</f>
        <v>0</v>
      </c>
      <c r="O516" s="35">
        <f>IFERROR(VLOOKUP(C516,'[1]TB-Jun-24'!I:N,6,FALSE),0)</f>
        <v>0</v>
      </c>
      <c r="Q516" s="35" t="s">
        <v>33</v>
      </c>
    </row>
    <row r="517" hidden="1" spans="2:17">
      <c r="B517" s="35">
        <f t="shared" si="16"/>
        <v>485</v>
      </c>
      <c r="C517" s="43" t="s">
        <v>1383</v>
      </c>
      <c r="D517" s="43" t="s">
        <v>935</v>
      </c>
      <c r="E517" s="44" t="s">
        <v>989</v>
      </c>
      <c r="F517" s="44" t="s">
        <v>33</v>
      </c>
      <c r="G517" s="44" t="s">
        <v>499</v>
      </c>
      <c r="H517" s="44" t="s">
        <v>33</v>
      </c>
      <c r="I517" s="44" t="s">
        <v>309</v>
      </c>
      <c r="J517" s="44"/>
      <c r="K517" s="56">
        <f>SUMIF('TB-Jan-25'!$A$12:$A$167,'Working-Jan-25'!C517,'TB-Jan-25'!$E$12:$E$167)</f>
        <v>0</v>
      </c>
      <c r="L517" s="56">
        <f>SUMIF('TB-Jan-25'!I:I,C517,'TB-Jan-25'!M:M)</f>
        <v>0</v>
      </c>
      <c r="M517" s="56">
        <f t="shared" si="17"/>
        <v>0</v>
      </c>
      <c r="N517" s="57">
        <f>IFERROR(VLOOKUP(C517,'[1]TB-Jun-24'!A:F,6,FALSE),0)</f>
        <v>0</v>
      </c>
      <c r="O517" s="35">
        <f>IFERROR(VLOOKUP(C517,'[1]TB-Jun-24'!I:N,6,FALSE),0)</f>
        <v>0</v>
      </c>
      <c r="Q517" s="35" t="s">
        <v>33</v>
      </c>
    </row>
    <row r="518" hidden="1" spans="2:14">
      <c r="B518" s="35">
        <f t="shared" si="16"/>
        <v>486</v>
      </c>
      <c r="C518" s="43"/>
      <c r="D518" s="43"/>
      <c r="E518" s="44"/>
      <c r="F518" s="44"/>
      <c r="G518" s="44"/>
      <c r="H518" s="44"/>
      <c r="I518" s="44"/>
      <c r="J518" s="44"/>
      <c r="K518" s="56"/>
      <c r="L518" s="56"/>
      <c r="M518" s="56"/>
      <c r="N518" s="57"/>
    </row>
    <row r="519" hidden="1" spans="2:14">
      <c r="B519" s="35">
        <f t="shared" si="16"/>
        <v>487</v>
      </c>
      <c r="C519" s="58" t="s">
        <v>1014</v>
      </c>
      <c r="D519" s="58"/>
      <c r="E519" s="59"/>
      <c r="F519" s="59"/>
      <c r="G519" s="59"/>
      <c r="H519" s="59"/>
      <c r="I519" s="59"/>
      <c r="J519" s="59"/>
      <c r="K519" s="60">
        <f>SUM(K128:K517)</f>
        <v>9605148.06</v>
      </c>
      <c r="L519" s="60">
        <f>SUM(L128:L517)</f>
        <v>8437154.97</v>
      </c>
      <c r="M519" s="60">
        <f>SUM(M128:M517)</f>
        <v>18042303.03</v>
      </c>
      <c r="N519" s="57"/>
    </row>
    <row r="520" hidden="1" spans="2:14">
      <c r="B520" s="35">
        <f t="shared" si="16"/>
        <v>488</v>
      </c>
      <c r="C520" s="43"/>
      <c r="D520" s="43"/>
      <c r="E520" s="44"/>
      <c r="F520" s="44"/>
      <c r="G520" s="44"/>
      <c r="H520" s="44"/>
      <c r="I520" s="44"/>
      <c r="J520" s="44"/>
      <c r="K520" s="56"/>
      <c r="L520" s="56"/>
      <c r="M520" s="56"/>
      <c r="N520" s="57"/>
    </row>
    <row r="521" hidden="1" spans="2:17">
      <c r="B521" s="35">
        <f t="shared" si="16"/>
        <v>489</v>
      </c>
      <c r="C521" s="43" t="s">
        <v>722</v>
      </c>
      <c r="D521" s="43" t="s">
        <v>42</v>
      </c>
      <c r="E521" s="44" t="s">
        <v>42</v>
      </c>
      <c r="F521" s="44" t="s">
        <v>42</v>
      </c>
      <c r="G521" s="44" t="s">
        <v>42</v>
      </c>
      <c r="H521" s="44" t="s">
        <v>42</v>
      </c>
      <c r="I521" s="44"/>
      <c r="J521" s="44"/>
      <c r="K521" s="56">
        <f>SUMIF('TB-Jan-25'!$A$12:$A$167,'Working-Jan-25'!C521,'TB-Jan-25'!$E$12:$E$167)</f>
        <v>194161</v>
      </c>
      <c r="L521" s="56">
        <f>SUMIF('TB-Jan-25'!I:I,C521,'TB-Jan-25'!M:M)</f>
        <v>0</v>
      </c>
      <c r="M521" s="56">
        <f t="shared" ref="M521:M586" si="18">K521+L521</f>
        <v>194161</v>
      </c>
      <c r="N521" s="57" t="e">
        <f>SUMIF([6]Final!$B:$B,C521,[6]Final!$F:$F)-M521</f>
        <v>#VALUE!</v>
      </c>
      <c r="O521" s="35">
        <f>IFERROR(VLOOKUP(C521,'[1]TB-Jun-24'!I:N,6,FALSE),0)</f>
        <v>0</v>
      </c>
      <c r="Q521" s="35" t="s">
        <v>42</v>
      </c>
    </row>
    <row r="522" hidden="1" spans="2:17">
      <c r="B522" s="35">
        <f t="shared" si="16"/>
        <v>490</v>
      </c>
      <c r="C522" s="43" t="s">
        <v>1384</v>
      </c>
      <c r="D522" s="43" t="s">
        <v>42</v>
      </c>
      <c r="E522" s="44" t="s">
        <v>42</v>
      </c>
      <c r="F522" s="44" t="s">
        <v>42</v>
      </c>
      <c r="G522" s="44" t="s">
        <v>42</v>
      </c>
      <c r="H522" s="44" t="s">
        <v>42</v>
      </c>
      <c r="I522" s="44"/>
      <c r="J522" s="44"/>
      <c r="K522" s="56">
        <f>SUMIF('TB-Jan-25'!$A$12:$A$167,'Working-Jan-25'!C522,'TB-Jan-25'!$E$12:$E$167)</f>
        <v>0</v>
      </c>
      <c r="L522" s="56">
        <f>SUMIF('TB-Jan-25'!I:I,C522,'TB-Jan-25'!M:M)</f>
        <v>0</v>
      </c>
      <c r="M522" s="56">
        <f t="shared" si="18"/>
        <v>0</v>
      </c>
      <c r="N522" s="57">
        <f>IFERROR(VLOOKUP(C522,'[1]TB-Jun-24'!A:F,6,FALSE),0)</f>
        <v>0</v>
      </c>
      <c r="O522" s="35">
        <f>IFERROR(VLOOKUP(C522,'[1]TB-Jun-24'!I:N,6,FALSE),0)</f>
        <v>0</v>
      </c>
      <c r="Q522" s="35" t="s">
        <v>42</v>
      </c>
    </row>
    <row r="523" hidden="1" spans="2:17">
      <c r="B523" s="35">
        <f t="shared" si="16"/>
        <v>491</v>
      </c>
      <c r="C523" s="43" t="s">
        <v>740</v>
      </c>
      <c r="D523" s="43" t="s">
        <v>42</v>
      </c>
      <c r="E523" s="44" t="s">
        <v>42</v>
      </c>
      <c r="F523" s="44" t="s">
        <v>42</v>
      </c>
      <c r="G523" s="44" t="s">
        <v>42</v>
      </c>
      <c r="H523" s="44" t="s">
        <v>42</v>
      </c>
      <c r="I523" s="44"/>
      <c r="J523" s="44"/>
      <c r="K523" s="56">
        <f>SUMIF('TB-Jan-25'!$A$12:$A$167,'Working-Jan-25'!C523,'TB-Jan-25'!$E$12:$E$167)</f>
        <v>28037.12</v>
      </c>
      <c r="L523" s="56">
        <f>SUMIF('TB-Jan-25'!I:I,C523,'TB-Jan-25'!M:M)</f>
        <v>0</v>
      </c>
      <c r="M523" s="56">
        <f t="shared" si="18"/>
        <v>28037.12</v>
      </c>
      <c r="N523" s="57" t="e">
        <f>SUMIF([6]Final!$B:$B,C523,[6]Final!$F:$F)-M523</f>
        <v>#VALUE!</v>
      </c>
      <c r="O523" s="35">
        <f>IFERROR(VLOOKUP(C523,'[1]TB-Jun-24'!I:N,6,FALSE),0)</f>
        <v>0</v>
      </c>
      <c r="Q523" s="35" t="s">
        <v>42</v>
      </c>
    </row>
    <row r="524" hidden="1" spans="2:17">
      <c r="B524" s="35">
        <f t="shared" si="16"/>
        <v>492</v>
      </c>
      <c r="C524" s="43" t="s">
        <v>1385</v>
      </c>
      <c r="D524" s="43" t="s">
        <v>42</v>
      </c>
      <c r="E524" s="44" t="s">
        <v>42</v>
      </c>
      <c r="F524" s="44" t="s">
        <v>42</v>
      </c>
      <c r="G524" s="44" t="s">
        <v>42</v>
      </c>
      <c r="H524" s="44" t="s">
        <v>42</v>
      </c>
      <c r="I524" s="44"/>
      <c r="J524" s="44"/>
      <c r="K524" s="56">
        <f>SUMIF('TB-Jan-25'!$A$12:$A$167,'Working-Jan-25'!C524,'TB-Jan-25'!$E$12:$E$167)</f>
        <v>0</v>
      </c>
      <c r="L524" s="56">
        <f>SUMIF('TB-Jan-25'!I:I,C524,'TB-Jan-25'!M:M)</f>
        <v>0</v>
      </c>
      <c r="M524" s="56">
        <f t="shared" si="18"/>
        <v>0</v>
      </c>
      <c r="N524" s="57">
        <f>IFERROR(VLOOKUP(C524,'[1]TB-Jun-24'!A:F,6,FALSE),0)</f>
        <v>0</v>
      </c>
      <c r="O524" s="35">
        <f>IFERROR(VLOOKUP(C524,'[1]TB-Jun-24'!I:N,6,FALSE),0)</f>
        <v>0</v>
      </c>
      <c r="Q524" s="35" t="s">
        <v>42</v>
      </c>
    </row>
    <row r="525" hidden="1" spans="2:17">
      <c r="B525" s="35">
        <f t="shared" si="16"/>
        <v>493</v>
      </c>
      <c r="C525" s="43" t="s">
        <v>744</v>
      </c>
      <c r="D525" s="43" t="s">
        <v>42</v>
      </c>
      <c r="E525" s="44" t="s">
        <v>42</v>
      </c>
      <c r="F525" s="44" t="s">
        <v>42</v>
      </c>
      <c r="G525" s="44" t="s">
        <v>42</v>
      </c>
      <c r="H525" s="44" t="s">
        <v>42</v>
      </c>
      <c r="I525" s="44"/>
      <c r="J525" s="44"/>
      <c r="K525" s="56">
        <f>SUMIF('TB-Jan-25'!$A$12:$A$167,'Working-Jan-25'!C525,'TB-Jan-25'!$E$12:$E$167)</f>
        <v>15583.85</v>
      </c>
      <c r="L525" s="56">
        <f>SUMIF('TB-Jan-25'!I:I,C525,'TB-Jan-25'!M:M)</f>
        <v>0</v>
      </c>
      <c r="M525" s="56">
        <f t="shared" si="18"/>
        <v>15583.85</v>
      </c>
      <c r="N525" s="57" t="e">
        <f>SUMIF([6]Final!$B:$B,C525,[6]Final!$F:$F)-M525</f>
        <v>#VALUE!</v>
      </c>
      <c r="O525" s="35">
        <f>IFERROR(VLOOKUP(C525,'[1]TB-Jun-24'!I:N,6,FALSE),0)</f>
        <v>0</v>
      </c>
      <c r="Q525" s="35" t="s">
        <v>42</v>
      </c>
    </row>
    <row r="526" hidden="1" spans="2:17">
      <c r="B526" s="35">
        <f t="shared" si="16"/>
        <v>494</v>
      </c>
      <c r="C526" s="43" t="s">
        <v>1386</v>
      </c>
      <c r="D526" s="43" t="s">
        <v>42</v>
      </c>
      <c r="E526" s="44" t="s">
        <v>42</v>
      </c>
      <c r="F526" s="44" t="s">
        <v>42</v>
      </c>
      <c r="G526" s="44" t="s">
        <v>42</v>
      </c>
      <c r="H526" s="44" t="s">
        <v>42</v>
      </c>
      <c r="I526" s="44"/>
      <c r="J526" s="44"/>
      <c r="K526" s="56">
        <f>SUMIF('TB-Jan-25'!$A$12:$A$167,'Working-Jan-25'!C526,'TB-Jan-25'!$E$12:$E$167)</f>
        <v>0</v>
      </c>
      <c r="L526" s="56">
        <f>SUMIF('TB-Jan-25'!I:I,C526,'TB-Jan-25'!M:M)</f>
        <v>0</v>
      </c>
      <c r="M526" s="56">
        <f t="shared" si="18"/>
        <v>0</v>
      </c>
      <c r="N526" s="57">
        <f>IFERROR(VLOOKUP(C526,'[1]TB-Jun-24'!A:F,6,FALSE),0)</f>
        <v>18011</v>
      </c>
      <c r="O526" s="35">
        <f>IFERROR(VLOOKUP(C526,'[1]TB-Jun-24'!I:N,6,FALSE),0)</f>
        <v>0</v>
      </c>
      <c r="Q526" s="35" t="s">
        <v>42</v>
      </c>
    </row>
    <row r="527" hidden="1" spans="2:17">
      <c r="B527" s="35">
        <f t="shared" si="16"/>
        <v>495</v>
      </c>
      <c r="C527" s="43" t="s">
        <v>1387</v>
      </c>
      <c r="D527" s="43" t="s">
        <v>42</v>
      </c>
      <c r="E527" s="44" t="s">
        <v>42</v>
      </c>
      <c r="F527" s="44" t="s">
        <v>42</v>
      </c>
      <c r="G527" s="44" t="s">
        <v>42</v>
      </c>
      <c r="H527" s="44" t="s">
        <v>42</v>
      </c>
      <c r="I527" s="44"/>
      <c r="J527" s="44"/>
      <c r="K527" s="56">
        <f>SUMIF('TB-Jan-25'!$A$12:$A$167,'Working-Jan-25'!C527,'TB-Jan-25'!$E$12:$E$167)</f>
        <v>0</v>
      </c>
      <c r="L527" s="56">
        <f>SUMIF('TB-Jan-25'!I:I,C527,'TB-Jan-25'!M:M)</f>
        <v>0</v>
      </c>
      <c r="M527" s="56">
        <f t="shared" si="18"/>
        <v>0</v>
      </c>
      <c r="N527" s="57">
        <f>IFERROR(VLOOKUP(C527,'[1]TB-Jun-24'!A:F,6,FALSE),0)</f>
        <v>15026</v>
      </c>
      <c r="O527" s="35">
        <f>IFERROR(VLOOKUP(C527,'[1]TB-Jun-24'!I:N,6,FALSE),0)</f>
        <v>0</v>
      </c>
      <c r="Q527" s="35" t="s">
        <v>42</v>
      </c>
    </row>
    <row r="528" hidden="1" spans="2:17">
      <c r="B528" s="35">
        <f t="shared" si="16"/>
        <v>496</v>
      </c>
      <c r="C528" s="43" t="s">
        <v>745</v>
      </c>
      <c r="D528" s="43" t="s">
        <v>42</v>
      </c>
      <c r="E528" s="44" t="s">
        <v>42</v>
      </c>
      <c r="F528" s="44" t="s">
        <v>42</v>
      </c>
      <c r="G528" s="44" t="s">
        <v>42</v>
      </c>
      <c r="H528" s="44" t="s">
        <v>42</v>
      </c>
      <c r="I528" s="44"/>
      <c r="J528" s="44"/>
      <c r="K528" s="56">
        <f>SUMIF('TB-Jan-25'!$A$12:$A$167,'Working-Jan-25'!C528,'TB-Jan-25'!$E$12:$E$167)</f>
        <v>218</v>
      </c>
      <c r="L528" s="56">
        <f>SUMIF('TB-Jan-25'!I:I,C528,'TB-Jan-25'!M:M)</f>
        <v>0</v>
      </c>
      <c r="M528" s="56">
        <f t="shared" si="18"/>
        <v>218</v>
      </c>
      <c r="N528" s="57" t="e">
        <f>SUMIF([6]Final!$B:$B,C528,[6]Final!$F:$F)-M528</f>
        <v>#VALUE!</v>
      </c>
      <c r="O528" s="35">
        <f>IFERROR(VLOOKUP(C528,'[1]TB-Jun-24'!I:N,6,FALSE),0)</f>
        <v>0</v>
      </c>
      <c r="Q528" s="35" t="s">
        <v>42</v>
      </c>
    </row>
    <row r="529" hidden="1" spans="2:17">
      <c r="B529" s="35">
        <f t="shared" si="16"/>
        <v>497</v>
      </c>
      <c r="C529" s="43" t="s">
        <v>746</v>
      </c>
      <c r="D529" s="43" t="s">
        <v>42</v>
      </c>
      <c r="E529" s="44" t="s">
        <v>42</v>
      </c>
      <c r="F529" s="44" t="s">
        <v>42</v>
      </c>
      <c r="G529" s="44" t="s">
        <v>42</v>
      </c>
      <c r="H529" s="44" t="s">
        <v>42</v>
      </c>
      <c r="I529" s="44"/>
      <c r="J529" s="44"/>
      <c r="K529" s="56">
        <f>SUMIF('TB-Jan-25'!$A$12:$A$167,'Working-Jan-25'!C529,'TB-Jan-25'!$E$12:$E$167)</f>
        <v>58189</v>
      </c>
      <c r="L529" s="56">
        <f>SUMIF('TB-Jan-25'!I:I,C529,'TB-Jan-25'!M:M)</f>
        <v>0</v>
      </c>
      <c r="M529" s="56">
        <f t="shared" si="18"/>
        <v>58189</v>
      </c>
      <c r="N529" s="57" t="e">
        <f>SUMIF([6]Final!$B:$B,C529,[6]Final!$F:$F)-M529</f>
        <v>#VALUE!</v>
      </c>
      <c r="O529" s="35">
        <f>IFERROR(VLOOKUP(C529,'[1]TB-Jun-24'!I:N,6,FALSE),0)</f>
        <v>0</v>
      </c>
      <c r="Q529" s="35" t="s">
        <v>42</v>
      </c>
    </row>
    <row r="530" hidden="1" spans="2:17">
      <c r="B530" s="35">
        <f t="shared" si="16"/>
        <v>498</v>
      </c>
      <c r="C530" s="43" t="s">
        <v>1388</v>
      </c>
      <c r="D530" s="63" t="s">
        <v>935</v>
      </c>
      <c r="E530" s="64" t="s">
        <v>1353</v>
      </c>
      <c r="F530" s="64" t="s">
        <v>33</v>
      </c>
      <c r="G530" s="64" t="s">
        <v>501</v>
      </c>
      <c r="H530" s="64" t="s">
        <v>120</v>
      </c>
      <c r="I530" s="64" t="s">
        <v>309</v>
      </c>
      <c r="J530" s="44"/>
      <c r="K530" s="56">
        <f>SUMIF('TB-Jan-25'!$A$12:$A$167,'Working-Jan-25'!C530,'TB-Jan-25'!$E$12:$E$167)</f>
        <v>0</v>
      </c>
      <c r="L530" s="56">
        <f>SUMIF('TB-Jan-25'!I:I,C530,'TB-Jan-25'!M:M)</f>
        <v>0</v>
      </c>
      <c r="M530" s="66">
        <f t="shared" si="18"/>
        <v>0</v>
      </c>
      <c r="N530" s="57">
        <f>IFERROR(VLOOKUP(C530,'[1]TB-Jun-24'!A:F,6,FALSE),0)</f>
        <v>0</v>
      </c>
      <c r="O530" s="35">
        <f>IFERROR(VLOOKUP(C530,'[1]TB-Jun-24'!I:N,6,FALSE),0)</f>
        <v>0</v>
      </c>
      <c r="Q530" s="35" t="s">
        <v>42</v>
      </c>
    </row>
    <row r="531" hidden="1" spans="2:17">
      <c r="B531" s="35">
        <f t="shared" si="16"/>
        <v>499</v>
      </c>
      <c r="C531" s="43" t="s">
        <v>747</v>
      </c>
      <c r="D531" s="43" t="s">
        <v>42</v>
      </c>
      <c r="E531" s="44" t="s">
        <v>42</v>
      </c>
      <c r="F531" s="44" t="s">
        <v>42</v>
      </c>
      <c r="G531" s="44" t="s">
        <v>42</v>
      </c>
      <c r="H531" s="44" t="s">
        <v>42</v>
      </c>
      <c r="I531" s="44"/>
      <c r="J531" s="44"/>
      <c r="K531" s="56">
        <f>SUMIF('TB-Jan-25'!$A$12:$A$167,'Working-Jan-25'!C531,'TB-Jan-25'!$E$12:$E$167)</f>
        <v>2798</v>
      </c>
      <c r="L531" s="56">
        <f>SUMIF('TB-Jan-25'!I:I,C531,'TB-Jan-25'!M:M)</f>
        <v>-2798</v>
      </c>
      <c r="M531" s="56">
        <f t="shared" si="18"/>
        <v>0</v>
      </c>
      <c r="N531" s="57">
        <f>IFERROR(VLOOKUP(C531,'[1]TB-Jun-24'!A:F,6,FALSE),0)</f>
        <v>4858</v>
      </c>
      <c r="O531" s="35">
        <f>IFERROR(VLOOKUP(C531,'[1]TB-Jun-24'!I:N,6,FALSE),0)</f>
        <v>-4858</v>
      </c>
      <c r="Q531" s="35" t="s">
        <v>42</v>
      </c>
    </row>
    <row r="532" hidden="1" spans="2:17">
      <c r="B532" s="35">
        <f t="shared" si="16"/>
        <v>500</v>
      </c>
      <c r="C532" s="43" t="s">
        <v>1389</v>
      </c>
      <c r="D532" s="43" t="s">
        <v>42</v>
      </c>
      <c r="E532" s="44" t="s">
        <v>42</v>
      </c>
      <c r="F532" s="44" t="s">
        <v>42</v>
      </c>
      <c r="G532" s="44" t="s">
        <v>42</v>
      </c>
      <c r="H532" s="44" t="s">
        <v>42</v>
      </c>
      <c r="I532" s="44"/>
      <c r="J532" s="44"/>
      <c r="K532" s="56">
        <f>SUMIF('TB-Jan-25'!$A$12:$A$167,'Working-Jan-25'!C532,'TB-Jan-25'!$E$12:$E$167)</f>
        <v>0</v>
      </c>
      <c r="L532" s="56">
        <f>SUMIF('TB-Jan-25'!I:I,C532,'TB-Jan-25'!M:M)</f>
        <v>0</v>
      </c>
      <c r="M532" s="56">
        <f t="shared" si="18"/>
        <v>0</v>
      </c>
      <c r="N532" s="57">
        <f>IFERROR(VLOOKUP(C532,'[1]TB-Jun-24'!A:F,6,FALSE),0)</f>
        <v>0</v>
      </c>
      <c r="O532" s="35">
        <f>IFERROR(VLOOKUP(C532,'[1]TB-Jun-24'!I:N,6,FALSE),0)</f>
        <v>88485</v>
      </c>
      <c r="Q532" s="35" t="s">
        <v>42</v>
      </c>
    </row>
    <row r="533" hidden="1" spans="2:17">
      <c r="B533" s="35">
        <f t="shared" si="16"/>
        <v>501</v>
      </c>
      <c r="C533" s="43" t="s">
        <v>1390</v>
      </c>
      <c r="D533" s="43" t="s">
        <v>42</v>
      </c>
      <c r="E533" s="44" t="s">
        <v>42</v>
      </c>
      <c r="F533" s="44" t="s">
        <v>42</v>
      </c>
      <c r="G533" s="44" t="s">
        <v>42</v>
      </c>
      <c r="H533" s="44" t="s">
        <v>42</v>
      </c>
      <c r="I533" s="44"/>
      <c r="J533" s="44"/>
      <c r="K533" s="56">
        <f>SUMIF('TB-Jan-25'!$A$12:$A$167,'Working-Jan-25'!C533,'TB-Jan-25'!$E$12:$E$167)</f>
        <v>0</v>
      </c>
      <c r="L533" s="56">
        <f>SUMIF('TB-Jan-25'!I:I,C533,'TB-Jan-25'!M:M)</f>
        <v>0</v>
      </c>
      <c r="M533" s="56">
        <f t="shared" si="18"/>
        <v>0</v>
      </c>
      <c r="N533" s="57">
        <f>IFERROR(VLOOKUP(C533,'[1]TB-Jun-24'!A:F,6,FALSE),0)</f>
        <v>0</v>
      </c>
      <c r="O533" s="35">
        <f>IFERROR(VLOOKUP(C533,'[1]TB-Jun-24'!I:N,6,FALSE),0)</f>
        <v>88485</v>
      </c>
      <c r="Q533" s="35" t="s">
        <v>42</v>
      </c>
    </row>
    <row r="534" hidden="1" spans="2:17">
      <c r="B534" s="35">
        <f t="shared" si="16"/>
        <v>502</v>
      </c>
      <c r="C534" s="43" t="s">
        <v>1391</v>
      </c>
      <c r="D534" s="43" t="s">
        <v>42</v>
      </c>
      <c r="E534" s="44" t="s">
        <v>42</v>
      </c>
      <c r="F534" s="44" t="s">
        <v>42</v>
      </c>
      <c r="G534" s="44" t="s">
        <v>42</v>
      </c>
      <c r="H534" s="44" t="s">
        <v>42</v>
      </c>
      <c r="I534" s="44"/>
      <c r="J534" s="44"/>
      <c r="K534" s="56">
        <f>SUMIF('TB-Jan-25'!$A$12:$A$167,'Working-Jan-25'!C534,'TB-Jan-25'!$E$12:$E$167)</f>
        <v>0</v>
      </c>
      <c r="L534" s="56">
        <f>SUMIF('TB-Jan-25'!I:I,C534,'TB-Jan-25'!M:M)</f>
        <v>0</v>
      </c>
      <c r="M534" s="56">
        <f t="shared" si="18"/>
        <v>0</v>
      </c>
      <c r="N534" s="57">
        <f>IFERROR(VLOOKUP(C534,'[1]TB-Jun-24'!A:F,6,FALSE),0)</f>
        <v>0</v>
      </c>
      <c r="O534" s="35">
        <f>IFERROR(VLOOKUP(C534,'[1]TB-Jun-24'!I:N,6,FALSE),0)</f>
        <v>0</v>
      </c>
      <c r="Q534" s="35" t="s">
        <v>42</v>
      </c>
    </row>
    <row r="535" hidden="1" spans="2:17">
      <c r="B535" s="35">
        <f t="shared" si="16"/>
        <v>503</v>
      </c>
      <c r="C535" s="43" t="s">
        <v>1392</v>
      </c>
      <c r="D535" s="43" t="s">
        <v>42</v>
      </c>
      <c r="E535" s="44" t="s">
        <v>42</v>
      </c>
      <c r="F535" s="44" t="s">
        <v>42</v>
      </c>
      <c r="G535" s="44" t="s">
        <v>42</v>
      </c>
      <c r="H535" s="44" t="s">
        <v>42</v>
      </c>
      <c r="I535" s="44"/>
      <c r="J535" s="44"/>
      <c r="K535" s="56">
        <f>SUMIF('TB-Jan-25'!$A$12:$A$167,'Working-Jan-25'!C535,'TB-Jan-25'!$E$12:$E$167)</f>
        <v>0</v>
      </c>
      <c r="L535" s="56">
        <f>SUMIF('TB-Jan-25'!I:I,C535,'TB-Jan-25'!M:M)</f>
        <v>0</v>
      </c>
      <c r="M535" s="56">
        <f t="shared" si="18"/>
        <v>0</v>
      </c>
      <c r="N535" s="57">
        <f>IFERROR(VLOOKUP(C535,'[1]TB-Jun-24'!A:F,6,FALSE),0)</f>
        <v>0</v>
      </c>
      <c r="O535" s="35">
        <f>IFERROR(VLOOKUP(C535,'[1]TB-Jun-24'!I:N,6,FALSE),0)</f>
        <v>0</v>
      </c>
      <c r="Q535" s="35" t="s">
        <v>42</v>
      </c>
    </row>
    <row r="536" hidden="1" spans="2:17">
      <c r="B536" s="35">
        <f t="shared" ref="B536:B586" si="19">+B535+1</f>
        <v>504</v>
      </c>
      <c r="C536" s="43" t="s">
        <v>1393</v>
      </c>
      <c r="D536" s="43" t="s">
        <v>42</v>
      </c>
      <c r="E536" s="44" t="s">
        <v>42</v>
      </c>
      <c r="F536" s="44" t="s">
        <v>42</v>
      </c>
      <c r="G536" s="44" t="s">
        <v>42</v>
      </c>
      <c r="H536" s="44" t="s">
        <v>42</v>
      </c>
      <c r="I536" s="44"/>
      <c r="J536" s="44"/>
      <c r="K536" s="56">
        <f>SUMIF('TB-Jan-25'!$A$12:$A$167,'Working-Jan-25'!C536,'TB-Jan-25'!$E$12:$E$167)</f>
        <v>0</v>
      </c>
      <c r="L536" s="56">
        <f>SUMIF('TB-Jan-25'!I:I,C536,'TB-Jan-25'!M:M)</f>
        <v>0</v>
      </c>
      <c r="M536" s="56">
        <f t="shared" si="18"/>
        <v>0</v>
      </c>
      <c r="N536" s="57">
        <f>IFERROR(VLOOKUP(C536,'[1]TB-Jun-24'!A:F,6,FALSE),0)</f>
        <v>0</v>
      </c>
      <c r="O536" s="35">
        <f>IFERROR(VLOOKUP(C536,'[1]TB-Jun-24'!I:N,6,FALSE),0)</f>
        <v>0</v>
      </c>
      <c r="Q536" s="35" t="s">
        <v>42</v>
      </c>
    </row>
    <row r="537" hidden="1" spans="2:17">
      <c r="B537" s="35">
        <f t="shared" si="19"/>
        <v>505</v>
      </c>
      <c r="C537" s="43" t="s">
        <v>1394</v>
      </c>
      <c r="D537" s="43" t="s">
        <v>42</v>
      </c>
      <c r="E537" s="44" t="s">
        <v>42</v>
      </c>
      <c r="F537" s="44" t="s">
        <v>42</v>
      </c>
      <c r="G537" s="44" t="s">
        <v>42</v>
      </c>
      <c r="H537" s="44" t="s">
        <v>42</v>
      </c>
      <c r="I537" s="44"/>
      <c r="J537" s="44"/>
      <c r="K537" s="56">
        <f>SUMIF('TB-Jan-25'!$A$12:$A$167,'Working-Jan-25'!C537,'TB-Jan-25'!$E$12:$E$167)</f>
        <v>0</v>
      </c>
      <c r="L537" s="56">
        <f>SUMIF('TB-Jan-25'!I:I,C537,'TB-Jan-25'!M:M)</f>
        <v>0</v>
      </c>
      <c r="M537" s="56">
        <f t="shared" si="18"/>
        <v>0</v>
      </c>
      <c r="N537" s="57">
        <f>IFERROR(VLOOKUP(C537,'[1]TB-Jun-24'!A:F,6,FALSE),0)</f>
        <v>0</v>
      </c>
      <c r="O537" s="35">
        <f>IFERROR(VLOOKUP(C537,'[1]TB-Jun-24'!I:N,6,FALSE),0)</f>
        <v>0</v>
      </c>
      <c r="Q537" s="35" t="s">
        <v>42</v>
      </c>
    </row>
    <row r="538" hidden="1" spans="2:17">
      <c r="B538" s="35">
        <f t="shared" si="19"/>
        <v>506</v>
      </c>
      <c r="C538" s="43" t="s">
        <v>1395</v>
      </c>
      <c r="D538" s="43" t="s">
        <v>42</v>
      </c>
      <c r="E538" s="44" t="s">
        <v>42</v>
      </c>
      <c r="F538" s="44" t="s">
        <v>42</v>
      </c>
      <c r="G538" s="44" t="s">
        <v>42</v>
      </c>
      <c r="H538" s="44" t="s">
        <v>42</v>
      </c>
      <c r="I538" s="44"/>
      <c r="J538" s="44"/>
      <c r="K538" s="56">
        <f>SUMIF('TB-Jan-25'!$A$12:$A$167,'Working-Jan-25'!C538,'TB-Jan-25'!$E$12:$E$167)</f>
        <v>0</v>
      </c>
      <c r="L538" s="56">
        <f>SUMIF('TB-Jan-25'!I:I,C538,'TB-Jan-25'!M:M)</f>
        <v>0</v>
      </c>
      <c r="M538" s="56">
        <f t="shared" si="18"/>
        <v>0</v>
      </c>
      <c r="N538" s="57">
        <f>IFERROR(VLOOKUP(C538,'[1]TB-Jun-24'!A:F,6,FALSE),0)</f>
        <v>0</v>
      </c>
      <c r="O538" s="35">
        <f>IFERROR(VLOOKUP(C538,'[1]TB-Jun-24'!I:N,6,FALSE),0)</f>
        <v>0</v>
      </c>
      <c r="Q538" s="35" t="s">
        <v>42</v>
      </c>
    </row>
    <row r="539" hidden="1" spans="2:17">
      <c r="B539" s="35">
        <f t="shared" si="19"/>
        <v>507</v>
      </c>
      <c r="C539" s="43" t="s">
        <v>1396</v>
      </c>
      <c r="D539" s="43" t="s">
        <v>42</v>
      </c>
      <c r="E539" s="44" t="s">
        <v>42</v>
      </c>
      <c r="F539" s="44" t="s">
        <v>42</v>
      </c>
      <c r="G539" s="44" t="s">
        <v>42</v>
      </c>
      <c r="H539" s="44" t="s">
        <v>42</v>
      </c>
      <c r="I539" s="44"/>
      <c r="J539" s="44"/>
      <c r="K539" s="56">
        <f>SUMIF('TB-Jan-25'!$A$12:$A$167,'Working-Jan-25'!C539,'TB-Jan-25'!$E$12:$E$167)</f>
        <v>0</v>
      </c>
      <c r="L539" s="56">
        <f>SUMIF('TB-Jan-25'!I:I,C539,'TB-Jan-25'!M:M)</f>
        <v>0</v>
      </c>
      <c r="M539" s="56">
        <f t="shared" si="18"/>
        <v>0</v>
      </c>
      <c r="N539" s="57">
        <f>IFERROR(VLOOKUP(C539,'[1]TB-Jun-24'!A:F,6,FALSE),0)</f>
        <v>0</v>
      </c>
      <c r="O539" s="35">
        <f>IFERROR(VLOOKUP(C539,'[1]TB-Jun-24'!I:N,6,FALSE),0)</f>
        <v>0</v>
      </c>
      <c r="Q539" s="35" t="s">
        <v>42</v>
      </c>
    </row>
    <row r="540" hidden="1" spans="2:17">
      <c r="B540" s="35">
        <f t="shared" si="19"/>
        <v>508</v>
      </c>
      <c r="C540" s="43" t="s">
        <v>1397</v>
      </c>
      <c r="D540" s="43" t="s">
        <v>42</v>
      </c>
      <c r="E540" s="44" t="s">
        <v>42</v>
      </c>
      <c r="F540" s="44" t="s">
        <v>42</v>
      </c>
      <c r="G540" s="44" t="s">
        <v>42</v>
      </c>
      <c r="H540" s="44" t="s">
        <v>42</v>
      </c>
      <c r="I540" s="44"/>
      <c r="J540" s="44"/>
      <c r="K540" s="56">
        <f>SUMIF('TB-Jan-25'!$A$12:$A$167,'Working-Jan-25'!C540,'TB-Jan-25'!$E$12:$E$167)</f>
        <v>0</v>
      </c>
      <c r="L540" s="56">
        <f>SUMIF('TB-Jan-25'!I:I,C540,'TB-Jan-25'!M:M)</f>
        <v>0</v>
      </c>
      <c r="M540" s="56">
        <f t="shared" si="18"/>
        <v>0</v>
      </c>
      <c r="N540" s="57">
        <f>IFERROR(VLOOKUP(C540,'[1]TB-Jun-24'!A:F,6,FALSE),0)</f>
        <v>0</v>
      </c>
      <c r="O540" s="35">
        <f>IFERROR(VLOOKUP(C540,'[1]TB-Jun-24'!I:N,6,FALSE),0)</f>
        <v>0</v>
      </c>
      <c r="Q540" s="35" t="s">
        <v>42</v>
      </c>
    </row>
    <row r="541" hidden="1" spans="2:17">
      <c r="B541" s="35">
        <f t="shared" si="19"/>
        <v>509</v>
      </c>
      <c r="C541" s="43" t="s">
        <v>1398</v>
      </c>
      <c r="D541" s="43" t="s">
        <v>42</v>
      </c>
      <c r="E541" s="44" t="s">
        <v>42</v>
      </c>
      <c r="F541" s="44" t="s">
        <v>42</v>
      </c>
      <c r="G541" s="44" t="s">
        <v>42</v>
      </c>
      <c r="H541" s="44" t="s">
        <v>42</v>
      </c>
      <c r="I541" s="44"/>
      <c r="J541" s="44"/>
      <c r="K541" s="56">
        <f>SUMIF('TB-Jan-25'!$A$12:$A$167,'Working-Jan-25'!C541,'TB-Jan-25'!$E$12:$E$167)</f>
        <v>0</v>
      </c>
      <c r="L541" s="56">
        <f>SUMIF('TB-Jan-25'!I:I,C541,'TB-Jan-25'!M:M)</f>
        <v>0</v>
      </c>
      <c r="M541" s="56">
        <f t="shared" si="18"/>
        <v>0</v>
      </c>
      <c r="N541" s="57">
        <f>IFERROR(VLOOKUP(C541,'[1]TB-Jun-24'!A:F,6,FALSE),0)</f>
        <v>0</v>
      </c>
      <c r="O541" s="35">
        <f>IFERROR(VLOOKUP(C541,'[1]TB-Jun-24'!I:N,6,FALSE),0)</f>
        <v>0</v>
      </c>
      <c r="Q541" s="35" t="s">
        <v>42</v>
      </c>
    </row>
    <row r="542" hidden="1" spans="2:17">
      <c r="B542" s="35">
        <f t="shared" si="19"/>
        <v>510</v>
      </c>
      <c r="C542" s="43" t="s">
        <v>1399</v>
      </c>
      <c r="D542" s="43" t="s">
        <v>42</v>
      </c>
      <c r="E542" s="44" t="s">
        <v>42</v>
      </c>
      <c r="F542" s="44" t="s">
        <v>42</v>
      </c>
      <c r="G542" s="44" t="s">
        <v>42</v>
      </c>
      <c r="H542" s="44" t="s">
        <v>42</v>
      </c>
      <c r="I542" s="44"/>
      <c r="J542" s="44"/>
      <c r="K542" s="56">
        <f>SUMIF('TB-Jan-25'!$A$12:$A$167,'Working-Jan-25'!C542,'TB-Jan-25'!$E$12:$E$167)</f>
        <v>0</v>
      </c>
      <c r="L542" s="56">
        <f>SUMIF('TB-Jan-25'!I:I,C542,'TB-Jan-25'!M:M)</f>
        <v>0</v>
      </c>
      <c r="M542" s="56">
        <f t="shared" si="18"/>
        <v>0</v>
      </c>
      <c r="N542" s="57">
        <f>IFERROR(VLOOKUP(C542,'[1]TB-Jun-24'!A:F,6,FALSE),0)</f>
        <v>0</v>
      </c>
      <c r="O542" s="35">
        <f>IFERROR(VLOOKUP(C542,'[1]TB-Jun-24'!I:N,6,FALSE),0)</f>
        <v>0</v>
      </c>
      <c r="Q542" s="35" t="s">
        <v>42</v>
      </c>
    </row>
    <row r="543" hidden="1" spans="2:17">
      <c r="B543" s="35">
        <f t="shared" si="19"/>
        <v>511</v>
      </c>
      <c r="C543" s="43" t="s">
        <v>1400</v>
      </c>
      <c r="D543" s="43" t="s">
        <v>42</v>
      </c>
      <c r="E543" s="44" t="s">
        <v>42</v>
      </c>
      <c r="F543" s="44" t="s">
        <v>42</v>
      </c>
      <c r="G543" s="44" t="s">
        <v>42</v>
      </c>
      <c r="H543" s="44" t="s">
        <v>42</v>
      </c>
      <c r="I543" s="44"/>
      <c r="J543" s="44"/>
      <c r="K543" s="56">
        <f>SUMIF('TB-Jan-25'!$A$12:$A$167,'Working-Jan-25'!C543,'TB-Jan-25'!$E$12:$E$167)</f>
        <v>0</v>
      </c>
      <c r="L543" s="56">
        <f>SUMIF('TB-Jan-25'!I:I,C543,'TB-Jan-25'!M:M)</f>
        <v>0</v>
      </c>
      <c r="M543" s="56">
        <f t="shared" si="18"/>
        <v>0</v>
      </c>
      <c r="N543" s="57">
        <f>IFERROR(VLOOKUP(C543,'[1]TB-Jun-24'!A:F,6,FALSE),0)</f>
        <v>0</v>
      </c>
      <c r="O543" s="35">
        <f>IFERROR(VLOOKUP(C543,'[1]TB-Jun-24'!I:N,6,FALSE),0)</f>
        <v>0</v>
      </c>
      <c r="Q543" s="35" t="s">
        <v>42</v>
      </c>
    </row>
    <row r="544" hidden="1" spans="2:17">
      <c r="B544" s="35">
        <f t="shared" si="19"/>
        <v>512</v>
      </c>
      <c r="C544" s="43" t="s">
        <v>749</v>
      </c>
      <c r="D544" s="43" t="s">
        <v>939</v>
      </c>
      <c r="E544" s="44" t="s">
        <v>1113</v>
      </c>
      <c r="F544" s="44" t="s">
        <v>33</v>
      </c>
      <c r="G544" s="44" t="s">
        <v>507</v>
      </c>
      <c r="H544" s="44" t="s">
        <v>120</v>
      </c>
      <c r="I544" s="44" t="s">
        <v>309</v>
      </c>
      <c r="J544" s="44"/>
      <c r="K544" s="56">
        <f>SUMIF('TB-Jan-25'!$A$12:$A$167,'Working-Jan-25'!C544,'TB-Jan-25'!$E$12:$E$167)</f>
        <v>29501</v>
      </c>
      <c r="L544" s="56">
        <f>SUMIF('TB-Jan-25'!I:I,C544,'TB-Jan-25'!M:M)</f>
        <v>0</v>
      </c>
      <c r="M544" s="56">
        <f t="shared" si="18"/>
        <v>29501</v>
      </c>
      <c r="N544" s="57" t="e">
        <f>SUMIF([6]Final!$B:$B,C544,[6]Final!$F:$F)-M544</f>
        <v>#VALUE!</v>
      </c>
      <c r="O544" s="35">
        <f>IFERROR(VLOOKUP(C544,'[1]TB-Jun-24'!I:N,6,FALSE),0)</f>
        <v>0</v>
      </c>
      <c r="Q544" s="35" t="s">
        <v>120</v>
      </c>
    </row>
    <row r="545" hidden="1" spans="2:17">
      <c r="B545" s="35">
        <f t="shared" si="19"/>
        <v>513</v>
      </c>
      <c r="C545" s="43" t="s">
        <v>698</v>
      </c>
      <c r="D545" s="43" t="s">
        <v>935</v>
      </c>
      <c r="E545" s="44" t="s">
        <v>485</v>
      </c>
      <c r="F545" s="44" t="s">
        <v>1162</v>
      </c>
      <c r="G545" s="44" t="s">
        <v>473</v>
      </c>
      <c r="H545" s="44" t="s">
        <v>1163</v>
      </c>
      <c r="I545" s="44" t="s">
        <v>309</v>
      </c>
      <c r="J545" s="44"/>
      <c r="K545" s="56">
        <f>SUMIF('TB-Jan-25'!$A$12:$A$167,'Working-Jan-25'!C545,'TB-Jan-25'!$E$12:$E$167)</f>
        <v>448755.75</v>
      </c>
      <c r="L545" s="56">
        <f>SUMIF('TB-Jan-25'!I:I,C545,'TB-Jan-25'!M:M)</f>
        <v>-350758</v>
      </c>
      <c r="M545" s="56">
        <f t="shared" si="18"/>
        <v>97997.75</v>
      </c>
      <c r="N545" s="57" t="e">
        <f>SUMIF([6]Final!$B:$B,C545,[6]Final!$F:$F)-M545</f>
        <v>#VALUE!</v>
      </c>
      <c r="O545" s="35">
        <f>IFERROR(VLOOKUP(C545,'[1]TB-Jun-24'!I:N,6,FALSE),0)</f>
        <v>-387323</v>
      </c>
      <c r="Q545" s="35" t="s">
        <v>1163</v>
      </c>
    </row>
    <row r="546" hidden="1" spans="2:17">
      <c r="B546" s="35">
        <f t="shared" si="19"/>
        <v>514</v>
      </c>
      <c r="C546" s="43" t="s">
        <v>700</v>
      </c>
      <c r="D546" s="43" t="s">
        <v>935</v>
      </c>
      <c r="E546" s="44" t="s">
        <v>485</v>
      </c>
      <c r="F546" s="44" t="s">
        <v>1162</v>
      </c>
      <c r="G546" s="44" t="s">
        <v>473</v>
      </c>
      <c r="H546" s="44" t="s">
        <v>1163</v>
      </c>
      <c r="I546" s="44" t="s">
        <v>309</v>
      </c>
      <c r="J546" s="44"/>
      <c r="K546" s="56">
        <f>SUMIF('TB-Jan-25'!$A$12:$A$167,'Working-Jan-25'!C546,'TB-Jan-25'!$E$12:$E$167)</f>
        <v>581338.71</v>
      </c>
      <c r="L546" s="56">
        <f>SUMIF('TB-Jan-25'!I:I,C546,'TB-Jan-25'!M:M)</f>
        <v>-360191</v>
      </c>
      <c r="M546" s="56">
        <f t="shared" si="18"/>
        <v>221147.71</v>
      </c>
      <c r="N546" s="57" t="e">
        <f>SUMIF([6]Final!$B:$B,C546,[6]Final!$F:$F)-M546</f>
        <v>#VALUE!</v>
      </c>
      <c r="O546" s="35">
        <f>IFERROR(VLOOKUP(C546,'[1]TB-Jun-24'!I:N,6,FALSE),0)</f>
        <v>-276138</v>
      </c>
      <c r="Q546" s="35" t="s">
        <v>1163</v>
      </c>
    </row>
    <row r="547" hidden="1" spans="2:17">
      <c r="B547" s="35">
        <f t="shared" si="19"/>
        <v>515</v>
      </c>
      <c r="C547" s="43" t="s">
        <v>1401</v>
      </c>
      <c r="D547" s="43" t="s">
        <v>935</v>
      </c>
      <c r="E547" s="44" t="s">
        <v>1001</v>
      </c>
      <c r="F547" s="44" t="s">
        <v>1162</v>
      </c>
      <c r="G547" s="44" t="s">
        <v>472</v>
      </c>
      <c r="H547" s="44" t="s">
        <v>1163</v>
      </c>
      <c r="I547" s="44" t="s">
        <v>309</v>
      </c>
      <c r="J547" s="44"/>
      <c r="K547" s="56">
        <f>SUMIF('TB-Jan-25'!$A$12:$A$167,'Working-Jan-25'!C547,'TB-Jan-25'!$E$12:$E$167)</f>
        <v>0</v>
      </c>
      <c r="L547" s="56">
        <f>SUMIF('TB-Jan-25'!I:I,C547,'TB-Jan-25'!M:M)</f>
        <v>0</v>
      </c>
      <c r="M547" s="56">
        <f t="shared" si="18"/>
        <v>0</v>
      </c>
      <c r="N547" s="57">
        <f>IFERROR(VLOOKUP(C547,'[1]TB-Jun-24'!A:F,6,FALSE),0)</f>
        <v>14000</v>
      </c>
      <c r="O547" s="35">
        <f>IFERROR(VLOOKUP(C547,'[1]TB-Jun-24'!I:N,6,FALSE),0)</f>
        <v>0</v>
      </c>
      <c r="Q547" s="35" t="s">
        <v>1305</v>
      </c>
    </row>
    <row r="548" hidden="1" spans="2:14">
      <c r="B548" s="35">
        <f t="shared" si="19"/>
        <v>516</v>
      </c>
      <c r="C548" s="43" t="s">
        <v>741</v>
      </c>
      <c r="D548" s="43" t="s">
        <v>935</v>
      </c>
      <c r="E548" s="44" t="s">
        <v>1001</v>
      </c>
      <c r="F548" s="44" t="s">
        <v>1162</v>
      </c>
      <c r="G548" s="44" t="s">
        <v>472</v>
      </c>
      <c r="H548" s="44" t="s">
        <v>1305</v>
      </c>
      <c r="I548" s="44" t="s">
        <v>309</v>
      </c>
      <c r="J548" s="44"/>
      <c r="K548" s="56">
        <f>SUMIF('TB-Jan-25'!$A$12:$A$167,'Working-Jan-25'!C548,'TB-Jan-25'!$E$12:$E$167)</f>
        <v>0</v>
      </c>
      <c r="L548" s="56">
        <f>SUMIF('TB-Jan-25'!I:I,C548,'TB-Jan-25'!M:M)</f>
        <v>856794.75</v>
      </c>
      <c r="M548" s="56">
        <f t="shared" si="18"/>
        <v>856794.75</v>
      </c>
      <c r="N548" s="57" t="e">
        <f>SUMIF([6]Final!$B:$B,C548,[6]Final!$F:$F)-M548</f>
        <v>#VALUE!</v>
      </c>
    </row>
    <row r="549" hidden="1" spans="2:17">
      <c r="B549" s="35">
        <f t="shared" si="19"/>
        <v>517</v>
      </c>
      <c r="C549" s="43" t="s">
        <v>710</v>
      </c>
      <c r="D549" s="43" t="s">
        <v>935</v>
      </c>
      <c r="E549" s="44" t="s">
        <v>471</v>
      </c>
      <c r="F549" s="44" t="s">
        <v>1162</v>
      </c>
      <c r="G549" s="44" t="s">
        <v>471</v>
      </c>
      <c r="H549" s="44" t="s">
        <v>1163</v>
      </c>
      <c r="I549" s="44" t="s">
        <v>309</v>
      </c>
      <c r="J549" s="44"/>
      <c r="K549" s="56">
        <f>SUMIF('TB-Jan-25'!$A$12:$A$167,'Working-Jan-25'!C549,'TB-Jan-25'!$E$12:$E$167)</f>
        <v>0</v>
      </c>
      <c r="L549" s="56">
        <f>SUMIF('TB-Jan-25'!I:I,C549,'TB-Jan-25'!M:M)</f>
        <v>522633.69</v>
      </c>
      <c r="M549" s="56">
        <f t="shared" si="18"/>
        <v>522633.69</v>
      </c>
      <c r="N549" s="57" t="e">
        <f>SUMIF([6]Final!$B:$B,C549,[6]Final!$F:$F)-M549</f>
        <v>#VALUE!</v>
      </c>
      <c r="O549" s="35">
        <f>IFERROR(VLOOKUP(C549,'[1]TB-Jun-24'!I:N,6,FALSE),0)</f>
        <v>493396</v>
      </c>
      <c r="Q549" s="35" t="s">
        <v>1163</v>
      </c>
    </row>
    <row r="550" hidden="1" spans="2:17">
      <c r="B550" s="35">
        <f t="shared" si="19"/>
        <v>518</v>
      </c>
      <c r="C550" s="43" t="s">
        <v>1402</v>
      </c>
      <c r="D550" s="43" t="s">
        <v>935</v>
      </c>
      <c r="E550" s="44" t="s">
        <v>485</v>
      </c>
      <c r="F550" s="44" t="s">
        <v>1162</v>
      </c>
      <c r="G550" s="44" t="s">
        <v>535</v>
      </c>
      <c r="H550" s="44" t="s">
        <v>1163</v>
      </c>
      <c r="I550" s="44" t="s">
        <v>309</v>
      </c>
      <c r="J550" s="44"/>
      <c r="K550" s="56">
        <f>SUMIF('TB-Jan-25'!$A$12:$A$167,'Working-Jan-25'!C550,'TB-Jan-25'!$E$12:$E$167)</f>
        <v>0</v>
      </c>
      <c r="L550" s="56">
        <f>SUMIF('TB-Jan-25'!I:I,C550,'TB-Jan-25'!M:M)</f>
        <v>0</v>
      </c>
      <c r="M550" s="56">
        <f t="shared" si="18"/>
        <v>0</v>
      </c>
      <c r="N550" s="57">
        <f>IFERROR(VLOOKUP(C550,'[1]TB-Jun-24'!A:F,6,FALSE),0)</f>
        <v>49649.46</v>
      </c>
      <c r="O550" s="35">
        <f>IFERROR(VLOOKUP(C550,'[1]TB-Jun-24'!I:N,6,FALSE),0)</f>
        <v>0</v>
      </c>
      <c r="Q550" s="35" t="s">
        <v>1163</v>
      </c>
    </row>
    <row r="551" hidden="1" spans="2:17">
      <c r="B551" s="35">
        <f t="shared" si="19"/>
        <v>519</v>
      </c>
      <c r="C551" s="43" t="s">
        <v>1403</v>
      </c>
      <c r="D551" s="43" t="s">
        <v>935</v>
      </c>
      <c r="E551" s="44" t="s">
        <v>975</v>
      </c>
      <c r="F551" s="44" t="s">
        <v>1162</v>
      </c>
      <c r="G551" s="44" t="s">
        <v>474</v>
      </c>
      <c r="H551" s="44" t="s">
        <v>1163</v>
      </c>
      <c r="I551" s="44" t="s">
        <v>309</v>
      </c>
      <c r="J551" s="44"/>
      <c r="K551" s="56">
        <f>SUMIF('TB-Jan-25'!$A$12:$A$167,'Working-Jan-25'!C551,'TB-Jan-25'!$E$12:$E$167)</f>
        <v>0</v>
      </c>
      <c r="L551" s="56">
        <f>SUMIF('TB-Jan-25'!I:I,C551,'TB-Jan-25'!M:M)</f>
        <v>0</v>
      </c>
      <c r="M551" s="56">
        <f t="shared" si="18"/>
        <v>0</v>
      </c>
      <c r="N551" s="57">
        <f>IFERROR(VLOOKUP(C551,'[1]TB-Jun-24'!A:F,6,FALSE),0)</f>
        <v>0</v>
      </c>
      <c r="O551" s="35">
        <f>IFERROR(VLOOKUP(C551,'[1]TB-Jun-24'!I:N,6,FALSE),0)</f>
        <v>0</v>
      </c>
      <c r="Q551" s="35" t="s">
        <v>1163</v>
      </c>
    </row>
    <row r="552" hidden="1" spans="2:17">
      <c r="B552" s="35">
        <f t="shared" si="19"/>
        <v>520</v>
      </c>
      <c r="C552" s="43" t="s">
        <v>719</v>
      </c>
      <c r="D552" s="43" t="s">
        <v>939</v>
      </c>
      <c r="E552" s="44" t="s">
        <v>980</v>
      </c>
      <c r="F552" s="44" t="s">
        <v>1162</v>
      </c>
      <c r="G552" s="44" t="s">
        <v>497</v>
      </c>
      <c r="H552" s="44" t="s">
        <v>1163</v>
      </c>
      <c r="I552" s="44" t="s">
        <v>309</v>
      </c>
      <c r="J552" s="44"/>
      <c r="K552" s="56">
        <f>SUMIF('TB-Jan-25'!$A$12:$A$167,'Working-Jan-25'!C552,'TB-Jan-25'!$E$12:$E$167)</f>
        <v>0</v>
      </c>
      <c r="L552" s="56">
        <f>SUMIF('TB-Jan-25'!I:I,C552,'TB-Jan-25'!M:M)</f>
        <v>29715.36</v>
      </c>
      <c r="M552" s="56">
        <f t="shared" si="18"/>
        <v>29715.36</v>
      </c>
      <c r="N552" s="57" t="e">
        <f>SUMIF([6]Final!$B:$B,C552,[6]Final!$F:$F)-M552</f>
        <v>#VALUE!</v>
      </c>
      <c r="O552" s="35">
        <f>IFERROR(VLOOKUP(C552,'[1]TB-Jun-24'!I:N,6,FALSE),0)</f>
        <v>23563.5</v>
      </c>
      <c r="Q552" s="35" t="s">
        <v>1163</v>
      </c>
    </row>
    <row r="553" hidden="1" spans="2:17">
      <c r="B553" s="35">
        <f t="shared" si="19"/>
        <v>521</v>
      </c>
      <c r="C553" s="43" t="s">
        <v>702</v>
      </c>
      <c r="D553" s="43" t="s">
        <v>935</v>
      </c>
      <c r="E553" s="44" t="s">
        <v>478</v>
      </c>
      <c r="F553" s="44" t="s">
        <v>1162</v>
      </c>
      <c r="G553" s="44" t="s">
        <v>478</v>
      </c>
      <c r="H553" s="44" t="s">
        <v>1163</v>
      </c>
      <c r="I553" s="44" t="s">
        <v>309</v>
      </c>
      <c r="J553" s="44"/>
      <c r="K553" s="56">
        <f>SUMIF('TB-Jan-25'!$A$12:$A$167,'Working-Jan-25'!C553,'TB-Jan-25'!$E$12:$E$167)</f>
        <v>635846.46</v>
      </c>
      <c r="L553" s="56">
        <f>SUMIF('TB-Jan-25'!I:I,C553,'TB-Jan-25'!M:M)</f>
        <v>0</v>
      </c>
      <c r="M553" s="56">
        <f t="shared" si="18"/>
        <v>635846.46</v>
      </c>
      <c r="N553" s="57" t="e">
        <f>SUMIF([6]Final!$B:$B,C553,[6]Final!$F:$F)-M553</f>
        <v>#VALUE!</v>
      </c>
      <c r="O553" s="35">
        <f>IFERROR(VLOOKUP(C553,'[1]TB-Jun-24'!I:N,6,FALSE),0)</f>
        <v>667648</v>
      </c>
      <c r="Q553" s="35" t="s">
        <v>1163</v>
      </c>
    </row>
    <row r="554" hidden="1" spans="2:17">
      <c r="B554" s="35">
        <f t="shared" si="19"/>
        <v>522</v>
      </c>
      <c r="C554" s="43" t="s">
        <v>1404</v>
      </c>
      <c r="D554" s="43" t="s">
        <v>935</v>
      </c>
      <c r="E554" s="44" t="s">
        <v>1405</v>
      </c>
      <c r="F554" s="44" t="s">
        <v>936</v>
      </c>
      <c r="G554" s="44" t="s">
        <v>563</v>
      </c>
      <c r="H554" s="44" t="s">
        <v>937</v>
      </c>
      <c r="I554" s="44" t="s">
        <v>309</v>
      </c>
      <c r="J554" s="44"/>
      <c r="K554" s="56">
        <f>SUMIF('TB-Jan-25'!$A$12:$A$167,'Working-Jan-25'!C554,'TB-Jan-25'!$E$12:$E$167)</f>
        <v>0</v>
      </c>
      <c r="L554" s="56">
        <f>SUMIF('TB-Jan-25'!I:I,C554,'TB-Jan-25'!M:M)</f>
        <v>0</v>
      </c>
      <c r="M554" s="56">
        <f t="shared" si="18"/>
        <v>0</v>
      </c>
      <c r="N554" s="57">
        <f>IFERROR(VLOOKUP(C554,'[1]TB-Jun-24'!A:F,6,FALSE),0)</f>
        <v>0</v>
      </c>
      <c r="O554" s="35">
        <f>IFERROR(VLOOKUP(C554,'[1]TB-Jun-24'!I:N,6,FALSE),0)</f>
        <v>0</v>
      </c>
      <c r="Q554" s="35" t="s">
        <v>937</v>
      </c>
    </row>
    <row r="555" hidden="1" spans="2:14">
      <c r="B555" s="35">
        <f t="shared" si="19"/>
        <v>523</v>
      </c>
      <c r="C555" s="43" t="s">
        <v>1406</v>
      </c>
      <c r="D555" s="43" t="s">
        <v>935</v>
      </c>
      <c r="E555" s="44" t="s">
        <v>1405</v>
      </c>
      <c r="F555" s="44" t="s">
        <v>936</v>
      </c>
      <c r="G555" s="44" t="s">
        <v>563</v>
      </c>
      <c r="H555" s="44" t="s">
        <v>937</v>
      </c>
      <c r="I555" s="44" t="s">
        <v>309</v>
      </c>
      <c r="J555" s="44"/>
      <c r="K555" s="56">
        <f>SUMIF('TB-Jan-25'!$A$12:$A$167,'Working-Jan-25'!C555,'TB-Jan-25'!$E$12:$E$167)</f>
        <v>0</v>
      </c>
      <c r="L555" s="56">
        <f>SUMIF('TB-Jan-25'!I:I,C555,'TB-Jan-25'!M:M)</f>
        <v>0</v>
      </c>
      <c r="M555" s="56">
        <f t="shared" si="18"/>
        <v>0</v>
      </c>
      <c r="N555" s="57"/>
    </row>
    <row r="556" hidden="1" spans="2:14">
      <c r="B556" s="35">
        <f>+B554+1</f>
        <v>523</v>
      </c>
      <c r="C556" s="43" t="s">
        <v>1407</v>
      </c>
      <c r="D556" s="43"/>
      <c r="E556" s="44" t="s">
        <v>1405</v>
      </c>
      <c r="F556" s="44" t="s">
        <v>936</v>
      </c>
      <c r="G556" s="44" t="s">
        <v>563</v>
      </c>
      <c r="H556" s="44" t="s">
        <v>937</v>
      </c>
      <c r="I556" s="44" t="s">
        <v>309</v>
      </c>
      <c r="J556" s="44"/>
      <c r="K556" s="56">
        <f>SUMIF('TB-Jan-25'!$A$12:$A$167,'Working-Jan-25'!C556,'TB-Jan-25'!$E$12:$E$167)</f>
        <v>0</v>
      </c>
      <c r="L556" s="56">
        <f>SUMIF('TB-Jan-25'!I:I,C556,'TB-Jan-25'!M:M)</f>
        <v>0</v>
      </c>
      <c r="M556" s="56">
        <f t="shared" si="18"/>
        <v>0</v>
      </c>
      <c r="N556" s="57"/>
    </row>
    <row r="557" hidden="1" spans="2:14">
      <c r="B557" s="35">
        <f t="shared" si="19"/>
        <v>524</v>
      </c>
      <c r="C557" s="43" t="s">
        <v>1408</v>
      </c>
      <c r="D557" s="43"/>
      <c r="E557" s="44" t="s">
        <v>1405</v>
      </c>
      <c r="F557" s="44" t="s">
        <v>936</v>
      </c>
      <c r="G557" s="44" t="s">
        <v>563</v>
      </c>
      <c r="H557" s="44" t="s">
        <v>937</v>
      </c>
      <c r="I557" s="44" t="s">
        <v>309</v>
      </c>
      <c r="J557" s="44"/>
      <c r="K557" s="56">
        <f>SUMIF('TB-Jan-25'!$A$12:$A$167,'Working-Jan-25'!C557,'TB-Jan-25'!$E$12:$E$167)</f>
        <v>0</v>
      </c>
      <c r="L557" s="56">
        <f>SUMIF('TB-Jan-25'!I:I,C557,'TB-Jan-25'!M:M)</f>
        <v>0</v>
      </c>
      <c r="M557" s="56">
        <f t="shared" si="18"/>
        <v>0</v>
      </c>
      <c r="N557" s="57"/>
    </row>
    <row r="558" hidden="1" spans="2:17">
      <c r="B558" s="35">
        <f t="shared" si="19"/>
        <v>525</v>
      </c>
      <c r="C558" s="43" t="s">
        <v>1409</v>
      </c>
      <c r="D558" s="43" t="s">
        <v>935</v>
      </c>
      <c r="E558" s="44" t="s">
        <v>480</v>
      </c>
      <c r="F558" s="44" t="s">
        <v>937</v>
      </c>
      <c r="G558" s="44" t="s">
        <v>563</v>
      </c>
      <c r="H558" s="44" t="s">
        <v>937</v>
      </c>
      <c r="I558" s="44" t="s">
        <v>309</v>
      </c>
      <c r="J558" s="44"/>
      <c r="K558" s="56">
        <f>SUMIF('TB-Jan-25'!$A$12:$A$167,'Working-Jan-25'!C558,'TB-Jan-25'!$E$12:$E$167)</f>
        <v>0</v>
      </c>
      <c r="L558" s="56">
        <f>SUMIF('TB-Jan-25'!I:I,C558,'TB-Jan-25'!M:M)</f>
        <v>0</v>
      </c>
      <c r="M558" s="56">
        <f t="shared" si="18"/>
        <v>0</v>
      </c>
      <c r="N558" s="57">
        <f>IFERROR(VLOOKUP(C558,'[1]TB-Jun-24'!A:F,6,FALSE),0)</f>
        <v>0</v>
      </c>
      <c r="O558" s="35">
        <f>IFERROR(VLOOKUP(C558,'[1]TB-Jun-24'!I:N,6,FALSE),0)</f>
        <v>0</v>
      </c>
      <c r="Q558" s="35" t="s">
        <v>1305</v>
      </c>
    </row>
    <row r="559" hidden="1" spans="2:17">
      <c r="B559" s="35">
        <f t="shared" si="19"/>
        <v>526</v>
      </c>
      <c r="C559" s="43" t="s">
        <v>743</v>
      </c>
      <c r="D559" s="43" t="s">
        <v>935</v>
      </c>
      <c r="E559" s="44" t="s">
        <v>562</v>
      </c>
      <c r="F559" s="44" t="s">
        <v>1162</v>
      </c>
      <c r="G559" s="44" t="s">
        <v>472</v>
      </c>
      <c r="H559" s="44" t="s">
        <v>1163</v>
      </c>
      <c r="I559" s="44" t="s">
        <v>309</v>
      </c>
      <c r="J559" s="44"/>
      <c r="K559" s="56">
        <f>SUMIF('TB-Jan-25'!$A$12:$A$167,'Working-Jan-25'!C559,'TB-Jan-25'!$E$12:$E$167)</f>
        <v>0</v>
      </c>
      <c r="L559" s="56">
        <f>SUMIF('TB-Jan-25'!I:I,C559,'TB-Jan-25'!M:M)</f>
        <v>266000</v>
      </c>
      <c r="M559" s="56">
        <f t="shared" si="18"/>
        <v>266000</v>
      </c>
      <c r="N559" s="57" t="e">
        <f>SUMIF([6]Final!$B:$B,C559,[6]Final!$F:$F)-M559</f>
        <v>#VALUE!</v>
      </c>
      <c r="O559" s="35">
        <f>IFERROR(VLOOKUP(C559,'[1]TB-Jun-24'!I:N,6,FALSE),0)</f>
        <v>0</v>
      </c>
      <c r="Q559" s="35" t="s">
        <v>1305</v>
      </c>
    </row>
    <row r="560" hidden="1" spans="2:17">
      <c r="B560" s="35">
        <f t="shared" si="19"/>
        <v>527</v>
      </c>
      <c r="C560" s="43" t="s">
        <v>1410</v>
      </c>
      <c r="D560" s="43" t="s">
        <v>935</v>
      </c>
      <c r="E560" s="44" t="s">
        <v>1411</v>
      </c>
      <c r="F560" s="44" t="s">
        <v>1162</v>
      </c>
      <c r="G560" s="44" t="s">
        <v>473</v>
      </c>
      <c r="H560" s="44" t="s">
        <v>1305</v>
      </c>
      <c r="I560" s="44" t="s">
        <v>309</v>
      </c>
      <c r="J560" s="44"/>
      <c r="K560" s="56">
        <f>SUMIF('TB-Jan-25'!$A$12:$A$167,'Working-Jan-25'!C560,'TB-Jan-25'!$E$12:$E$167)</f>
        <v>0</v>
      </c>
      <c r="L560" s="56">
        <f>SUMIF('TB-Jan-25'!I:I,C560,'TB-Jan-25'!M:M)</f>
        <v>0</v>
      </c>
      <c r="M560" s="56">
        <f t="shared" si="18"/>
        <v>0</v>
      </c>
      <c r="N560" s="57">
        <f>IFERROR(VLOOKUP(C560,'[1]TB-Jun-24'!A:F,6,FALSE),0)</f>
        <v>0</v>
      </c>
      <c r="O560" s="35">
        <f>IFERROR(VLOOKUP(C560,'[1]TB-Jun-24'!I:N,6,FALSE),0)</f>
        <v>0</v>
      </c>
      <c r="Q560" s="35" t="s">
        <v>1305</v>
      </c>
    </row>
    <row r="561" hidden="1" spans="2:14">
      <c r="B561" s="35">
        <f t="shared" si="19"/>
        <v>528</v>
      </c>
      <c r="C561" s="43" t="s">
        <v>1412</v>
      </c>
      <c r="D561" s="43" t="s">
        <v>935</v>
      </c>
      <c r="E561" s="44" t="s">
        <v>1411</v>
      </c>
      <c r="F561" s="44" t="s">
        <v>1162</v>
      </c>
      <c r="G561" s="44" t="s">
        <v>473</v>
      </c>
      <c r="H561" s="44" t="s">
        <v>1163</v>
      </c>
      <c r="I561" s="44" t="s">
        <v>309</v>
      </c>
      <c r="J561" s="44"/>
      <c r="K561" s="56">
        <f>SUMIF('TB-Jan-25'!$A$12:$A$167,'Working-Jan-25'!C561,'TB-Jan-25'!$E$12:$E$167)</f>
        <v>0</v>
      </c>
      <c r="L561" s="56">
        <f>SUMIF('TB-Jan-25'!I:I,C561,'TB-Jan-25'!M:M)</f>
        <v>0</v>
      </c>
      <c r="M561" s="56">
        <f t="shared" si="18"/>
        <v>0</v>
      </c>
      <c r="N561" s="57"/>
    </row>
    <row r="562" hidden="1" spans="2:17">
      <c r="B562" s="35">
        <f t="shared" si="19"/>
        <v>529</v>
      </c>
      <c r="C562" s="43" t="s">
        <v>602</v>
      </c>
      <c r="D562" s="43" t="s">
        <v>935</v>
      </c>
      <c r="E562" s="44"/>
      <c r="F562" s="44" t="s">
        <v>33</v>
      </c>
      <c r="G562" s="44" t="s">
        <v>483</v>
      </c>
      <c r="H562" s="45" t="s">
        <v>1163</v>
      </c>
      <c r="I562" s="44" t="s">
        <v>309</v>
      </c>
      <c r="J562" s="44"/>
      <c r="K562" s="56">
        <f>SUMIF('TB-Jan-25'!$A$12:$A$167,'Working-Jan-25'!C562,'TB-Jan-25'!$E$12:$E$167)</f>
        <v>0</v>
      </c>
      <c r="L562" s="56">
        <f>SUMIF('TB-Jan-25'!I:I,C562,'TB-Jan-25'!M:M)</f>
        <v>0</v>
      </c>
      <c r="M562" s="56">
        <f t="shared" si="18"/>
        <v>0</v>
      </c>
      <c r="N562" s="57">
        <f>IFERROR(VLOOKUP(C562,'[1]TB-Jun-24'!A:F,6,FALSE),0)</f>
        <v>0</v>
      </c>
      <c r="O562" s="35">
        <f>IFERROR(VLOOKUP(C562,'[1]TB-Jun-24'!I:N,6,FALSE),0)</f>
        <v>0</v>
      </c>
      <c r="Q562" s="35" t="s">
        <v>1163</v>
      </c>
    </row>
    <row r="563" hidden="1" spans="2:17">
      <c r="B563" s="35">
        <f t="shared" si="19"/>
        <v>530</v>
      </c>
      <c r="C563" s="43" t="s">
        <v>1413</v>
      </c>
      <c r="D563" s="43" t="s">
        <v>935</v>
      </c>
      <c r="E563" s="44" t="s">
        <v>524</v>
      </c>
      <c r="F563" s="44" t="s">
        <v>1162</v>
      </c>
      <c r="G563" s="44" t="s">
        <v>524</v>
      </c>
      <c r="H563" s="44" t="s">
        <v>1163</v>
      </c>
      <c r="I563" s="44" t="s">
        <v>309</v>
      </c>
      <c r="J563" s="44"/>
      <c r="K563" s="56">
        <f>SUMIF('TB-Jan-25'!$A$12:$A$167,'Working-Jan-25'!C563,'TB-Jan-25'!$E$12:$E$167)</f>
        <v>0</v>
      </c>
      <c r="L563" s="56">
        <f>SUMIF('TB-Jan-25'!I:I,C563,'TB-Jan-25'!M:M)</f>
        <v>0</v>
      </c>
      <c r="M563" s="56">
        <f t="shared" si="18"/>
        <v>0</v>
      </c>
      <c r="N563" s="57">
        <f>IFERROR(VLOOKUP(C563,'[1]TB-Jun-24'!A:F,6,FALSE),0)</f>
        <v>0</v>
      </c>
      <c r="O563" s="35">
        <f>IFERROR(VLOOKUP(C563,'[1]TB-Jun-24'!I:N,6,FALSE),0)</f>
        <v>0</v>
      </c>
      <c r="Q563" s="35" t="s">
        <v>1163</v>
      </c>
    </row>
    <row r="564" hidden="1" spans="2:17">
      <c r="B564" s="35">
        <f t="shared" si="19"/>
        <v>531</v>
      </c>
      <c r="C564" s="43" t="s">
        <v>547</v>
      </c>
      <c r="D564" s="43" t="s">
        <v>935</v>
      </c>
      <c r="E564" s="44"/>
      <c r="F564" s="44" t="s">
        <v>33</v>
      </c>
      <c r="G564" s="44" t="s">
        <v>548</v>
      </c>
      <c r="H564" s="44" t="s">
        <v>33</v>
      </c>
      <c r="I564" s="44" t="s">
        <v>309</v>
      </c>
      <c r="J564" s="44"/>
      <c r="K564" s="56">
        <f>SUMIF('TB-Jan-25'!$A$12:$A$167,'Working-Jan-25'!C564,'TB-Jan-25'!$E$12:$E$167)</f>
        <v>0</v>
      </c>
      <c r="L564" s="56">
        <f>SUMIF('TB-Jan-25'!I:I,C564,'TB-Jan-25'!M:M)</f>
        <v>0</v>
      </c>
      <c r="M564" s="56">
        <f t="shared" si="18"/>
        <v>0</v>
      </c>
      <c r="N564" s="57">
        <f>IFERROR(VLOOKUP(C564,'[1]TB-Jun-24'!A:F,6,FALSE),0)</f>
        <v>652</v>
      </c>
      <c r="O564" s="35">
        <f>IFERROR(VLOOKUP(C564,'[1]TB-Jun-24'!I:N,6,FALSE),0)</f>
        <v>0</v>
      </c>
      <c r="Q564" s="35" t="s">
        <v>33</v>
      </c>
    </row>
    <row r="565" hidden="1" spans="2:17">
      <c r="B565" s="35">
        <f t="shared" si="19"/>
        <v>532</v>
      </c>
      <c r="C565" s="43" t="s">
        <v>729</v>
      </c>
      <c r="D565" s="43" t="s">
        <v>935</v>
      </c>
      <c r="E565" s="44"/>
      <c r="F565" s="44" t="s">
        <v>1162</v>
      </c>
      <c r="G565" s="44" t="s">
        <v>494</v>
      </c>
      <c r="H565" s="44" t="s">
        <v>1163</v>
      </c>
      <c r="I565" s="44" t="s">
        <v>309</v>
      </c>
      <c r="J565" s="44"/>
      <c r="K565" s="56">
        <f>SUMIF('TB-Jan-25'!$A$12:$A$167,'Working-Jan-25'!C565,'TB-Jan-25'!$E$12:$E$167)</f>
        <v>0</v>
      </c>
      <c r="L565" s="56">
        <f>SUMIF('TB-Jan-25'!I:I,C565,'TB-Jan-25'!M:M)</f>
        <v>1500</v>
      </c>
      <c r="M565" s="56">
        <f t="shared" si="18"/>
        <v>1500</v>
      </c>
      <c r="N565" s="57" t="e">
        <f>SUMIF([6]Final!$B:$B,C565,[6]Final!$F:$F)-M565</f>
        <v>#VALUE!</v>
      </c>
      <c r="O565" s="35">
        <f>IFERROR(VLOOKUP(C565,'[1]TB-Jun-24'!I:N,6,FALSE),0)</f>
        <v>4800</v>
      </c>
      <c r="Q565" s="35" t="s">
        <v>1163</v>
      </c>
    </row>
    <row r="566" hidden="1" spans="2:17">
      <c r="B566" s="35">
        <f t="shared" si="19"/>
        <v>533</v>
      </c>
      <c r="C566" s="43" t="s">
        <v>1414</v>
      </c>
      <c r="D566" s="43" t="s">
        <v>935</v>
      </c>
      <c r="E566" s="44"/>
      <c r="F566" s="44" t="s">
        <v>33</v>
      </c>
      <c r="G566" s="44" t="s">
        <v>564</v>
      </c>
      <c r="H566" s="44" t="s">
        <v>33</v>
      </c>
      <c r="I566" s="44" t="s">
        <v>309</v>
      </c>
      <c r="J566" s="44"/>
      <c r="K566" s="56">
        <f>SUMIF('TB-Jan-25'!$A$12:$A$167,'Working-Jan-25'!C566,'TB-Jan-25'!$E$12:$E$167)</f>
        <v>0</v>
      </c>
      <c r="L566" s="56">
        <f>SUMIF('TB-Jan-25'!I:I,C566,'TB-Jan-25'!M:M)</f>
        <v>0</v>
      </c>
      <c r="M566" s="56">
        <f t="shared" si="18"/>
        <v>0</v>
      </c>
      <c r="N566" s="57">
        <f>IFERROR(VLOOKUP(C566,'[1]TB-Jun-24'!A:F,6,FALSE),0)</f>
        <v>0</v>
      </c>
      <c r="O566" s="35">
        <f>IFERROR(VLOOKUP(C566,'[1]TB-Jun-24'!I:N,6,FALSE),0)</f>
        <v>0</v>
      </c>
      <c r="Q566" s="35" t="s">
        <v>33</v>
      </c>
    </row>
    <row r="567" hidden="1" spans="2:17">
      <c r="B567" s="35">
        <f t="shared" si="19"/>
        <v>534</v>
      </c>
      <c r="C567" s="43" t="s">
        <v>1415</v>
      </c>
      <c r="D567" s="43" t="s">
        <v>935</v>
      </c>
      <c r="E567" s="44"/>
      <c r="F567" s="44" t="s">
        <v>33</v>
      </c>
      <c r="G567" s="44" t="s">
        <v>548</v>
      </c>
      <c r="H567" s="44" t="s">
        <v>33</v>
      </c>
      <c r="I567" s="44" t="s">
        <v>309</v>
      </c>
      <c r="J567" s="44"/>
      <c r="K567" s="56">
        <f>SUMIF('TB-Jan-25'!$A$12:$A$167,'Working-Jan-25'!C567,'TB-Jan-25'!$E$12:$E$167)</f>
        <v>0</v>
      </c>
      <c r="L567" s="56">
        <f>SUMIF('TB-Jan-25'!I:I,C567,'TB-Jan-25'!M:M)</f>
        <v>0</v>
      </c>
      <c r="M567" s="56">
        <f t="shared" si="18"/>
        <v>0</v>
      </c>
      <c r="N567" s="57">
        <f>IFERROR(VLOOKUP(C567,'[1]TB-Jun-24'!A:F,6,FALSE),0)</f>
        <v>0</v>
      </c>
      <c r="O567" s="35">
        <f>IFERROR(VLOOKUP(C567,'[1]TB-Jun-24'!I:N,6,FALSE),0)</f>
        <v>0</v>
      </c>
      <c r="Q567" s="35" t="s">
        <v>33</v>
      </c>
    </row>
    <row r="568" hidden="1" spans="2:17">
      <c r="B568" s="35">
        <f t="shared" si="19"/>
        <v>535</v>
      </c>
      <c r="C568" s="43" t="s">
        <v>1416</v>
      </c>
      <c r="D568" s="43" t="s">
        <v>935</v>
      </c>
      <c r="E568" s="44"/>
      <c r="F568" s="44" t="s">
        <v>33</v>
      </c>
      <c r="G568" s="44" t="s">
        <v>548</v>
      </c>
      <c r="H568" s="44" t="s">
        <v>33</v>
      </c>
      <c r="I568" s="44" t="s">
        <v>309</v>
      </c>
      <c r="J568" s="44"/>
      <c r="K568" s="56">
        <f>SUMIF('TB-Jan-25'!$A$12:$A$167,'Working-Jan-25'!C568,'TB-Jan-25'!$E$12:$E$167)</f>
        <v>0</v>
      </c>
      <c r="L568" s="56">
        <f>SUMIF('TB-Jan-25'!I:I,C568,'TB-Jan-25'!M:M)</f>
        <v>0</v>
      </c>
      <c r="M568" s="56">
        <f t="shared" si="18"/>
        <v>0</v>
      </c>
      <c r="N568" s="57">
        <f>IFERROR(VLOOKUP(C568,'[1]TB-Jun-24'!A:F,6,FALSE),0)</f>
        <v>0</v>
      </c>
      <c r="O568" s="35">
        <f>IFERROR(VLOOKUP(C568,'[1]TB-Jun-24'!I:N,6,FALSE),0)</f>
        <v>0</v>
      </c>
      <c r="Q568" s="35" t="s">
        <v>33</v>
      </c>
    </row>
    <row r="569" hidden="1" spans="2:17">
      <c r="B569" s="35">
        <f t="shared" si="19"/>
        <v>536</v>
      </c>
      <c r="C569" s="43" t="s">
        <v>1417</v>
      </c>
      <c r="D569" s="43" t="s">
        <v>935</v>
      </c>
      <c r="E569" s="44"/>
      <c r="F569" s="44" t="s">
        <v>33</v>
      </c>
      <c r="G569" s="44" t="s">
        <v>530</v>
      </c>
      <c r="H569" s="44" t="s">
        <v>33</v>
      </c>
      <c r="I569" s="44" t="s">
        <v>309</v>
      </c>
      <c r="J569" s="44"/>
      <c r="K569" s="56">
        <f>SUMIF('TB-Jan-25'!$A$12:$A$167,'Working-Jan-25'!C569,'TB-Jan-25'!$E$12:$E$167)</f>
        <v>0</v>
      </c>
      <c r="L569" s="56">
        <f>SUMIF('TB-Jan-25'!I:I,C569,'TB-Jan-25'!M:M)</f>
        <v>0</v>
      </c>
      <c r="M569" s="56">
        <f t="shared" si="18"/>
        <v>0</v>
      </c>
      <c r="N569" s="57">
        <f>IFERROR(VLOOKUP(C569,'[1]TB-Jun-24'!A:F,6,FALSE),0)</f>
        <v>0</v>
      </c>
      <c r="O569" s="35">
        <f>IFERROR(VLOOKUP(C569,'[1]TB-Jun-24'!I:N,6,FALSE),0)</f>
        <v>0</v>
      </c>
      <c r="Q569" s="35" t="s">
        <v>33</v>
      </c>
    </row>
    <row r="570" hidden="1" spans="2:17">
      <c r="B570" s="35">
        <f t="shared" si="19"/>
        <v>537</v>
      </c>
      <c r="C570" s="43" t="s">
        <v>1418</v>
      </c>
      <c r="D570" s="43" t="s">
        <v>935</v>
      </c>
      <c r="E570" s="44"/>
      <c r="F570" s="44" t="s">
        <v>936</v>
      </c>
      <c r="G570" s="44" t="s">
        <v>513</v>
      </c>
      <c r="H570" s="44" t="s">
        <v>937</v>
      </c>
      <c r="I570" s="44" t="s">
        <v>309</v>
      </c>
      <c r="J570" s="44"/>
      <c r="K570" s="56">
        <f>SUMIF('TB-Jan-25'!$A$12:$A$167,'Working-Jan-25'!C570,'TB-Jan-25'!$E$12:$E$167)</f>
        <v>0</v>
      </c>
      <c r="L570" s="56">
        <f>SUMIF('TB-Jan-25'!I:I,C570,'TB-Jan-25'!M:M)</f>
        <v>0</v>
      </c>
      <c r="M570" s="56">
        <f t="shared" si="18"/>
        <v>0</v>
      </c>
      <c r="N570" s="57">
        <f>IFERROR(VLOOKUP(C570,'[1]TB-Jun-24'!A:F,6,FALSE),0)</f>
        <v>0</v>
      </c>
      <c r="O570" s="35">
        <f>IFERROR(VLOOKUP(C570,'[1]TB-Jun-24'!I:N,6,FALSE),0)</f>
        <v>0</v>
      </c>
      <c r="Q570" s="35" t="s">
        <v>937</v>
      </c>
    </row>
    <row r="571" spans="2:17">
      <c r="B571" s="35">
        <f t="shared" si="19"/>
        <v>538</v>
      </c>
      <c r="C571" s="43" t="s">
        <v>869</v>
      </c>
      <c r="D571" s="46" t="s">
        <v>935</v>
      </c>
      <c r="E571" s="47"/>
      <c r="F571" s="47"/>
      <c r="G571" s="44" t="s">
        <v>515</v>
      </c>
      <c r="H571" s="44" t="s">
        <v>120</v>
      </c>
      <c r="I571" s="44" t="s">
        <v>309</v>
      </c>
      <c r="J571" s="44"/>
      <c r="K571" s="56">
        <f>SUMIF('TB-Jan-25'!$A$12:$A$167,'Working-Jan-25'!C571,'TB-Jan-25'!$E$12:$E$167)</f>
        <v>0</v>
      </c>
      <c r="L571" s="56">
        <f>SUMIF('TB-Jan-25'!I:I,C571,'TB-Jan-25'!M:M)</f>
        <v>5000</v>
      </c>
      <c r="M571" s="56">
        <f t="shared" si="18"/>
        <v>5000</v>
      </c>
      <c r="N571" s="57" t="e">
        <f>SUMIF([6]Final!$B:$B,C571,[6]Final!$F:$F)-M571</f>
        <v>#VALUE!</v>
      </c>
      <c r="O571" s="35">
        <f>IFERROR(VLOOKUP(C571,'[1]TB-Jun-24'!I:N,6,FALSE),0)</f>
        <v>5000</v>
      </c>
      <c r="Q571" s="35" t="s">
        <v>120</v>
      </c>
    </row>
    <row r="572" spans="2:17">
      <c r="B572" s="35">
        <f t="shared" si="19"/>
        <v>539</v>
      </c>
      <c r="C572" s="43" t="s">
        <v>879</v>
      </c>
      <c r="D572" s="46" t="s">
        <v>935</v>
      </c>
      <c r="E572" s="47"/>
      <c r="F572" s="47"/>
      <c r="G572" s="44" t="s">
        <v>515</v>
      </c>
      <c r="H572" s="44" t="s">
        <v>120</v>
      </c>
      <c r="I572" s="44" t="s">
        <v>309</v>
      </c>
      <c r="J572" s="44"/>
      <c r="K572" s="56">
        <f>SUMIF('TB-Jan-25'!$A$12:$A$167,'Working-Jan-25'!C572,'TB-Jan-25'!$E$12:$E$167)</f>
        <v>0</v>
      </c>
      <c r="L572" s="56">
        <f>SUMIF('TB-Jan-25'!I:I,C572,'TB-Jan-25'!M:M)</f>
        <v>3000</v>
      </c>
      <c r="M572" s="56">
        <f t="shared" si="18"/>
        <v>3000</v>
      </c>
      <c r="N572" s="57" t="e">
        <f>SUMIF([6]Final!$B:$B,C572,[6]Final!$F:$F)-M572</f>
        <v>#VALUE!</v>
      </c>
      <c r="O572" s="35">
        <f>IFERROR(VLOOKUP(C572,'[1]TB-Jun-24'!I:N,6,FALSE),0)</f>
        <v>3000</v>
      </c>
      <c r="Q572" s="35" t="s">
        <v>120</v>
      </c>
    </row>
    <row r="573" hidden="1" spans="2:17">
      <c r="B573" s="35">
        <f t="shared" si="19"/>
        <v>540</v>
      </c>
      <c r="C573" s="43" t="s">
        <v>1419</v>
      </c>
      <c r="D573" s="43" t="s">
        <v>935</v>
      </c>
      <c r="E573" s="44"/>
      <c r="F573" s="44" t="s">
        <v>1011</v>
      </c>
      <c r="G573" s="44" t="s">
        <v>494</v>
      </c>
      <c r="H573" s="44" t="s">
        <v>115</v>
      </c>
      <c r="I573" s="44" t="s">
        <v>309</v>
      </c>
      <c r="J573" s="44"/>
      <c r="K573" s="56">
        <f>SUMIF('TB-Jan-25'!$A$12:$A$167,'Working-Jan-25'!C573,'TB-Jan-25'!$E$12:$E$167)</f>
        <v>0</v>
      </c>
      <c r="L573" s="56">
        <f>SUMIF('TB-Jan-25'!I:I,C573,'TB-Jan-25'!M:M)</f>
        <v>0</v>
      </c>
      <c r="M573" s="56">
        <f t="shared" si="18"/>
        <v>0</v>
      </c>
      <c r="N573" s="57">
        <f>IFERROR(VLOOKUP(C573,'[1]TB-Jun-24'!A:F,6,FALSE),0)</f>
        <v>0</v>
      </c>
      <c r="O573" s="35">
        <f>IFERROR(VLOOKUP(C573,'[1]TB-Jun-24'!I:N,6,FALSE),0)</f>
        <v>0</v>
      </c>
      <c r="Q573" s="35" t="s">
        <v>115</v>
      </c>
    </row>
    <row r="574" s="34" customFormat="1" hidden="1" spans="1:17">
      <c r="A574" s="35" t="s">
        <v>563</v>
      </c>
      <c r="B574" s="35">
        <f t="shared" si="19"/>
        <v>541</v>
      </c>
      <c r="C574" s="43" t="s">
        <v>876</v>
      </c>
      <c r="D574" s="43" t="s">
        <v>935</v>
      </c>
      <c r="E574" s="65"/>
      <c r="F574" s="44" t="s">
        <v>1163</v>
      </c>
      <c r="G574" s="44" t="s">
        <v>563</v>
      </c>
      <c r="H574" s="44" t="s">
        <v>1163</v>
      </c>
      <c r="I574" s="44" t="s">
        <v>309</v>
      </c>
      <c r="J574" s="65"/>
      <c r="K574" s="56">
        <f>SUMIF('TB-Jan-25'!$A$12:$A$167,'Working-Jan-25'!C574,'TB-Jan-25'!$E$12:$E$167)</f>
        <v>275934.34</v>
      </c>
      <c r="L574" s="56">
        <f>SUMIF('TB-Jan-25'!I:I,C574,'TB-Jan-25'!M:M)</f>
        <v>0</v>
      </c>
      <c r="M574" s="56">
        <f t="shared" si="18"/>
        <v>275934.34</v>
      </c>
      <c r="N574" s="57" t="e">
        <f>SUMIF([6]Final!$B:$B,C574,[6]Final!$F:$F)-M574</f>
        <v>#VALUE!</v>
      </c>
      <c r="O574" s="35">
        <f>IFERROR(VLOOKUP(C574,'[1]TB-Jun-24'!I:N,6,FALSE),0)</f>
        <v>526592</v>
      </c>
      <c r="Q574" s="34" t="s">
        <v>1163</v>
      </c>
    </row>
    <row r="575" s="34" customFormat="1" hidden="1" spans="1:17">
      <c r="A575" s="35" t="s">
        <v>563</v>
      </c>
      <c r="B575" s="35">
        <f t="shared" si="19"/>
        <v>542</v>
      </c>
      <c r="C575" s="43" t="s">
        <v>755</v>
      </c>
      <c r="D575" s="43" t="s">
        <v>935</v>
      </c>
      <c r="E575" s="65"/>
      <c r="F575" s="44" t="s">
        <v>1163</v>
      </c>
      <c r="G575" s="44" t="s">
        <v>563</v>
      </c>
      <c r="H575" s="44" t="s">
        <v>1163</v>
      </c>
      <c r="I575" s="44" t="s">
        <v>309</v>
      </c>
      <c r="J575" s="65"/>
      <c r="K575" s="56">
        <f>SUMIF('TB-Jan-25'!$A$12:$A$167,'Working-Jan-25'!C575,'TB-Jan-25'!$E$12:$E$167)</f>
        <v>0</v>
      </c>
      <c r="L575" s="56">
        <f>SUMIF('TB-Jan-25'!I:I,C575,'TB-Jan-25'!M:M)</f>
        <v>18110</v>
      </c>
      <c r="M575" s="56">
        <f t="shared" si="18"/>
        <v>18110</v>
      </c>
      <c r="N575" s="57" t="e">
        <f>SUMIF([6]Final!$B:$B,C575,[6]Final!$F:$F)-M575</f>
        <v>#VALUE!</v>
      </c>
      <c r="O575" s="35">
        <f>IFERROR(VLOOKUP(C575,'[1]TB-Jun-24'!I:N,6,FALSE),0)</f>
        <v>0</v>
      </c>
      <c r="Q575" s="34" t="s">
        <v>1163</v>
      </c>
    </row>
    <row r="576" s="34" customFormat="1" hidden="1" spans="2:17">
      <c r="B576" s="35">
        <f t="shared" si="19"/>
        <v>543</v>
      </c>
      <c r="C576" s="62" t="s">
        <v>1420</v>
      </c>
      <c r="D576" s="43" t="s">
        <v>935</v>
      </c>
      <c r="E576" s="65"/>
      <c r="F576" s="44"/>
      <c r="G576" s="44" t="s">
        <v>471</v>
      </c>
      <c r="H576" s="44" t="s">
        <v>115</v>
      </c>
      <c r="I576" s="44" t="s">
        <v>309</v>
      </c>
      <c r="J576" s="65"/>
      <c r="K576" s="56">
        <f>SUMIF('TB-Jan-25'!$A$12:$A$167,'Working-Jan-25'!C576,'TB-Jan-25'!$E$12:$E$167)</f>
        <v>0</v>
      </c>
      <c r="L576" s="56">
        <f>SUMIF('TB-Jan-25'!I:I,C576,'TB-Jan-25'!M:M)</f>
        <v>0</v>
      </c>
      <c r="M576" s="56">
        <f t="shared" si="18"/>
        <v>0</v>
      </c>
      <c r="N576" s="57">
        <f>IFERROR(VLOOKUP(C576,'[1]TB-Jun-24'!A:F,6,FALSE),0)</f>
        <v>0</v>
      </c>
      <c r="O576" s="35">
        <f>IFERROR(VLOOKUP(C576,'[1]TB-Jun-24'!I:N,6,FALSE),0)</f>
        <v>500</v>
      </c>
      <c r="Q576" s="34" t="s">
        <v>115</v>
      </c>
    </row>
    <row r="577" s="34" customFormat="1" hidden="1" spans="2:17">
      <c r="B577" s="35">
        <f t="shared" si="19"/>
        <v>544</v>
      </c>
      <c r="C577" s="62" t="s">
        <v>706</v>
      </c>
      <c r="D577" s="43" t="s">
        <v>935</v>
      </c>
      <c r="E577" s="65"/>
      <c r="F577" s="44"/>
      <c r="G577" s="44" t="s">
        <v>493</v>
      </c>
      <c r="H577" s="44" t="s">
        <v>120</v>
      </c>
      <c r="I577" s="44" t="s">
        <v>309</v>
      </c>
      <c r="J577" s="65"/>
      <c r="K577" s="56">
        <f>SUMIF('TB-Jan-25'!$A$12:$A$167,'Working-Jan-25'!C577,'TB-Jan-25'!$E$12:$E$167)</f>
        <v>0</v>
      </c>
      <c r="L577" s="56">
        <f>SUMIF('TB-Jan-25'!I:I,C577,'TB-Jan-25'!M:M)</f>
        <v>142948</v>
      </c>
      <c r="M577" s="56">
        <f t="shared" si="18"/>
        <v>142948</v>
      </c>
      <c r="N577" s="57" t="e">
        <f>SUMIF([6]Final!$B:$B,C577,[6]Final!$F:$F)-M577</f>
        <v>#VALUE!</v>
      </c>
      <c r="O577" s="35">
        <f>IFERROR(VLOOKUP(C577,'[1]TB-Jun-24'!I:N,6,FALSE),0)</f>
        <v>129563</v>
      </c>
      <c r="Q577" s="34" t="s">
        <v>1163</v>
      </c>
    </row>
    <row r="578" s="34" customFormat="1" hidden="1" spans="2:17">
      <c r="B578" s="35">
        <f t="shared" si="19"/>
        <v>545</v>
      </c>
      <c r="C578" s="62" t="s">
        <v>717</v>
      </c>
      <c r="D578" s="43" t="s">
        <v>935</v>
      </c>
      <c r="E578" s="65"/>
      <c r="F578" s="44"/>
      <c r="G578" s="44" t="s">
        <v>497</v>
      </c>
      <c r="H578" s="44" t="s">
        <v>1163</v>
      </c>
      <c r="I578" s="44" t="s">
        <v>309</v>
      </c>
      <c r="J578" s="65"/>
      <c r="K578" s="56">
        <f>SUMIF('TB-Jan-25'!$A$12:$A$167,'Working-Jan-25'!C578,'TB-Jan-25'!$E$12:$E$167)</f>
        <v>0</v>
      </c>
      <c r="L578" s="56">
        <f>SUMIF('TB-Jan-25'!I:I,C578,'TB-Jan-25'!M:M)</f>
        <v>3800</v>
      </c>
      <c r="M578" s="56">
        <f t="shared" si="18"/>
        <v>3800</v>
      </c>
      <c r="N578" s="57" t="e">
        <f>SUMIF([6]Final!$B:$B,C578,[6]Final!$F:$F)-M578</f>
        <v>#VALUE!</v>
      </c>
      <c r="O578" s="35">
        <f>IFERROR(VLOOKUP(C578,'[1]TB-Jun-24'!I:N,6,FALSE),0)</f>
        <v>3200</v>
      </c>
      <c r="Q578" s="34" t="s">
        <v>1163</v>
      </c>
    </row>
    <row r="579" s="34" customFormat="1" hidden="1" spans="1:17">
      <c r="A579" s="35" t="s">
        <v>563</v>
      </c>
      <c r="B579" s="35">
        <f t="shared" si="19"/>
        <v>546</v>
      </c>
      <c r="C579" s="62" t="s">
        <v>907</v>
      </c>
      <c r="D579" s="43" t="s">
        <v>935</v>
      </c>
      <c r="E579" s="65"/>
      <c r="F579" s="44"/>
      <c r="G579" s="44" t="s">
        <v>563</v>
      </c>
      <c r="H579" s="44" t="s">
        <v>1163</v>
      </c>
      <c r="I579" s="44" t="s">
        <v>309</v>
      </c>
      <c r="J579" s="65"/>
      <c r="K579" s="56">
        <f>SUMIF('TB-Jan-25'!$A$12:$A$167,'Working-Jan-25'!C579,'TB-Jan-25'!$E$12:$E$167)</f>
        <v>0</v>
      </c>
      <c r="L579" s="56">
        <f>SUMIF('TB-Jan-25'!I:I,C579,'TB-Jan-25'!M:M)</f>
        <v>678847</v>
      </c>
      <c r="M579" s="56">
        <f t="shared" si="18"/>
        <v>678847</v>
      </c>
      <c r="N579" s="57" t="e">
        <f>SUMIF([6]Final!$B:$B,C579,[6]Final!$F:$F)-M579</f>
        <v>#VALUE!</v>
      </c>
      <c r="O579" s="35">
        <f>IFERROR(VLOOKUP(C579,'[1]TB-Jun-24'!I:N,6,FALSE),0)</f>
        <v>155055</v>
      </c>
      <c r="Q579" s="34" t="s">
        <v>1163</v>
      </c>
    </row>
    <row r="580" s="34" customFormat="1" hidden="1" spans="1:17">
      <c r="A580" s="35" t="s">
        <v>563</v>
      </c>
      <c r="B580" s="35">
        <f t="shared" si="19"/>
        <v>547</v>
      </c>
      <c r="C580" s="62" t="s">
        <v>908</v>
      </c>
      <c r="D580" s="43" t="s">
        <v>935</v>
      </c>
      <c r="E580" s="65"/>
      <c r="F580" s="44"/>
      <c r="G580" s="44" t="s">
        <v>563</v>
      </c>
      <c r="H580" s="44" t="s">
        <v>1163</v>
      </c>
      <c r="I580" s="44" t="s">
        <v>309</v>
      </c>
      <c r="J580" s="65"/>
      <c r="K580" s="56">
        <f>SUMIF('TB-Jan-25'!$A$12:$A$167,'Working-Jan-25'!C580,'TB-Jan-25'!$E$12:$E$167)</f>
        <v>0</v>
      </c>
      <c r="L580" s="56">
        <f>SUMIF('TB-Jan-25'!I:I,C580,'TB-Jan-25'!M:M)</f>
        <v>250971.31</v>
      </c>
      <c r="M580" s="56">
        <f t="shared" si="18"/>
        <v>250971.31</v>
      </c>
      <c r="N580" s="57" t="e">
        <f>SUMIF([6]Final!$B:$B,C580,[6]Final!$F:$F)-M580</f>
        <v>#VALUE!</v>
      </c>
      <c r="O580" s="35">
        <f>IFERROR(VLOOKUP(C580,'[1]TB-Jun-24'!I:N,6,FALSE),0)</f>
        <v>412648</v>
      </c>
      <c r="Q580" s="34" t="s">
        <v>1163</v>
      </c>
    </row>
    <row r="581" s="34" customFormat="1" hidden="1" spans="1:17">
      <c r="A581" s="35" t="s">
        <v>563</v>
      </c>
      <c r="B581" s="35">
        <f t="shared" si="19"/>
        <v>548</v>
      </c>
      <c r="C581" s="62" t="s">
        <v>910</v>
      </c>
      <c r="D581" s="43" t="s">
        <v>935</v>
      </c>
      <c r="E581" s="65"/>
      <c r="F581" s="44"/>
      <c r="G581" s="44" t="s">
        <v>563</v>
      </c>
      <c r="H581" s="44" t="s">
        <v>1163</v>
      </c>
      <c r="I581" s="44" t="s">
        <v>309</v>
      </c>
      <c r="J581" s="65"/>
      <c r="K581" s="56">
        <f>SUMIF('TB-Jan-25'!$A$12:$A$167,'Working-Jan-25'!C581,'TB-Jan-25'!$E$12:$E$167)</f>
        <v>0</v>
      </c>
      <c r="L581" s="56">
        <f>SUMIF('TB-Jan-25'!I:I,C581,'TB-Jan-25'!M:M)</f>
        <v>13684.64</v>
      </c>
      <c r="M581" s="56">
        <f t="shared" si="18"/>
        <v>13684.64</v>
      </c>
      <c r="N581" s="57" t="e">
        <f>SUMIF([6]Final!$B:$B,C581,[6]Final!$F:$F)-M581</f>
        <v>#VALUE!</v>
      </c>
      <c r="O581" s="35">
        <f>IFERROR(VLOOKUP(C581,'[1]TB-Jun-24'!I:N,6,FALSE),0)</f>
        <v>17886.5</v>
      </c>
      <c r="Q581" s="34" t="s">
        <v>1163</v>
      </c>
    </row>
    <row r="582" s="34" customFormat="1" hidden="1" spans="2:17">
      <c r="B582" s="35">
        <f t="shared" si="19"/>
        <v>549</v>
      </c>
      <c r="C582" s="62" t="s">
        <v>1421</v>
      </c>
      <c r="D582" s="43" t="s">
        <v>935</v>
      </c>
      <c r="E582" s="65"/>
      <c r="F582" s="44"/>
      <c r="G582" s="44" t="s">
        <v>563</v>
      </c>
      <c r="H582" s="44" t="s">
        <v>937</v>
      </c>
      <c r="I582" s="44" t="s">
        <v>309</v>
      </c>
      <c r="J582" s="65"/>
      <c r="K582" s="56">
        <f>SUMIF('TB-Jan-25'!$A$12:$A$167,'Working-Jan-25'!C582,'TB-Jan-25'!$E$12:$E$167)</f>
        <v>0</v>
      </c>
      <c r="L582" s="56">
        <f>SUMIF('TB-Jan-25'!I:I,C582,'TB-Jan-25'!M:M)</f>
        <v>0</v>
      </c>
      <c r="M582" s="56">
        <f t="shared" si="18"/>
        <v>0</v>
      </c>
      <c r="N582" s="57">
        <f>IFERROR(VLOOKUP(C582,'[1]TB-Jun-24'!A:F,6,FALSE),0)</f>
        <v>0</v>
      </c>
      <c r="O582" s="35">
        <f>IFERROR(VLOOKUP(C582,'[1]TB-Jun-24'!I:N,6,FALSE),0)</f>
        <v>0</v>
      </c>
      <c r="Q582" s="34" t="s">
        <v>937</v>
      </c>
    </row>
    <row r="583" s="34" customFormat="1" hidden="1" spans="2:15">
      <c r="B583" s="35">
        <f t="shared" si="19"/>
        <v>550</v>
      </c>
      <c r="C583" s="62" t="s">
        <v>918</v>
      </c>
      <c r="D583" s="43" t="s">
        <v>935</v>
      </c>
      <c r="E583" s="65"/>
      <c r="F583" s="44"/>
      <c r="G583" s="44" t="s">
        <v>562</v>
      </c>
      <c r="H583" s="44" t="s">
        <v>121</v>
      </c>
      <c r="I583" s="44" t="s">
        <v>309</v>
      </c>
      <c r="J583" s="65"/>
      <c r="K583" s="56">
        <f>SUMIF('TB-Jan-25'!$A$12:$A$167,'Working-Jan-25'!C583,'TB-Jan-25'!$E$12:$E$167)</f>
        <v>0</v>
      </c>
      <c r="L583" s="56">
        <f>SUMIF('TB-Jan-25'!I:I,C583,'TB-Jan-25'!M:M)</f>
        <v>6315.61</v>
      </c>
      <c r="M583" s="56">
        <f t="shared" si="18"/>
        <v>6315.61</v>
      </c>
      <c r="N583" s="57" t="e">
        <f>SUMIF([6]Final!$B:$B,C583,[6]Final!$F:$F)-M583</f>
        <v>#VALUE!</v>
      </c>
      <c r="O583" s="35"/>
    </row>
    <row r="584" s="34" customFormat="1" hidden="1" spans="2:15">
      <c r="B584" s="35">
        <f t="shared" si="19"/>
        <v>551</v>
      </c>
      <c r="C584" s="62" t="s">
        <v>923</v>
      </c>
      <c r="D584" s="43" t="s">
        <v>935</v>
      </c>
      <c r="E584" s="65"/>
      <c r="F584" s="44"/>
      <c r="G584" s="44" t="s">
        <v>562</v>
      </c>
      <c r="H584" s="44" t="s">
        <v>121</v>
      </c>
      <c r="I584" s="44" t="s">
        <v>309</v>
      </c>
      <c r="J584" s="65"/>
      <c r="K584" s="56">
        <f>SUMIF('TB-Jan-25'!$A$12:$A$167,'Working-Jan-25'!C584,'TB-Jan-25'!$E$12:$E$167)</f>
        <v>0</v>
      </c>
      <c r="L584" s="56">
        <f>SUMIF('TB-Jan-25'!I:I,C584,'TB-Jan-25'!M:M)</f>
        <v>36460</v>
      </c>
      <c r="M584" s="56">
        <f t="shared" si="18"/>
        <v>36460</v>
      </c>
      <c r="N584" s="57" t="e">
        <f>SUMIF([6]Final!$B:$B,C584,[6]Final!$F:$F)-M584</f>
        <v>#VALUE!</v>
      </c>
      <c r="O584" s="35"/>
    </row>
    <row r="585" s="34" customFormat="1" hidden="1" spans="2:17">
      <c r="B585" s="35">
        <f t="shared" si="19"/>
        <v>552</v>
      </c>
      <c r="C585" s="62" t="s">
        <v>921</v>
      </c>
      <c r="D585" s="43" t="s">
        <v>935</v>
      </c>
      <c r="E585" s="65"/>
      <c r="F585" s="44"/>
      <c r="G585" s="44" t="s">
        <v>493</v>
      </c>
      <c r="H585" s="44" t="s">
        <v>121</v>
      </c>
      <c r="I585" s="44" t="s">
        <v>309</v>
      </c>
      <c r="J585" s="65"/>
      <c r="K585" s="56">
        <f>SUMIF('TB-Jan-25'!$A$12:$A$167,'Working-Jan-25'!C585,'TB-Jan-25'!$E$12:$E$167)</f>
        <v>0</v>
      </c>
      <c r="L585" s="56">
        <f>SUMIF('TB-Jan-25'!I:I,C585,'TB-Jan-25'!M:M)</f>
        <v>14516</v>
      </c>
      <c r="M585" s="56">
        <f t="shared" si="18"/>
        <v>14516</v>
      </c>
      <c r="N585" s="57" t="e">
        <f>SUMIF([6]Final!$B:$B,C585,[6]Final!$F:$F)-M585</f>
        <v>#VALUE!</v>
      </c>
      <c r="O585" s="35">
        <f>IFERROR(VLOOKUP(C585,'[1]TB-Jun-24'!I:N,6,FALSE),0)</f>
        <v>44500</v>
      </c>
      <c r="Q585" s="34" t="s">
        <v>121</v>
      </c>
    </row>
    <row r="586" s="34" customFormat="1" hidden="1" spans="2:17">
      <c r="B586" s="35">
        <f t="shared" si="19"/>
        <v>553</v>
      </c>
      <c r="C586" s="62" t="s">
        <v>707</v>
      </c>
      <c r="D586" s="43" t="s">
        <v>935</v>
      </c>
      <c r="E586" s="65"/>
      <c r="F586" s="44" t="s">
        <v>1163</v>
      </c>
      <c r="G586" s="44" t="s">
        <v>517</v>
      </c>
      <c r="H586" s="44" t="s">
        <v>1163</v>
      </c>
      <c r="I586" s="44" t="s">
        <v>309</v>
      </c>
      <c r="J586" s="65"/>
      <c r="K586" s="56">
        <f>SUMIF('TB-Jan-25'!$A$12:$A$167,'Working-Jan-25'!C586,'TB-Jan-25'!$E$12:$E$167)</f>
        <v>73625</v>
      </c>
      <c r="L586" s="56">
        <f>SUMIF('TB-Jan-25'!I:I,C586,'TB-Jan-25'!M:M)</f>
        <v>0</v>
      </c>
      <c r="M586" s="56">
        <f t="shared" si="18"/>
        <v>73625</v>
      </c>
      <c r="N586" s="57" t="e">
        <f>SUMIF([6]Final!$B:$B,C586,[6]Final!$F:$F)-M586</f>
        <v>#VALUE!</v>
      </c>
      <c r="O586" s="35">
        <f>IFERROR(VLOOKUP(C586,'[1]TB-Jun-24'!I:N,6,FALSE),0)</f>
        <v>0</v>
      </c>
      <c r="Q586" s="34" t="s">
        <v>1163</v>
      </c>
    </row>
    <row r="587" s="34" customFormat="1" hidden="1" spans="2:13">
      <c r="B587" s="35"/>
      <c r="C587" s="43"/>
      <c r="D587" s="43"/>
      <c r="E587" s="65"/>
      <c r="F587" s="65"/>
      <c r="G587" s="44"/>
      <c r="H587" s="44"/>
      <c r="I587" s="44"/>
      <c r="J587" s="65"/>
      <c r="K587" s="56"/>
      <c r="L587" s="56"/>
      <c r="M587" s="56"/>
    </row>
    <row r="588" hidden="1" spans="3:17">
      <c r="C588" s="58" t="s">
        <v>1014</v>
      </c>
      <c r="D588" s="58"/>
      <c r="E588" s="59"/>
      <c r="F588" s="59"/>
      <c r="G588" s="59"/>
      <c r="H588" s="59"/>
      <c r="I588" s="59"/>
      <c r="J588" s="59"/>
      <c r="K588" s="60">
        <f>SUM(K521:K586)</f>
        <v>2343988.23</v>
      </c>
      <c r="L588" s="60">
        <f>SUM(L521:L586)</f>
        <v>2136549.36</v>
      </c>
      <c r="M588" s="60">
        <f>SUM(M521:M586)</f>
        <v>4480537.59</v>
      </c>
      <c r="N588" s="76" t="e">
        <f>SUM(N5:N587)</f>
        <v>#VALUE!</v>
      </c>
      <c r="O588" s="76">
        <f>SUM(O5:O587)</f>
        <v>9370289.83</v>
      </c>
      <c r="P588" s="76" t="e">
        <f>SUM(N588:O588)</f>
        <v>#VALUE!</v>
      </c>
      <c r="Q588" s="36" t="e">
        <f ca="1">P588-T695</f>
        <v>#VALUE!</v>
      </c>
    </row>
    <row r="589" hidden="1" spans="3:21">
      <c r="C589" s="58"/>
      <c r="D589" s="58"/>
      <c r="E589" s="59"/>
      <c r="F589" s="59"/>
      <c r="G589" s="59"/>
      <c r="H589" s="59"/>
      <c r="I589" s="59"/>
      <c r="J589" s="59"/>
      <c r="K589" s="56"/>
      <c r="L589" s="56"/>
      <c r="M589" s="56"/>
      <c r="T589" s="48">
        <v>-36349982</v>
      </c>
      <c r="U589" s="48">
        <f ca="1">T589+M590</f>
        <v>-3867365.10000001</v>
      </c>
    </row>
    <row r="590" hidden="1" spans="2:16">
      <c r="B590" s="58" t="s">
        <v>1014</v>
      </c>
      <c r="C590" s="58" t="s">
        <v>1422</v>
      </c>
      <c r="D590" s="43"/>
      <c r="E590" s="44"/>
      <c r="F590" s="44"/>
      <c r="G590" s="44"/>
      <c r="H590" s="44"/>
      <c r="I590" s="44"/>
      <c r="J590" s="44"/>
      <c r="K590" s="60">
        <f>SUMIF($C$5:$C$590,B590,$K$5:$K$590)</f>
        <v>12427329.37</v>
      </c>
      <c r="L590" s="60">
        <f>SUMIF($C$5:$C$590,B590,$L$5:$L$590)</f>
        <v>20055287.53</v>
      </c>
      <c r="M590" s="60">
        <f ca="1">SUMIF($C$5:$C$590,B590,M5:M588)</f>
        <v>32482616.9</v>
      </c>
      <c r="N590" s="48">
        <f ca="1">+M590-'[1]TB-Jun-24'!O204</f>
        <v>8026560.05999999</v>
      </c>
      <c r="O590" s="48"/>
      <c r="P590" s="48">
        <f ca="1">+N590-O590</f>
        <v>8026560.05999999</v>
      </c>
    </row>
    <row r="591" spans="17:19">
      <c r="Q591" s="79">
        <v>2119404</v>
      </c>
      <c r="R591" s="35">
        <v>2116900</v>
      </c>
      <c r="S591" s="79">
        <f>+Q591-R591</f>
        <v>2504</v>
      </c>
    </row>
    <row r="592" spans="3:15">
      <c r="C592" s="35" t="s">
        <v>1423</v>
      </c>
      <c r="E592" s="44"/>
      <c r="F592" s="44"/>
      <c r="G592" s="44"/>
      <c r="K592" s="36">
        <f>'TB-Jan-25'!D170</f>
        <v>19536117.49</v>
      </c>
      <c r="L592" s="36">
        <f>'TB-Jan-25'!L224</f>
        <v>21825999.93</v>
      </c>
      <c r="M592" s="48">
        <f>K592+L592</f>
        <v>41362117.42</v>
      </c>
      <c r="N592" s="48">
        <f>L590-L397</f>
        <v>14350680.08</v>
      </c>
      <c r="O592" s="48">
        <f ca="1">M590-M397</f>
        <v>26778009.45</v>
      </c>
    </row>
    <row r="593" spans="2:14">
      <c r="B593" s="35" t="s">
        <v>1424</v>
      </c>
      <c r="J593" s="48">
        <f>K593-L593</f>
        <v>2026193.72</v>
      </c>
      <c r="K593" s="36">
        <f>SUMIF('TB-Jan-25'!F:F,"Ignore",'TB-Jan-25'!E:E)</f>
        <v>3260223.12</v>
      </c>
      <c r="L593" s="36">
        <f>SUMIF('TB-Jan-25'!N:N,"Ignore",'TB-Jan-25'!M:M)</f>
        <v>1234029.4</v>
      </c>
      <c r="N593" s="48"/>
    </row>
    <row r="594" spans="10:14">
      <c r="J594" s="77" t="s">
        <v>1425</v>
      </c>
      <c r="N594" s="48"/>
    </row>
    <row r="595" spans="3:14">
      <c r="C595" s="67" t="s">
        <v>353</v>
      </c>
      <c r="K595" s="78">
        <f>K592-K593-K590-K594</f>
        <v>3848565</v>
      </c>
      <c r="L595" s="78">
        <f>L592-L593-L590</f>
        <v>536683</v>
      </c>
      <c r="N595" s="76"/>
    </row>
    <row r="598" ht="56" spans="3:20">
      <c r="C598" s="68" t="s">
        <v>275</v>
      </c>
      <c r="D598" s="68" t="s">
        <v>937</v>
      </c>
      <c r="E598" s="68" t="s">
        <v>493</v>
      </c>
      <c r="F598" s="68" t="s">
        <v>33</v>
      </c>
      <c r="G598" s="68" t="s">
        <v>990</v>
      </c>
      <c r="H598" s="68" t="s">
        <v>115</v>
      </c>
      <c r="I598" s="68" t="s">
        <v>121</v>
      </c>
      <c r="J598" s="68"/>
      <c r="K598" s="68" t="s">
        <v>1023</v>
      </c>
      <c r="L598" s="68" t="s">
        <v>120</v>
      </c>
      <c r="M598" s="68" t="s">
        <v>1146</v>
      </c>
      <c r="N598" s="68" t="s">
        <v>1287</v>
      </c>
      <c r="O598" s="68" t="s">
        <v>1304</v>
      </c>
      <c r="P598" s="68" t="s">
        <v>42</v>
      </c>
      <c r="Q598" s="68" t="s">
        <v>1163</v>
      </c>
      <c r="R598" s="68" t="s">
        <v>1305</v>
      </c>
      <c r="S598" s="68" t="s">
        <v>1426</v>
      </c>
      <c r="T598" s="68" t="s">
        <v>58</v>
      </c>
    </row>
    <row r="599" spans="3:20">
      <c r="C599" s="69" t="s">
        <v>309</v>
      </c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</row>
    <row r="600" spans="2:21">
      <c r="B600" s="35">
        <v>0</v>
      </c>
      <c r="C600" s="44" t="s">
        <v>471</v>
      </c>
      <c r="D600" s="70">
        <f ca="1" t="shared" ref="D600:D627" si="20">SUMIFS($M$5:$M$590,$G$5:$G$590,C600,$H$5:$H$590,$D$598,$I$5:$I$590,"Production")</f>
        <v>210420</v>
      </c>
      <c r="E600" s="56">
        <f ca="1" t="shared" ref="E600:E621" si="21">SUMIFS($M$5:$M$590,$G$5:$G$590,C600,$H$5:$H$590,$E$598)</f>
        <v>0</v>
      </c>
      <c r="F600" s="56">
        <f ca="1" t="shared" ref="F600:F621" si="22">SUMIFS($M$5:$M$590,$G$5:$G$590,C600,$H$5:$H$590,$F$598,$I$5:$I$590,"Production")</f>
        <v>0</v>
      </c>
      <c r="G600" s="56">
        <f ca="1" t="shared" ref="G600:G621" si="23">SUMIFS($M$5:$M$590,$G$5:$G$590,C600,$H$5:$H$590,$G$598,$I$5:$I$590,"Production")</f>
        <v>0</v>
      </c>
      <c r="H600" s="56">
        <f ca="1" t="shared" ref="H600:H621" si="24">SUMIFS($M$5:$M$590,$G$5:$G$590,C600,$H$5:$H$590,$H$598,$I$5:$I$590,"Production")</f>
        <v>0</v>
      </c>
      <c r="I600" s="56">
        <f ca="1" t="shared" ref="I600:I631" si="25">SUMIFS($M$5:$M$590,$G$5:$G$590,C600,$H$5:$H$590,$I$598,$I$5:$I$590,"Production")</f>
        <v>0</v>
      </c>
      <c r="J600" s="56"/>
      <c r="K600" s="56">
        <f ca="1" t="shared" ref="K600:K621" si="26">SUMIFS($M$5:$M$590,$G$5:$G$590,C600,$H$5:$H$590,$K$598,$I$5:$I$590,"Production")</f>
        <v>0</v>
      </c>
      <c r="L600" s="56">
        <f ca="1" t="shared" ref="L600:L631" si="27">SUMIFS($M$5:$M$590,$G$5:$G$590,C600,$H$5:$H$590,$L$598,$I$5:$I$590,"Production")</f>
        <v>0</v>
      </c>
      <c r="M600" s="56">
        <f ca="1" t="shared" ref="M600:M621" si="28">SUMIFS($M$5:$M$590,$G$5:$G$590,C600,$H$5:$H$590,$M$598)</f>
        <v>0</v>
      </c>
      <c r="N600" s="56">
        <f ca="1" t="shared" ref="N600:N621" si="29">SUMIFS($M$5:$M$590,$G$5:$G$590,C600,$H$5:$H$590,$N$598)</f>
        <v>0</v>
      </c>
      <c r="O600" s="56">
        <f ca="1" t="shared" ref="O600:O621" si="30">SUMIFS($M$5:$M$590,$G$5:$G$590,C600,$H$5:$H$590,$O$598)</f>
        <v>0</v>
      </c>
      <c r="P600" s="56">
        <f ca="1" t="shared" ref="P600:P621" si="31">SUMIFS($M$5:$M$590,$G$5:$G$590,C600,$H$5:$H$590,$P$598)</f>
        <v>0</v>
      </c>
      <c r="Q600" s="70">
        <f ca="1" t="shared" ref="Q600:Q627" si="32">SUMIFS($M$5:$M$590,$G$5:$G$590,C600,$H$5:$H$590,$Q$598,$I$5:$I$590,"Production")</f>
        <v>522633.69</v>
      </c>
      <c r="R600" s="56">
        <f ca="1" t="shared" ref="R600:R627" si="33">SUMIFS($M$5:$M$590,$G$5:$G$590,C600,$H$5:$H$590,$R$598,$I$5:$I$590,"Production")</f>
        <v>0</v>
      </c>
      <c r="S600" s="56">
        <f ca="1" t="shared" ref="S600:S627" si="34">SUMIFS($M$5:$M$590,$G$5:$G$590,C600,$H$5:$H$590,$S$598,$I$5:$I$590,"Production")</f>
        <v>0</v>
      </c>
      <c r="T600" s="56">
        <f ca="1" t="shared" ref="T600:T669" si="35">SUM(D600:S600)</f>
        <v>733053.69</v>
      </c>
      <c r="U600" s="48"/>
    </row>
    <row r="601" spans="2:21">
      <c r="B601" s="35">
        <v>0</v>
      </c>
      <c r="C601" s="44" t="s">
        <v>538</v>
      </c>
      <c r="D601" s="70">
        <f ca="1" t="shared" si="20"/>
        <v>25680</v>
      </c>
      <c r="E601" s="56">
        <f ca="1" t="shared" si="21"/>
        <v>0</v>
      </c>
      <c r="F601" s="56">
        <f ca="1" t="shared" si="22"/>
        <v>0</v>
      </c>
      <c r="G601" s="56">
        <f ca="1" t="shared" si="23"/>
        <v>0</v>
      </c>
      <c r="H601" s="56">
        <f ca="1" t="shared" si="24"/>
        <v>0</v>
      </c>
      <c r="I601" s="56">
        <f ca="1" t="shared" si="25"/>
        <v>0</v>
      </c>
      <c r="J601" s="56"/>
      <c r="K601" s="56">
        <f ca="1" t="shared" si="26"/>
        <v>0</v>
      </c>
      <c r="L601" s="56">
        <f ca="1" t="shared" si="27"/>
        <v>28568</v>
      </c>
      <c r="M601" s="56">
        <f ca="1" t="shared" si="28"/>
        <v>0</v>
      </c>
      <c r="N601" s="56">
        <f ca="1" t="shared" si="29"/>
        <v>0</v>
      </c>
      <c r="O601" s="56">
        <f ca="1" t="shared" si="30"/>
        <v>0</v>
      </c>
      <c r="P601" s="56">
        <f ca="1" t="shared" si="31"/>
        <v>0</v>
      </c>
      <c r="Q601" s="56">
        <f ca="1" t="shared" si="32"/>
        <v>0</v>
      </c>
      <c r="R601" s="56">
        <f ca="1" t="shared" si="33"/>
        <v>0</v>
      </c>
      <c r="S601" s="56">
        <f ca="1" t="shared" si="34"/>
        <v>0</v>
      </c>
      <c r="T601" s="56">
        <f ca="1" t="shared" si="35"/>
        <v>54248</v>
      </c>
      <c r="U601" s="48"/>
    </row>
    <row r="602" spans="2:21">
      <c r="B602" s="35">
        <v>0</v>
      </c>
      <c r="C602" s="44" t="s">
        <v>493</v>
      </c>
      <c r="D602" s="71">
        <f ca="1" t="shared" si="20"/>
        <v>0</v>
      </c>
      <c r="E602" s="56">
        <f ca="1" t="shared" si="21"/>
        <v>0</v>
      </c>
      <c r="F602" s="72">
        <f ca="1" t="shared" si="22"/>
        <v>0</v>
      </c>
      <c r="G602" s="56">
        <f ca="1" t="shared" si="23"/>
        <v>0</v>
      </c>
      <c r="H602" s="56">
        <f ca="1" t="shared" si="24"/>
        <v>0</v>
      </c>
      <c r="I602" s="56">
        <f ca="1" t="shared" si="25"/>
        <v>14516</v>
      </c>
      <c r="J602" s="56"/>
      <c r="K602" s="56">
        <f ca="1" t="shared" si="26"/>
        <v>0</v>
      </c>
      <c r="L602" s="56">
        <f ca="1" t="shared" si="27"/>
        <v>1699888</v>
      </c>
      <c r="M602" s="56">
        <f ca="1" t="shared" si="28"/>
        <v>0</v>
      </c>
      <c r="N602" s="56">
        <f ca="1" t="shared" si="29"/>
        <v>0</v>
      </c>
      <c r="O602" s="56">
        <f ca="1" t="shared" si="30"/>
        <v>0</v>
      </c>
      <c r="P602" s="56">
        <f ca="1" t="shared" si="31"/>
        <v>0</v>
      </c>
      <c r="Q602" s="73">
        <f ca="1" t="shared" si="32"/>
        <v>0</v>
      </c>
      <c r="R602" s="56">
        <f ca="1" t="shared" si="33"/>
        <v>0</v>
      </c>
      <c r="S602" s="56">
        <f ca="1" t="shared" si="34"/>
        <v>0</v>
      </c>
      <c r="T602" s="56">
        <f ca="1" t="shared" si="35"/>
        <v>1714404</v>
      </c>
      <c r="U602" s="48"/>
    </row>
    <row r="603" spans="2:21">
      <c r="B603" s="35">
        <v>0</v>
      </c>
      <c r="C603" s="44" t="s">
        <v>473</v>
      </c>
      <c r="D603" s="70">
        <f ca="1" t="shared" si="20"/>
        <v>386651</v>
      </c>
      <c r="E603" s="56">
        <f ca="1" t="shared" si="21"/>
        <v>0</v>
      </c>
      <c r="F603" s="73">
        <f ca="1" t="shared" si="22"/>
        <v>476659.89</v>
      </c>
      <c r="G603" s="56">
        <f ca="1" t="shared" si="23"/>
        <v>0</v>
      </c>
      <c r="H603" s="56">
        <f ca="1" t="shared" si="24"/>
        <v>0</v>
      </c>
      <c r="I603" s="73">
        <f ca="1" t="shared" si="25"/>
        <v>565838</v>
      </c>
      <c r="J603" s="56"/>
      <c r="K603" s="56">
        <f ca="1" t="shared" si="26"/>
        <v>0</v>
      </c>
      <c r="L603" s="56">
        <f ca="1" t="shared" si="27"/>
        <v>0</v>
      </c>
      <c r="M603" s="56">
        <f ca="1" t="shared" si="28"/>
        <v>0</v>
      </c>
      <c r="N603" s="56">
        <f ca="1" t="shared" si="29"/>
        <v>0</v>
      </c>
      <c r="O603" s="56">
        <f ca="1" t="shared" si="30"/>
        <v>0</v>
      </c>
      <c r="P603" s="56">
        <f ca="1" t="shared" si="31"/>
        <v>0</v>
      </c>
      <c r="Q603" s="70">
        <f ca="1" t="shared" si="32"/>
        <v>481356.97</v>
      </c>
      <c r="R603" s="56">
        <f ca="1" t="shared" si="33"/>
        <v>0</v>
      </c>
      <c r="S603" s="56">
        <f ca="1" t="shared" si="34"/>
        <v>0</v>
      </c>
      <c r="T603" s="56">
        <f ca="1" t="shared" si="35"/>
        <v>1910505.86</v>
      </c>
      <c r="U603" s="48"/>
    </row>
    <row r="604" spans="2:21">
      <c r="B604" s="35">
        <v>0</v>
      </c>
      <c r="C604" s="44" t="s">
        <v>478</v>
      </c>
      <c r="D604" s="70">
        <f ca="1" t="shared" si="20"/>
        <v>447353.54</v>
      </c>
      <c r="E604" s="56">
        <f ca="1" t="shared" si="21"/>
        <v>0</v>
      </c>
      <c r="F604" s="56">
        <f ca="1" t="shared" si="22"/>
        <v>0</v>
      </c>
      <c r="G604" s="56">
        <f ca="1" t="shared" si="23"/>
        <v>0</v>
      </c>
      <c r="H604" s="56">
        <f ca="1" t="shared" si="24"/>
        <v>0</v>
      </c>
      <c r="I604" s="56">
        <f ca="1" t="shared" si="25"/>
        <v>0</v>
      </c>
      <c r="J604" s="56"/>
      <c r="K604" s="56">
        <f ca="1" t="shared" si="26"/>
        <v>0</v>
      </c>
      <c r="L604" s="56">
        <f ca="1" t="shared" si="27"/>
        <v>0</v>
      </c>
      <c r="M604" s="56">
        <f ca="1" t="shared" si="28"/>
        <v>0</v>
      </c>
      <c r="N604" s="56">
        <f ca="1" t="shared" si="29"/>
        <v>0</v>
      </c>
      <c r="O604" s="56">
        <f ca="1" t="shared" si="30"/>
        <v>0</v>
      </c>
      <c r="P604" s="56">
        <f ca="1" t="shared" si="31"/>
        <v>0</v>
      </c>
      <c r="Q604" s="70">
        <f ca="1" t="shared" si="32"/>
        <v>635846.46</v>
      </c>
      <c r="R604" s="56">
        <f ca="1" t="shared" si="33"/>
        <v>0</v>
      </c>
      <c r="S604" s="56">
        <f ca="1" t="shared" si="34"/>
        <v>0</v>
      </c>
      <c r="T604" s="56">
        <f ca="1" t="shared" si="35"/>
        <v>1083200</v>
      </c>
      <c r="U604" s="48"/>
    </row>
    <row r="605" spans="2:21">
      <c r="B605" s="35">
        <v>0</v>
      </c>
      <c r="C605" s="44" t="s">
        <v>517</v>
      </c>
      <c r="D605" s="74">
        <f ca="1" t="shared" si="20"/>
        <v>20000</v>
      </c>
      <c r="E605" s="56">
        <f ca="1" t="shared" si="21"/>
        <v>0</v>
      </c>
      <c r="F605" s="73">
        <f ca="1" t="shared" si="22"/>
        <v>20000</v>
      </c>
      <c r="G605" s="56">
        <f ca="1" t="shared" si="23"/>
        <v>0</v>
      </c>
      <c r="H605" s="56">
        <f ca="1" t="shared" si="24"/>
        <v>0</v>
      </c>
      <c r="I605" s="56">
        <f ca="1" t="shared" si="25"/>
        <v>0</v>
      </c>
      <c r="J605" s="56"/>
      <c r="K605" s="56">
        <f ca="1" t="shared" si="26"/>
        <v>0</v>
      </c>
      <c r="L605" s="56">
        <f ca="1" t="shared" si="27"/>
        <v>0</v>
      </c>
      <c r="M605" s="56">
        <f ca="1" t="shared" si="28"/>
        <v>0</v>
      </c>
      <c r="N605" s="56">
        <f ca="1" t="shared" si="29"/>
        <v>0</v>
      </c>
      <c r="O605" s="56">
        <f ca="1" t="shared" si="30"/>
        <v>0</v>
      </c>
      <c r="P605" s="56">
        <f ca="1" t="shared" si="31"/>
        <v>0</v>
      </c>
      <c r="Q605" s="74">
        <f ca="1" t="shared" si="32"/>
        <v>73625</v>
      </c>
      <c r="R605" s="56">
        <f ca="1" t="shared" si="33"/>
        <v>0</v>
      </c>
      <c r="S605" s="56">
        <f ca="1" t="shared" si="34"/>
        <v>0</v>
      </c>
      <c r="T605" s="56">
        <f ca="1" t="shared" si="35"/>
        <v>113625</v>
      </c>
      <c r="U605" s="48"/>
    </row>
    <row r="606" spans="2:21">
      <c r="B606" s="35">
        <v>0</v>
      </c>
      <c r="C606" s="44" t="s">
        <v>585</v>
      </c>
      <c r="D606" s="71">
        <f ca="1" t="shared" si="20"/>
        <v>0</v>
      </c>
      <c r="E606" s="56">
        <f ca="1" t="shared" si="21"/>
        <v>0</v>
      </c>
      <c r="F606" s="56">
        <f ca="1" t="shared" si="22"/>
        <v>0</v>
      </c>
      <c r="G606" s="56">
        <f ca="1" t="shared" si="23"/>
        <v>0</v>
      </c>
      <c r="H606" s="56">
        <f ca="1" t="shared" si="24"/>
        <v>0</v>
      </c>
      <c r="I606" s="56">
        <f ca="1" t="shared" si="25"/>
        <v>0</v>
      </c>
      <c r="J606" s="56"/>
      <c r="K606" s="56">
        <f ca="1" t="shared" si="26"/>
        <v>0</v>
      </c>
      <c r="L606" s="56">
        <f ca="1" t="shared" si="27"/>
        <v>90</v>
      </c>
      <c r="M606" s="56">
        <f ca="1" t="shared" si="28"/>
        <v>0</v>
      </c>
      <c r="N606" s="56">
        <f ca="1" t="shared" si="29"/>
        <v>0</v>
      </c>
      <c r="O606" s="56">
        <f ca="1" t="shared" si="30"/>
        <v>0</v>
      </c>
      <c r="P606" s="56">
        <f ca="1" t="shared" si="31"/>
        <v>0</v>
      </c>
      <c r="Q606" s="56">
        <f ca="1" t="shared" si="32"/>
        <v>0</v>
      </c>
      <c r="R606" s="56">
        <f ca="1" t="shared" si="33"/>
        <v>0</v>
      </c>
      <c r="S606" s="56">
        <f ca="1" t="shared" si="34"/>
        <v>0</v>
      </c>
      <c r="T606" s="56">
        <f ca="1" t="shared" si="35"/>
        <v>90</v>
      </c>
      <c r="U606" s="48"/>
    </row>
    <row r="607" spans="2:21">
      <c r="B607" s="35">
        <v>0</v>
      </c>
      <c r="C607" s="44" t="s">
        <v>574</v>
      </c>
      <c r="D607" s="71">
        <f ca="1" t="shared" si="20"/>
        <v>0</v>
      </c>
      <c r="E607" s="56">
        <f ca="1" t="shared" si="21"/>
        <v>0</v>
      </c>
      <c r="F607" s="56">
        <f ca="1" t="shared" si="22"/>
        <v>0</v>
      </c>
      <c r="G607" s="56">
        <f ca="1" t="shared" si="23"/>
        <v>0</v>
      </c>
      <c r="H607" s="56">
        <f ca="1" t="shared" si="24"/>
        <v>0</v>
      </c>
      <c r="I607" s="56">
        <f ca="1" t="shared" si="25"/>
        <v>0</v>
      </c>
      <c r="J607" s="56"/>
      <c r="K607" s="56">
        <f ca="1" t="shared" si="26"/>
        <v>0</v>
      </c>
      <c r="L607" s="56">
        <f ca="1" t="shared" si="27"/>
        <v>26331.25</v>
      </c>
      <c r="M607" s="56">
        <f ca="1" t="shared" si="28"/>
        <v>0</v>
      </c>
      <c r="N607" s="56">
        <f ca="1" t="shared" si="29"/>
        <v>0</v>
      </c>
      <c r="O607" s="56">
        <f ca="1" t="shared" si="30"/>
        <v>0</v>
      </c>
      <c r="P607" s="56">
        <f ca="1" t="shared" si="31"/>
        <v>0</v>
      </c>
      <c r="Q607" s="56">
        <f ca="1" t="shared" si="32"/>
        <v>0</v>
      </c>
      <c r="R607" s="56">
        <f ca="1" t="shared" si="33"/>
        <v>0</v>
      </c>
      <c r="S607" s="56">
        <f ca="1" t="shared" si="34"/>
        <v>0</v>
      </c>
      <c r="T607" s="56">
        <f ca="1" t="shared" si="35"/>
        <v>26331.25</v>
      </c>
      <c r="U607" s="48"/>
    </row>
    <row r="608" spans="2:21">
      <c r="B608" s="35">
        <v>0</v>
      </c>
      <c r="C608" s="44" t="s">
        <v>622</v>
      </c>
      <c r="D608" s="71">
        <f ca="1" t="shared" si="20"/>
        <v>0</v>
      </c>
      <c r="E608" s="56">
        <f ca="1" t="shared" si="21"/>
        <v>0</v>
      </c>
      <c r="F608" s="73">
        <f ca="1" t="shared" si="22"/>
        <v>0</v>
      </c>
      <c r="G608" s="56">
        <f ca="1" t="shared" si="23"/>
        <v>0</v>
      </c>
      <c r="H608" s="56">
        <f ca="1" t="shared" si="24"/>
        <v>0</v>
      </c>
      <c r="I608" s="56">
        <f ca="1" t="shared" si="25"/>
        <v>0</v>
      </c>
      <c r="J608" s="56"/>
      <c r="K608" s="56">
        <f ca="1" t="shared" si="26"/>
        <v>0</v>
      </c>
      <c r="L608" s="56">
        <f ca="1" t="shared" si="27"/>
        <v>0</v>
      </c>
      <c r="M608" s="56">
        <f ca="1" t="shared" si="28"/>
        <v>0</v>
      </c>
      <c r="N608" s="56">
        <f ca="1" t="shared" si="29"/>
        <v>0</v>
      </c>
      <c r="O608" s="56">
        <f ca="1" t="shared" si="30"/>
        <v>0</v>
      </c>
      <c r="P608" s="56">
        <f ca="1" t="shared" si="31"/>
        <v>0</v>
      </c>
      <c r="Q608" s="56">
        <f ca="1" t="shared" si="32"/>
        <v>0</v>
      </c>
      <c r="R608" s="56">
        <f ca="1" t="shared" si="33"/>
        <v>0</v>
      </c>
      <c r="S608" s="56">
        <f ca="1" t="shared" si="34"/>
        <v>0</v>
      </c>
      <c r="T608" s="56">
        <f ca="1" t="shared" si="35"/>
        <v>0</v>
      </c>
      <c r="U608" s="48"/>
    </row>
    <row r="609" spans="2:21">
      <c r="B609" s="35">
        <v>0</v>
      </c>
      <c r="C609" s="44" t="s">
        <v>520</v>
      </c>
      <c r="D609" s="74">
        <f ca="1" t="shared" si="20"/>
        <v>0</v>
      </c>
      <c r="E609" s="56">
        <f ca="1" t="shared" si="21"/>
        <v>0</v>
      </c>
      <c r="F609" s="56">
        <f ca="1" t="shared" si="22"/>
        <v>0</v>
      </c>
      <c r="G609" s="56">
        <f ca="1" t="shared" si="23"/>
        <v>0</v>
      </c>
      <c r="H609" s="56">
        <f ca="1" t="shared" si="24"/>
        <v>0</v>
      </c>
      <c r="I609" s="56">
        <f ca="1" t="shared" si="25"/>
        <v>0</v>
      </c>
      <c r="J609" s="56"/>
      <c r="K609" s="56">
        <f ca="1" t="shared" si="26"/>
        <v>0</v>
      </c>
      <c r="L609" s="56">
        <f ca="1" t="shared" si="27"/>
        <v>0</v>
      </c>
      <c r="M609" s="56">
        <f ca="1" t="shared" si="28"/>
        <v>0</v>
      </c>
      <c r="N609" s="56">
        <f ca="1" t="shared" si="29"/>
        <v>0</v>
      </c>
      <c r="O609" s="56">
        <f ca="1" t="shared" si="30"/>
        <v>0</v>
      </c>
      <c r="P609" s="56">
        <f ca="1" t="shared" si="31"/>
        <v>0</v>
      </c>
      <c r="Q609" s="56">
        <f ca="1" t="shared" si="32"/>
        <v>0</v>
      </c>
      <c r="R609" s="56">
        <f ca="1" t="shared" si="33"/>
        <v>0</v>
      </c>
      <c r="S609" s="56">
        <f ca="1" t="shared" si="34"/>
        <v>0</v>
      </c>
      <c r="T609" s="56">
        <f ca="1" t="shared" si="35"/>
        <v>0</v>
      </c>
      <c r="U609" s="48"/>
    </row>
    <row r="610" spans="2:21">
      <c r="B610" s="35">
        <v>0</v>
      </c>
      <c r="C610" s="44" t="s">
        <v>548</v>
      </c>
      <c r="D610" s="71">
        <f ca="1" t="shared" si="20"/>
        <v>150</v>
      </c>
      <c r="E610" s="56">
        <f ca="1" t="shared" si="21"/>
        <v>0</v>
      </c>
      <c r="F610" s="73">
        <f ca="1" t="shared" si="22"/>
        <v>33526.47</v>
      </c>
      <c r="G610" s="56">
        <f ca="1" t="shared" si="23"/>
        <v>0</v>
      </c>
      <c r="H610" s="56">
        <f ca="1" t="shared" si="24"/>
        <v>0</v>
      </c>
      <c r="I610" s="56">
        <f ca="1" t="shared" si="25"/>
        <v>0</v>
      </c>
      <c r="J610" s="56"/>
      <c r="K610" s="56">
        <f ca="1" t="shared" si="26"/>
        <v>0</v>
      </c>
      <c r="L610" s="56">
        <f ca="1" t="shared" si="27"/>
        <v>0</v>
      </c>
      <c r="M610" s="56">
        <f ca="1" t="shared" si="28"/>
        <v>0</v>
      </c>
      <c r="N610" s="56">
        <f ca="1" t="shared" si="29"/>
        <v>0</v>
      </c>
      <c r="O610" s="56">
        <f ca="1" t="shared" si="30"/>
        <v>0</v>
      </c>
      <c r="P610" s="56">
        <f ca="1" t="shared" si="31"/>
        <v>0</v>
      </c>
      <c r="Q610" s="56">
        <f ca="1" t="shared" si="32"/>
        <v>0</v>
      </c>
      <c r="R610" s="56">
        <f ca="1" t="shared" si="33"/>
        <v>0</v>
      </c>
      <c r="S610" s="56">
        <f ca="1" t="shared" si="34"/>
        <v>0</v>
      </c>
      <c r="T610" s="56">
        <f ca="1" t="shared" si="35"/>
        <v>33676.47</v>
      </c>
      <c r="U610" s="48"/>
    </row>
    <row r="611" spans="2:21">
      <c r="B611" s="35">
        <v>0</v>
      </c>
      <c r="C611" s="44" t="s">
        <v>494</v>
      </c>
      <c r="D611" s="70">
        <f ca="1" t="shared" si="20"/>
        <v>105560</v>
      </c>
      <c r="E611" s="56">
        <f ca="1" t="shared" si="21"/>
        <v>0</v>
      </c>
      <c r="F611" s="56">
        <f ca="1" t="shared" si="22"/>
        <v>0</v>
      </c>
      <c r="G611" s="56">
        <f ca="1" t="shared" si="23"/>
        <v>0</v>
      </c>
      <c r="H611" s="56">
        <f ca="1" t="shared" si="24"/>
        <v>0</v>
      </c>
      <c r="I611" s="56">
        <f ca="1" t="shared" si="25"/>
        <v>0</v>
      </c>
      <c r="J611" s="56"/>
      <c r="K611" s="56">
        <f ca="1" t="shared" si="26"/>
        <v>0</v>
      </c>
      <c r="L611" s="56">
        <f ca="1" t="shared" si="27"/>
        <v>0</v>
      </c>
      <c r="M611" s="56">
        <f ca="1" t="shared" si="28"/>
        <v>0</v>
      </c>
      <c r="N611" s="56">
        <f ca="1" t="shared" si="29"/>
        <v>0</v>
      </c>
      <c r="O611" s="56">
        <f ca="1" t="shared" si="30"/>
        <v>0</v>
      </c>
      <c r="P611" s="56">
        <f ca="1" t="shared" si="31"/>
        <v>0</v>
      </c>
      <c r="Q611" s="74">
        <f ca="1" t="shared" si="32"/>
        <v>1500</v>
      </c>
      <c r="R611" s="56">
        <f ca="1" t="shared" si="33"/>
        <v>0</v>
      </c>
      <c r="S611" s="56">
        <f ca="1" t="shared" si="34"/>
        <v>0</v>
      </c>
      <c r="T611" s="56">
        <f ca="1" t="shared" si="35"/>
        <v>107060</v>
      </c>
      <c r="U611" s="48"/>
    </row>
    <row r="612" spans="2:21">
      <c r="B612" s="35">
        <v>0</v>
      </c>
      <c r="C612" s="44" t="s">
        <v>483</v>
      </c>
      <c r="D612" s="70">
        <f ca="1" t="shared" si="20"/>
        <v>247242</v>
      </c>
      <c r="E612" s="56">
        <f ca="1" t="shared" si="21"/>
        <v>0</v>
      </c>
      <c r="F612" s="73">
        <f ca="1" t="shared" si="22"/>
        <v>616852.48</v>
      </c>
      <c r="G612" s="56">
        <f ca="1" t="shared" si="23"/>
        <v>0</v>
      </c>
      <c r="H612" s="56">
        <f ca="1" t="shared" si="24"/>
        <v>0</v>
      </c>
      <c r="I612" s="73">
        <f ca="1" t="shared" si="25"/>
        <v>0</v>
      </c>
      <c r="J612" s="56"/>
      <c r="K612" s="56">
        <f ca="1" t="shared" si="26"/>
        <v>0</v>
      </c>
      <c r="L612" s="56">
        <f ca="1" t="shared" si="27"/>
        <v>0</v>
      </c>
      <c r="M612" s="56">
        <f ca="1" t="shared" si="28"/>
        <v>0</v>
      </c>
      <c r="N612" s="56">
        <f ca="1" t="shared" si="29"/>
        <v>0</v>
      </c>
      <c r="O612" s="56">
        <f ca="1" t="shared" si="30"/>
        <v>0</v>
      </c>
      <c r="P612" s="56">
        <f ca="1" t="shared" si="31"/>
        <v>0</v>
      </c>
      <c r="Q612" s="70">
        <f ca="1" t="shared" si="32"/>
        <v>214254</v>
      </c>
      <c r="R612" s="56">
        <f ca="1" t="shared" si="33"/>
        <v>0</v>
      </c>
      <c r="S612" s="56">
        <f ca="1" t="shared" si="34"/>
        <v>0</v>
      </c>
      <c r="T612" s="56">
        <f ca="1" t="shared" si="35"/>
        <v>1078348.48</v>
      </c>
      <c r="U612" s="48"/>
    </row>
    <row r="613" spans="2:21">
      <c r="B613" s="35">
        <v>0</v>
      </c>
      <c r="C613" s="44" t="s">
        <v>484</v>
      </c>
      <c r="D613" s="70">
        <f ca="1" t="shared" si="20"/>
        <v>0</v>
      </c>
      <c r="E613" s="56">
        <f ca="1" t="shared" si="21"/>
        <v>0</v>
      </c>
      <c r="F613" s="73">
        <f ca="1" t="shared" si="22"/>
        <v>0</v>
      </c>
      <c r="G613" s="56">
        <f ca="1" t="shared" si="23"/>
        <v>0</v>
      </c>
      <c r="H613" s="56">
        <f ca="1" t="shared" si="24"/>
        <v>0</v>
      </c>
      <c r="I613" s="73">
        <f ca="1" t="shared" si="25"/>
        <v>116871.3</v>
      </c>
      <c r="J613" s="56"/>
      <c r="K613" s="56">
        <f ca="1" t="shared" si="26"/>
        <v>0</v>
      </c>
      <c r="L613" s="56">
        <f ca="1" t="shared" si="27"/>
        <v>0</v>
      </c>
      <c r="M613" s="56">
        <f ca="1" t="shared" si="28"/>
        <v>0</v>
      </c>
      <c r="N613" s="56">
        <f ca="1" t="shared" si="29"/>
        <v>0</v>
      </c>
      <c r="O613" s="56">
        <f ca="1" t="shared" si="30"/>
        <v>0</v>
      </c>
      <c r="P613" s="56">
        <f ca="1" t="shared" si="31"/>
        <v>0</v>
      </c>
      <c r="Q613" s="70">
        <f ca="1" t="shared" si="32"/>
        <v>0</v>
      </c>
      <c r="R613" s="56">
        <f ca="1" t="shared" si="33"/>
        <v>0</v>
      </c>
      <c r="S613" s="56">
        <f ca="1" t="shared" si="34"/>
        <v>0</v>
      </c>
      <c r="T613" s="56">
        <f ca="1" t="shared" si="35"/>
        <v>116871.3</v>
      </c>
      <c r="U613" s="48"/>
    </row>
    <row r="614" spans="2:21">
      <c r="B614" s="35">
        <v>0</v>
      </c>
      <c r="C614" s="44" t="s">
        <v>502</v>
      </c>
      <c r="D614" s="70">
        <f ca="1" t="shared" si="20"/>
        <v>1600</v>
      </c>
      <c r="E614" s="56">
        <f ca="1" t="shared" si="21"/>
        <v>0</v>
      </c>
      <c r="F614" s="56">
        <f ca="1" t="shared" si="22"/>
        <v>0</v>
      </c>
      <c r="G614" s="56">
        <f ca="1" t="shared" si="23"/>
        <v>0</v>
      </c>
      <c r="H614" s="56">
        <f ca="1" t="shared" si="24"/>
        <v>0</v>
      </c>
      <c r="I614" s="56">
        <f ca="1" t="shared" si="25"/>
        <v>0</v>
      </c>
      <c r="J614" s="56"/>
      <c r="K614" s="56">
        <f ca="1" t="shared" si="26"/>
        <v>0</v>
      </c>
      <c r="L614" s="56">
        <f ca="1" t="shared" si="27"/>
        <v>36951</v>
      </c>
      <c r="M614" s="56">
        <f ca="1" t="shared" si="28"/>
        <v>0</v>
      </c>
      <c r="N614" s="56">
        <f ca="1" t="shared" si="29"/>
        <v>0</v>
      </c>
      <c r="O614" s="56">
        <f ca="1" t="shared" si="30"/>
        <v>0</v>
      </c>
      <c r="P614" s="56">
        <f ca="1" t="shared" si="31"/>
        <v>0</v>
      </c>
      <c r="Q614" s="56">
        <f ca="1" t="shared" si="32"/>
        <v>0</v>
      </c>
      <c r="R614" s="56">
        <f ca="1" t="shared" si="33"/>
        <v>0</v>
      </c>
      <c r="S614" s="56">
        <f ca="1" t="shared" si="34"/>
        <v>0</v>
      </c>
      <c r="T614" s="56">
        <f ca="1" t="shared" si="35"/>
        <v>38551</v>
      </c>
      <c r="U614" s="48"/>
    </row>
    <row r="615" spans="2:21">
      <c r="B615" s="35">
        <v>0</v>
      </c>
      <c r="C615" s="44" t="s">
        <v>512</v>
      </c>
      <c r="D615" s="70">
        <f ca="1" t="shared" si="20"/>
        <v>1500</v>
      </c>
      <c r="E615" s="56">
        <f ca="1" t="shared" si="21"/>
        <v>0</v>
      </c>
      <c r="F615" s="56">
        <f ca="1" t="shared" si="22"/>
        <v>0</v>
      </c>
      <c r="G615" s="56">
        <f ca="1" t="shared" si="23"/>
        <v>0</v>
      </c>
      <c r="H615" s="56">
        <f ca="1" t="shared" si="24"/>
        <v>0</v>
      </c>
      <c r="I615" s="56">
        <f ca="1" t="shared" si="25"/>
        <v>0</v>
      </c>
      <c r="J615" s="56"/>
      <c r="K615" s="56">
        <f ca="1" t="shared" si="26"/>
        <v>0</v>
      </c>
      <c r="L615" s="56">
        <f ca="1" t="shared" si="27"/>
        <v>0</v>
      </c>
      <c r="M615" s="56">
        <f ca="1" t="shared" si="28"/>
        <v>0</v>
      </c>
      <c r="N615" s="56">
        <f ca="1" t="shared" si="29"/>
        <v>0</v>
      </c>
      <c r="O615" s="56">
        <f ca="1" t="shared" si="30"/>
        <v>0</v>
      </c>
      <c r="P615" s="56">
        <f ca="1" t="shared" si="31"/>
        <v>0</v>
      </c>
      <c r="Q615" s="56">
        <f ca="1" t="shared" si="32"/>
        <v>0</v>
      </c>
      <c r="R615" s="56">
        <f ca="1" t="shared" si="33"/>
        <v>0</v>
      </c>
      <c r="S615" s="56">
        <f ca="1" t="shared" si="34"/>
        <v>0</v>
      </c>
      <c r="T615" s="56">
        <f ca="1" t="shared" si="35"/>
        <v>1500</v>
      </c>
      <c r="U615" s="48"/>
    </row>
    <row r="616" spans="2:21">
      <c r="B616" s="35">
        <v>0</v>
      </c>
      <c r="C616" s="44" t="s">
        <v>474</v>
      </c>
      <c r="D616" s="74">
        <f ca="1" t="shared" si="20"/>
        <v>0</v>
      </c>
      <c r="E616" s="56">
        <f ca="1" t="shared" si="21"/>
        <v>0</v>
      </c>
      <c r="F616" s="73">
        <f ca="1" t="shared" si="22"/>
        <v>1750000</v>
      </c>
      <c r="G616" s="56">
        <f ca="1" t="shared" si="23"/>
        <v>0</v>
      </c>
      <c r="H616" s="56">
        <f ca="1" t="shared" si="24"/>
        <v>37534.54</v>
      </c>
      <c r="I616" s="56">
        <f ca="1" t="shared" si="25"/>
        <v>0</v>
      </c>
      <c r="J616" s="56"/>
      <c r="K616" s="56">
        <f ca="1" t="shared" si="26"/>
        <v>0</v>
      </c>
      <c r="L616" s="56">
        <f ca="1" t="shared" si="27"/>
        <v>0</v>
      </c>
      <c r="M616" s="56">
        <f ca="1" t="shared" si="28"/>
        <v>0</v>
      </c>
      <c r="N616" s="56">
        <f ca="1" t="shared" si="29"/>
        <v>0</v>
      </c>
      <c r="O616" s="56">
        <f ca="1" t="shared" si="30"/>
        <v>0</v>
      </c>
      <c r="P616" s="56">
        <f ca="1" t="shared" si="31"/>
        <v>0</v>
      </c>
      <c r="Q616" s="73">
        <f ca="1" t="shared" si="32"/>
        <v>0</v>
      </c>
      <c r="R616" s="56">
        <f ca="1" t="shared" si="33"/>
        <v>0</v>
      </c>
      <c r="S616" s="56">
        <f ca="1" t="shared" si="34"/>
        <v>0</v>
      </c>
      <c r="T616" s="56">
        <f ca="1" t="shared" si="35"/>
        <v>1787534.54</v>
      </c>
      <c r="U616" s="48"/>
    </row>
    <row r="617" spans="2:21">
      <c r="B617" s="35">
        <v>0</v>
      </c>
      <c r="C617" s="44" t="s">
        <v>497</v>
      </c>
      <c r="D617" s="70">
        <f ca="1" t="shared" si="20"/>
        <v>22900</v>
      </c>
      <c r="E617" s="56">
        <f ca="1" t="shared" si="21"/>
        <v>0</v>
      </c>
      <c r="F617" s="56">
        <f ca="1" t="shared" si="22"/>
        <v>0</v>
      </c>
      <c r="G617" s="56">
        <f ca="1" t="shared" si="23"/>
        <v>0</v>
      </c>
      <c r="H617" s="56">
        <f ca="1" t="shared" si="24"/>
        <v>0</v>
      </c>
      <c r="I617" s="56">
        <f ca="1" t="shared" si="25"/>
        <v>0</v>
      </c>
      <c r="J617" s="56"/>
      <c r="K617" s="56">
        <f ca="1" t="shared" si="26"/>
        <v>0</v>
      </c>
      <c r="L617" s="56">
        <f ca="1" t="shared" si="27"/>
        <v>0</v>
      </c>
      <c r="M617" s="56">
        <f ca="1" t="shared" si="28"/>
        <v>0</v>
      </c>
      <c r="N617" s="56">
        <f ca="1" t="shared" si="29"/>
        <v>0</v>
      </c>
      <c r="O617" s="56">
        <f ca="1" t="shared" si="30"/>
        <v>0</v>
      </c>
      <c r="P617" s="56">
        <f ca="1" t="shared" si="31"/>
        <v>0</v>
      </c>
      <c r="Q617" s="70">
        <f ca="1" t="shared" si="32"/>
        <v>33515.36</v>
      </c>
      <c r="R617" s="56">
        <f ca="1" t="shared" si="33"/>
        <v>0</v>
      </c>
      <c r="S617" s="56">
        <f ca="1" t="shared" si="34"/>
        <v>0</v>
      </c>
      <c r="T617" s="56">
        <f ca="1" t="shared" si="35"/>
        <v>56415.36</v>
      </c>
      <c r="U617" s="48"/>
    </row>
    <row r="618" spans="2:21">
      <c r="B618" s="35">
        <v>0</v>
      </c>
      <c r="C618" s="44" t="s">
        <v>959</v>
      </c>
      <c r="D618" s="71">
        <f ca="1" t="shared" si="20"/>
        <v>0</v>
      </c>
      <c r="E618" s="56">
        <f ca="1" t="shared" si="21"/>
        <v>0</v>
      </c>
      <c r="F618" s="56">
        <f ca="1" t="shared" si="22"/>
        <v>0</v>
      </c>
      <c r="G618" s="56">
        <f ca="1" t="shared" si="23"/>
        <v>0</v>
      </c>
      <c r="H618" s="56">
        <f ca="1" t="shared" si="24"/>
        <v>0</v>
      </c>
      <c r="I618" s="56">
        <f ca="1" t="shared" si="25"/>
        <v>0</v>
      </c>
      <c r="J618" s="56"/>
      <c r="K618" s="56">
        <f ca="1" t="shared" si="26"/>
        <v>0</v>
      </c>
      <c r="L618" s="56">
        <f ca="1" t="shared" si="27"/>
        <v>1782767</v>
      </c>
      <c r="M618" s="56">
        <f ca="1" t="shared" si="28"/>
        <v>0</v>
      </c>
      <c r="N618" s="56">
        <f ca="1" t="shared" si="29"/>
        <v>0</v>
      </c>
      <c r="O618" s="56">
        <f ca="1" t="shared" si="30"/>
        <v>0</v>
      </c>
      <c r="P618" s="56">
        <f ca="1" t="shared" si="31"/>
        <v>0</v>
      </c>
      <c r="Q618" s="56">
        <f ca="1" t="shared" si="32"/>
        <v>0</v>
      </c>
      <c r="R618" s="56">
        <f ca="1" t="shared" si="33"/>
        <v>0</v>
      </c>
      <c r="S618" s="56">
        <f ca="1" t="shared" si="34"/>
        <v>0</v>
      </c>
      <c r="T618" s="56">
        <f ca="1" t="shared" si="35"/>
        <v>1782767</v>
      </c>
      <c r="U618" s="48"/>
    </row>
    <row r="619" spans="2:21">
      <c r="B619" s="35">
        <v>0</v>
      </c>
      <c r="C619" s="44" t="s">
        <v>527</v>
      </c>
      <c r="D619" s="75">
        <f ca="1" t="shared" si="20"/>
        <v>0</v>
      </c>
      <c r="E619" s="56">
        <f ca="1" t="shared" si="21"/>
        <v>0</v>
      </c>
      <c r="F619" s="56">
        <f ca="1" t="shared" si="22"/>
        <v>0</v>
      </c>
      <c r="G619" s="56">
        <f ca="1" t="shared" si="23"/>
        <v>0</v>
      </c>
      <c r="H619" s="56">
        <f ca="1" t="shared" si="24"/>
        <v>0</v>
      </c>
      <c r="I619" s="56">
        <f ca="1" t="shared" si="25"/>
        <v>0</v>
      </c>
      <c r="J619" s="56"/>
      <c r="K619" s="56">
        <f ca="1" t="shared" si="26"/>
        <v>0</v>
      </c>
      <c r="L619" s="56">
        <f ca="1" t="shared" si="27"/>
        <v>0</v>
      </c>
      <c r="M619" s="56">
        <f ca="1" t="shared" si="28"/>
        <v>0</v>
      </c>
      <c r="N619" s="56">
        <f ca="1" t="shared" si="29"/>
        <v>0</v>
      </c>
      <c r="O619" s="56">
        <f ca="1" t="shared" si="30"/>
        <v>0</v>
      </c>
      <c r="P619" s="56">
        <f ca="1" t="shared" si="31"/>
        <v>0</v>
      </c>
      <c r="Q619" s="56">
        <f ca="1" t="shared" si="32"/>
        <v>0</v>
      </c>
      <c r="R619" s="56">
        <f ca="1" t="shared" si="33"/>
        <v>0</v>
      </c>
      <c r="S619" s="56">
        <f ca="1" t="shared" si="34"/>
        <v>0</v>
      </c>
      <c r="T619" s="56">
        <f ca="1" t="shared" si="35"/>
        <v>0</v>
      </c>
      <c r="U619" s="48"/>
    </row>
    <row r="620" spans="2:21">
      <c r="B620" s="35">
        <v>0</v>
      </c>
      <c r="C620" s="44" t="s">
        <v>519</v>
      </c>
      <c r="D620" s="71">
        <f ca="1" t="shared" si="20"/>
        <v>0</v>
      </c>
      <c r="E620" s="56">
        <f ca="1" t="shared" si="21"/>
        <v>0</v>
      </c>
      <c r="F620" s="56">
        <f ca="1" t="shared" si="22"/>
        <v>0</v>
      </c>
      <c r="G620" s="56">
        <f ca="1" t="shared" si="23"/>
        <v>0</v>
      </c>
      <c r="H620" s="56">
        <f ca="1" t="shared" si="24"/>
        <v>0</v>
      </c>
      <c r="I620" s="56">
        <f ca="1" t="shared" si="25"/>
        <v>0</v>
      </c>
      <c r="J620" s="56"/>
      <c r="K620" s="56">
        <f ca="1" t="shared" si="26"/>
        <v>0</v>
      </c>
      <c r="L620" s="56">
        <f ca="1" t="shared" si="27"/>
        <v>0</v>
      </c>
      <c r="M620" s="56">
        <f ca="1" t="shared" si="28"/>
        <v>0</v>
      </c>
      <c r="N620" s="56">
        <f ca="1" t="shared" si="29"/>
        <v>0</v>
      </c>
      <c r="O620" s="56">
        <f ca="1" t="shared" si="30"/>
        <v>0</v>
      </c>
      <c r="P620" s="56">
        <f ca="1" t="shared" si="31"/>
        <v>0</v>
      </c>
      <c r="Q620" s="56">
        <f ca="1" t="shared" si="32"/>
        <v>0</v>
      </c>
      <c r="R620" s="56">
        <f ca="1" t="shared" si="33"/>
        <v>0</v>
      </c>
      <c r="S620" s="56">
        <f ca="1" t="shared" si="34"/>
        <v>0</v>
      </c>
      <c r="T620" s="56">
        <f ca="1" t="shared" si="35"/>
        <v>0</v>
      </c>
      <c r="U620" s="48"/>
    </row>
    <row r="621" spans="3:21">
      <c r="C621" s="44" t="s">
        <v>562</v>
      </c>
      <c r="D621" s="71">
        <f ca="1" t="shared" si="20"/>
        <v>0</v>
      </c>
      <c r="E621" s="56">
        <f ca="1" t="shared" si="21"/>
        <v>0</v>
      </c>
      <c r="F621" s="56">
        <f ca="1" t="shared" si="22"/>
        <v>0</v>
      </c>
      <c r="G621" s="56">
        <f ca="1" t="shared" si="23"/>
        <v>0</v>
      </c>
      <c r="H621" s="56">
        <f ca="1" t="shared" si="24"/>
        <v>0</v>
      </c>
      <c r="I621" s="56">
        <f ca="1" t="shared" si="25"/>
        <v>42775.61</v>
      </c>
      <c r="J621" s="56"/>
      <c r="K621" s="56">
        <f ca="1" t="shared" si="26"/>
        <v>0</v>
      </c>
      <c r="L621" s="56">
        <f ca="1" t="shared" si="27"/>
        <v>0</v>
      </c>
      <c r="M621" s="56">
        <f ca="1" t="shared" si="28"/>
        <v>0</v>
      </c>
      <c r="N621" s="56">
        <f ca="1" t="shared" si="29"/>
        <v>0</v>
      </c>
      <c r="O621" s="56">
        <f ca="1" t="shared" si="30"/>
        <v>0</v>
      </c>
      <c r="P621" s="56">
        <f ca="1" t="shared" si="31"/>
        <v>0</v>
      </c>
      <c r="Q621" s="56">
        <f ca="1" t="shared" si="32"/>
        <v>0</v>
      </c>
      <c r="R621" s="56">
        <f ca="1" t="shared" si="33"/>
        <v>0</v>
      </c>
      <c r="S621" s="56">
        <f ca="1" t="shared" si="34"/>
        <v>0</v>
      </c>
      <c r="T621" s="56">
        <f ca="1" t="shared" si="35"/>
        <v>42775.61</v>
      </c>
      <c r="U621" s="48"/>
    </row>
    <row r="622" spans="3:21">
      <c r="C622" s="44" t="s">
        <v>480</v>
      </c>
      <c r="D622" s="71">
        <f ca="1" t="shared" si="20"/>
        <v>0</v>
      </c>
      <c r="E622" s="56"/>
      <c r="F622" s="56"/>
      <c r="G622" s="56"/>
      <c r="H622" s="56"/>
      <c r="I622" s="56">
        <f ca="1" t="shared" si="25"/>
        <v>0</v>
      </c>
      <c r="J622" s="56"/>
      <c r="K622" s="56"/>
      <c r="L622" s="56">
        <f ca="1" t="shared" si="27"/>
        <v>0</v>
      </c>
      <c r="M622" s="56"/>
      <c r="N622" s="56"/>
      <c r="O622" s="56"/>
      <c r="P622" s="56"/>
      <c r="Q622" s="56">
        <f ca="1" t="shared" si="32"/>
        <v>0</v>
      </c>
      <c r="R622" s="56">
        <f ca="1" t="shared" si="33"/>
        <v>0</v>
      </c>
      <c r="S622" s="56">
        <f ca="1" t="shared" si="34"/>
        <v>0</v>
      </c>
      <c r="T622" s="56">
        <f ca="1" t="shared" si="35"/>
        <v>0</v>
      </c>
      <c r="U622" s="48"/>
    </row>
    <row r="623" spans="2:21">
      <c r="B623" s="56">
        <v>7512379.5</v>
      </c>
      <c r="C623" s="44" t="s">
        <v>472</v>
      </c>
      <c r="D623" s="71">
        <f ca="1" t="shared" si="20"/>
        <v>0</v>
      </c>
      <c r="E623" s="56">
        <f ca="1">SUMIFS($M$5:$M$590,$G$5:$G$590,C623,$H$5:$H$590,$E$598)</f>
        <v>0</v>
      </c>
      <c r="F623" s="56">
        <f ca="1">SUMIFS($M$5:$M$590,$G$5:$G$590,C623,$H$5:$H$590,$F$598,$I$5:$I$590,"Production")</f>
        <v>0</v>
      </c>
      <c r="G623" s="56">
        <f ca="1">SUMIFS($M$5:$M$590,$G$5:$G$590,C623,$H$5:$H$590,$G$598,$I$5:$I$590,"Production")</f>
        <v>5161807.2</v>
      </c>
      <c r="H623" s="56">
        <f ca="1">SUMIFS($M$5:$M$590,$G$5:$G$590,C623,$H$5:$H$590,$H$598,$I$5:$I$590,"Production")</f>
        <v>0</v>
      </c>
      <c r="I623" s="56">
        <f ca="1" t="shared" si="25"/>
        <v>0</v>
      </c>
      <c r="J623" s="56"/>
      <c r="K623" s="56">
        <f ca="1">SUMIFS($M$5:$M$590,$G$5:$G$590,C623,$H$5:$H$590,$K$598,$I$5:$I$590,"Production")</f>
        <v>0</v>
      </c>
      <c r="L623" s="56">
        <f ca="1" t="shared" si="27"/>
        <v>0</v>
      </c>
      <c r="M623" s="56">
        <f ca="1">SUMIFS($M$5:$M$590,$G$5:$G$590,C623,$H$5:$H$590,$M$598)</f>
        <v>0</v>
      </c>
      <c r="N623" s="56">
        <f ca="1">SUMIFS($M$5:$M$590,$G$5:$G$590,C623,$H$5:$H$590,$N$598)</f>
        <v>0</v>
      </c>
      <c r="O623" s="56">
        <f ca="1">SUMIFS($M$5:$M$590,$G$5:$G$590,C623,$H$5:$H$590,$O$598)</f>
        <v>0</v>
      </c>
      <c r="P623" s="56">
        <f ca="1">SUMIFS($M$5:$M$590,$G$5:$G$590,C623,$H$5:$H$590,$P$598)</f>
        <v>0</v>
      </c>
      <c r="Q623" s="74">
        <f ca="1" t="shared" si="32"/>
        <v>266000</v>
      </c>
      <c r="R623" s="56">
        <f ca="1" t="shared" si="33"/>
        <v>856794.75</v>
      </c>
      <c r="S623" s="56">
        <f ca="1" t="shared" si="34"/>
        <v>0</v>
      </c>
      <c r="T623" s="56">
        <f ca="1" t="shared" si="35"/>
        <v>6284601.95</v>
      </c>
      <c r="U623" s="48"/>
    </row>
    <row r="624" spans="2:21">
      <c r="B624" s="56">
        <v>0</v>
      </c>
      <c r="C624" s="44" t="s">
        <v>482</v>
      </c>
      <c r="D624" s="71">
        <f ca="1" t="shared" si="20"/>
        <v>0</v>
      </c>
      <c r="E624" s="56">
        <f ca="1">SUMIFS($M$5:$M$590,$G$5:$G$590,C624,$H$5:$H$590,$E$598)</f>
        <v>0</v>
      </c>
      <c r="F624" s="56">
        <f ca="1">SUMIFS($M$5:$M$590,$G$5:$G$590,C624,$H$5:$H$590,$F$598,$I$5:$I$590,"Production")</f>
        <v>0</v>
      </c>
      <c r="G624" s="56">
        <f ca="1">SUMIFS($M$5:$M$590,$G$5:$G$590,C624,$H$5:$H$590,$G$598,$I$5:$I$590,"Production")</f>
        <v>0</v>
      </c>
      <c r="H624" s="56">
        <f ca="1">SUMIFS($M$5:$M$590,$G$5:$G$590,C624,$H$5:$H$590,$H$598,$I$5:$I$590,"Production")</f>
        <v>0</v>
      </c>
      <c r="I624" s="56">
        <f ca="1" t="shared" si="25"/>
        <v>0</v>
      </c>
      <c r="J624" s="56"/>
      <c r="K624" s="56">
        <f ca="1">SUMIFS($M$5:$M$590,$G$5:$G$590,C624,$H$5:$H$590,$K$598,$I$5:$I$590,"Production")</f>
        <v>0</v>
      </c>
      <c r="L624" s="56">
        <f ca="1" t="shared" si="27"/>
        <v>1564184</v>
      </c>
      <c r="M624" s="56">
        <f ca="1">SUMIFS($M$5:$M$590,$G$5:$G$590,C624,$H$5:$H$590,$M$598)</f>
        <v>0</v>
      </c>
      <c r="N624" s="56">
        <f ca="1">SUMIFS($M$5:$M$590,$G$5:$G$590,C624,$H$5:$H$590,$N$598)</f>
        <v>0</v>
      </c>
      <c r="O624" s="56">
        <f ca="1">SUMIFS($M$5:$M$590,$G$5:$G$590,C624,$H$5:$H$590,$O$598)</f>
        <v>0</v>
      </c>
      <c r="P624" s="56">
        <f ca="1">SUMIFS($M$5:$M$590,$G$5:$G$590,C624,$H$5:$H$590,$P$598)</f>
        <v>0</v>
      </c>
      <c r="Q624" s="56">
        <f ca="1" t="shared" si="32"/>
        <v>0</v>
      </c>
      <c r="R624" s="56">
        <f ca="1" t="shared" si="33"/>
        <v>0</v>
      </c>
      <c r="S624" s="56">
        <f ca="1" t="shared" si="34"/>
        <v>0</v>
      </c>
      <c r="T624" s="56">
        <f ca="1" t="shared" si="35"/>
        <v>1564184</v>
      </c>
      <c r="U624" s="48"/>
    </row>
    <row r="625" spans="2:21">
      <c r="B625" s="56">
        <v>0</v>
      </c>
      <c r="C625" s="44" t="s">
        <v>515</v>
      </c>
      <c r="D625" s="71">
        <f ca="1" t="shared" si="20"/>
        <v>0</v>
      </c>
      <c r="E625" s="56">
        <f ca="1">SUMIFS($M$5:$M$590,$G$5:$G$590,C625,$H$5:$H$590,$E$598)</f>
        <v>0</v>
      </c>
      <c r="F625" s="56">
        <f ca="1">SUMIFS($M$5:$M$590,$G$5:$G$590,C625,$H$5:$H$590,$F$598,$I$5:$I$590,"Production")</f>
        <v>0</v>
      </c>
      <c r="G625" s="56">
        <f ca="1">SUMIFS($M$5:$M$590,$G$5:$G$590,C625,$H$5:$H$590,$G$598,$I$5:$I$590,"Production")</f>
        <v>0</v>
      </c>
      <c r="H625" s="56">
        <f ca="1">SUMIFS($M$5:$M$590,$G$5:$G$590,C625,$H$5:$H$590,$H$598,$I$5:$I$590,"Production")</f>
        <v>0</v>
      </c>
      <c r="I625" s="73">
        <f ca="1" t="shared" si="25"/>
        <v>511440</v>
      </c>
      <c r="J625" s="56"/>
      <c r="K625" s="56">
        <f ca="1">SUMIFS($M$5:$M$590,$G$5:$G$590,C625,$H$5:$H$590,$K$598,$I$5:$I$590,"Production")</f>
        <v>0</v>
      </c>
      <c r="L625" s="56">
        <f ca="1" t="shared" si="27"/>
        <v>470031.97</v>
      </c>
      <c r="M625" s="56">
        <f ca="1">SUMIFS($M$5:$M$590,$G$5:$G$590,C625,$H$5:$H$590,$M$598)</f>
        <v>0</v>
      </c>
      <c r="N625" s="56">
        <f ca="1">SUMIFS($M$5:$M$590,$G$5:$G$590,C625,$H$5:$H$590,$N$598)</f>
        <v>0</v>
      </c>
      <c r="O625" s="56">
        <f ca="1">SUMIFS($M$5:$M$590,$G$5:$G$590,C625,$H$5:$H$590,$O$598)</f>
        <v>0</v>
      </c>
      <c r="P625" s="56">
        <f ca="1">SUMIFS($M$5:$M$590,$G$5:$G$590,C625,$H$5:$H$590,$P$598)</f>
        <v>0</v>
      </c>
      <c r="Q625" s="56">
        <f ca="1" t="shared" si="32"/>
        <v>0</v>
      </c>
      <c r="R625" s="56">
        <f ca="1" t="shared" si="33"/>
        <v>0</v>
      </c>
      <c r="S625" s="56">
        <f ca="1" t="shared" si="34"/>
        <v>0</v>
      </c>
      <c r="T625" s="56">
        <f ca="1" t="shared" si="35"/>
        <v>981471.97</v>
      </c>
      <c r="U625" s="48"/>
    </row>
    <row r="626" spans="2:21">
      <c r="B626" s="56">
        <v>0</v>
      </c>
      <c r="C626" s="44" t="s">
        <v>1008</v>
      </c>
      <c r="D626" s="71">
        <f ca="1" t="shared" si="20"/>
        <v>80430</v>
      </c>
      <c r="E626" s="56">
        <f ca="1">SUMIFS($M$5:$M$590,$G$5:$G$590,C626,$H$5:$H$590,$E$598)</f>
        <v>0</v>
      </c>
      <c r="F626" s="56">
        <f ca="1">SUMIFS($M$5:$M$590,$G$5:$G$590,C626,$H$5:$H$590,$F$598,$I$5:$I$590,"Production")</f>
        <v>0</v>
      </c>
      <c r="G626" s="56">
        <f ca="1">SUMIFS($M$5:$M$590,$G$5:$G$590,C626,$H$5:$H$590,$G$598,$I$5:$I$590,"Production")</f>
        <v>0</v>
      </c>
      <c r="H626" s="56">
        <f ca="1">SUMIFS($M$5:$M$590,$G$5:$G$590,C626,$H$5:$H$590,$H$598,$I$5:$I$590,"Production")</f>
        <v>0</v>
      </c>
      <c r="I626" s="56">
        <f ca="1" t="shared" si="25"/>
        <v>0</v>
      </c>
      <c r="J626" s="56"/>
      <c r="K626" s="56">
        <f ca="1">SUMIFS($M$5:$M$590,$G$5:$G$590,C626,$H$5:$H$590,$K$598,$I$5:$I$590,"Production")</f>
        <v>0</v>
      </c>
      <c r="L626" s="56">
        <f ca="1" t="shared" si="27"/>
        <v>0</v>
      </c>
      <c r="M626" s="56">
        <f ca="1">SUMIFS($M$5:$M$590,$G$5:$G$590,C626,$H$5:$H$590,$M$598)</f>
        <v>0</v>
      </c>
      <c r="N626" s="56">
        <f ca="1">SUMIFS($M$5:$M$590,$G$5:$G$590,C626,$H$5:$H$590,$N$598)</f>
        <v>0</v>
      </c>
      <c r="O626" s="56">
        <f ca="1">SUMIFS($M$5:$M$590,$G$5:$G$590,C626,$H$5:$H$590,$O$598)</f>
        <v>0</v>
      </c>
      <c r="P626" s="56">
        <f ca="1">SUMIFS($M$5:$M$590,$G$5:$G$590,C626,$H$5:$H$590,$P$598)</f>
        <v>0</v>
      </c>
      <c r="Q626" s="56">
        <f ca="1" t="shared" si="32"/>
        <v>0</v>
      </c>
      <c r="R626" s="56">
        <f ca="1" t="shared" si="33"/>
        <v>0</v>
      </c>
      <c r="S626" s="56">
        <f ca="1" t="shared" si="34"/>
        <v>0</v>
      </c>
      <c r="T626" s="56">
        <f ca="1" t="shared" si="35"/>
        <v>80430</v>
      </c>
      <c r="U626" s="48"/>
    </row>
    <row r="627" spans="2:21">
      <c r="B627" s="56">
        <v>0</v>
      </c>
      <c r="C627" s="44" t="s">
        <v>626</v>
      </c>
      <c r="D627" s="71">
        <f ca="1" t="shared" si="20"/>
        <v>0</v>
      </c>
      <c r="E627" s="56">
        <f ca="1">SUMIFS($M$5:$M$590,$G$5:$G$590,C627,$H$5:$H$590,$E$598)</f>
        <v>0</v>
      </c>
      <c r="F627" s="56">
        <f ca="1">SUMIFS($M$5:$M$590,$G$5:$G$590,C627,$H$5:$H$590,$F$598,$I$5:$I$590,"Production")</f>
        <v>0</v>
      </c>
      <c r="G627" s="56">
        <f ca="1">SUMIFS($M$5:$M$590,$G$5:$G$590,C627,$H$5:$H$590,$G$598,$I$5:$I$590,"Production")</f>
        <v>0</v>
      </c>
      <c r="H627" s="56">
        <f ca="1">SUMIFS($M$5:$M$590,$G$5:$G$590,C627,$H$5:$H$590,$H$598,$I$5:$I$590,"Production")</f>
        <v>0</v>
      </c>
      <c r="I627" s="56">
        <f ca="1" t="shared" si="25"/>
        <v>0</v>
      </c>
      <c r="J627" s="56"/>
      <c r="K627" s="56">
        <f ca="1">SUMIFS($M$5:$M$590,$G$5:$G$590,C627,$H$5:$H$590,$K$598,$I$5:$I$590,"Production")</f>
        <v>0</v>
      </c>
      <c r="L627" s="56">
        <f ca="1" t="shared" si="27"/>
        <v>0</v>
      </c>
      <c r="M627" s="56">
        <f ca="1">SUMIFS($M$5:$M$590,$G$5:$G$590,C627,$H$5:$H$590,$M$598)</f>
        <v>0</v>
      </c>
      <c r="N627" s="56">
        <f ca="1">SUMIFS($M$5:$M$590,$G$5:$G$590,C627,$H$5:$H$590,$N$598)</f>
        <v>0</v>
      </c>
      <c r="O627" s="56">
        <f ca="1">SUMIFS($M$5:$M$590,$G$5:$G$590,C627,$H$5:$H$590,$O$598)</f>
        <v>0</v>
      </c>
      <c r="P627" s="56">
        <f ca="1">SUMIFS($M$5:$M$590,$G$5:$G$590,C627,$H$5:$H$590,$P$598)</f>
        <v>0</v>
      </c>
      <c r="Q627" s="56">
        <f ca="1" t="shared" si="32"/>
        <v>0</v>
      </c>
      <c r="R627" s="56">
        <f ca="1" t="shared" si="33"/>
        <v>0</v>
      </c>
      <c r="S627" s="56">
        <f ca="1" t="shared" si="34"/>
        <v>0</v>
      </c>
      <c r="T627" s="56">
        <f ca="1" t="shared" si="35"/>
        <v>0</v>
      </c>
      <c r="U627" s="48"/>
    </row>
    <row r="628" spans="2:21">
      <c r="B628" s="56"/>
      <c r="C628" s="44" t="s">
        <v>618</v>
      </c>
      <c r="D628" s="71"/>
      <c r="E628" s="56"/>
      <c r="F628" s="56"/>
      <c r="G628" s="56"/>
      <c r="H628" s="56"/>
      <c r="I628" s="56">
        <f ca="1" t="shared" si="25"/>
        <v>0</v>
      </c>
      <c r="J628" s="56"/>
      <c r="K628" s="56"/>
      <c r="L628" s="56">
        <f ca="1" t="shared" si="27"/>
        <v>50520.25</v>
      </c>
      <c r="M628" s="56"/>
      <c r="N628" s="56"/>
      <c r="O628" s="56"/>
      <c r="P628" s="56"/>
      <c r="Q628" s="56"/>
      <c r="R628" s="56"/>
      <c r="S628" s="56"/>
      <c r="T628" s="56">
        <f ca="1" t="shared" si="35"/>
        <v>50520.25</v>
      </c>
      <c r="U628" s="48"/>
    </row>
    <row r="629" spans="2:21">
      <c r="B629" s="56">
        <v>0</v>
      </c>
      <c r="C629" s="44" t="s">
        <v>563</v>
      </c>
      <c r="D629" s="70">
        <f ca="1" t="shared" ref="D629:D660" si="36">SUMIFS($M$5:$M$590,$G$5:$G$590,C629,$H$5:$H$590,$D$598,$I$5:$I$590,"Production")</f>
        <v>0</v>
      </c>
      <c r="E629" s="56">
        <f ca="1" t="shared" ref="E629:E660" si="37">SUMIFS($M$5:$M$590,$G$5:$G$590,C629,$H$5:$H$590,$E$598)</f>
        <v>0</v>
      </c>
      <c r="F629" s="56">
        <f ca="1" t="shared" ref="F629:F660" si="38">SUMIFS($M$5:$M$590,$G$5:$G$590,C629,$H$5:$H$590,$F$598,$I$5:$I$590,"Production")</f>
        <v>0</v>
      </c>
      <c r="G629" s="56">
        <f ca="1" t="shared" ref="G629:G660" si="39">SUMIFS($M$5:$M$590,$G$5:$G$590,C629,$H$5:$H$590,$G$598,$I$5:$I$590,"Production")</f>
        <v>0</v>
      </c>
      <c r="H629" s="56">
        <f ca="1" t="shared" ref="H629:H660" si="40">SUMIFS($M$5:$M$590,$G$5:$G$590,C629,$H$5:$H$590,$H$598,$I$5:$I$590,"Production")</f>
        <v>0</v>
      </c>
      <c r="I629" s="56">
        <f ca="1" t="shared" si="25"/>
        <v>0</v>
      </c>
      <c r="J629" s="56"/>
      <c r="K629" s="56">
        <f ca="1" t="shared" ref="K629:K660" si="41">SUMIFS($M$5:$M$590,$G$5:$G$590,C629,$H$5:$H$590,$K$598,$I$5:$I$590,"Production")</f>
        <v>0</v>
      </c>
      <c r="L629" s="56">
        <f ca="1" t="shared" si="27"/>
        <v>0</v>
      </c>
      <c r="M629" s="56">
        <f ca="1" t="shared" ref="M629:M660" si="42">SUMIFS($M$5:$M$590,$G$5:$G$590,C629,$H$5:$H$590,$M$598)</f>
        <v>0</v>
      </c>
      <c r="N629" s="56">
        <f ca="1" t="shared" ref="N629:N660" si="43">SUMIFS($M$5:$M$590,$G$5:$G$590,C629,$H$5:$H$590,$N$598)</f>
        <v>0</v>
      </c>
      <c r="O629" s="56">
        <f ca="1" t="shared" ref="O629:O660" si="44">SUMIFS($M$5:$M$590,$G$5:$G$590,C629,$H$5:$H$590,$O$598)</f>
        <v>0</v>
      </c>
      <c r="P629" s="56">
        <f ca="1" t="shared" ref="P629:P660" si="45">SUMIFS($M$5:$M$590,$G$5:$G$590,C629,$H$5:$H$590,$P$598)</f>
        <v>0</v>
      </c>
      <c r="Q629" s="56">
        <f ca="1" t="shared" ref="Q629:Q660" si="46">SUMIFS($M$5:$M$590,$G$5:$G$590,C629,$H$5:$H$590,$Q$598,$I$5:$I$590,"Production")</f>
        <v>1706333.72</v>
      </c>
      <c r="R629" s="56">
        <f ca="1" t="shared" ref="R629:R660" si="47">SUMIFS($M$5:$M$590,$G$5:$G$590,C629,$H$5:$H$590,$R$598,$I$5:$I$590,"Production")</f>
        <v>0</v>
      </c>
      <c r="S629" s="56">
        <f ca="1" t="shared" ref="S629:S660" si="48">SUMIFS($M$5:$M$590,$G$5:$G$590,C629,$H$5:$H$590,$S$598,$I$5:$I$590,"Production")</f>
        <v>0</v>
      </c>
      <c r="T629" s="56">
        <f ca="1" t="shared" si="35"/>
        <v>1706333.72</v>
      </c>
      <c r="U629" s="48"/>
    </row>
    <row r="630" spans="2:21">
      <c r="B630" s="56">
        <v>0</v>
      </c>
      <c r="C630" s="44" t="s">
        <v>532</v>
      </c>
      <c r="D630" s="71">
        <f ca="1" t="shared" si="36"/>
        <v>0</v>
      </c>
      <c r="E630" s="56">
        <f ca="1" t="shared" si="37"/>
        <v>0</v>
      </c>
      <c r="F630" s="56">
        <f ca="1" t="shared" si="38"/>
        <v>0</v>
      </c>
      <c r="G630" s="56">
        <f ca="1" t="shared" si="39"/>
        <v>0</v>
      </c>
      <c r="H630" s="56">
        <f ca="1" t="shared" si="40"/>
        <v>0</v>
      </c>
      <c r="I630" s="56">
        <f ca="1" t="shared" si="25"/>
        <v>0</v>
      </c>
      <c r="J630" s="56"/>
      <c r="K630" s="56">
        <f ca="1" t="shared" si="41"/>
        <v>0</v>
      </c>
      <c r="L630" s="56">
        <f ca="1" t="shared" si="27"/>
        <v>30754</v>
      </c>
      <c r="M630" s="56">
        <f ca="1" t="shared" si="42"/>
        <v>0</v>
      </c>
      <c r="N630" s="56">
        <f ca="1" t="shared" si="43"/>
        <v>0</v>
      </c>
      <c r="O630" s="56">
        <f ca="1" t="shared" si="44"/>
        <v>0</v>
      </c>
      <c r="P630" s="56">
        <f ca="1" t="shared" si="45"/>
        <v>0</v>
      </c>
      <c r="Q630" s="56">
        <f ca="1" t="shared" si="46"/>
        <v>0</v>
      </c>
      <c r="R630" s="56">
        <f ca="1" t="shared" si="47"/>
        <v>0</v>
      </c>
      <c r="S630" s="56">
        <f ca="1" t="shared" si="48"/>
        <v>0</v>
      </c>
      <c r="T630" s="56">
        <f ca="1" t="shared" si="35"/>
        <v>30754</v>
      </c>
      <c r="U630" s="48"/>
    </row>
    <row r="631" spans="2:21">
      <c r="B631" s="56">
        <v>0</v>
      </c>
      <c r="C631" s="44" t="s">
        <v>588</v>
      </c>
      <c r="D631" s="71">
        <f ca="1" t="shared" si="36"/>
        <v>0</v>
      </c>
      <c r="E631" s="56">
        <f ca="1" t="shared" si="37"/>
        <v>0</v>
      </c>
      <c r="F631" s="56">
        <f ca="1" t="shared" si="38"/>
        <v>0</v>
      </c>
      <c r="G631" s="56">
        <f ca="1" t="shared" si="39"/>
        <v>0</v>
      </c>
      <c r="H631" s="56">
        <f ca="1" t="shared" si="40"/>
        <v>0</v>
      </c>
      <c r="I631" s="56">
        <f ca="1" t="shared" si="25"/>
        <v>0</v>
      </c>
      <c r="J631" s="56"/>
      <c r="K631" s="56">
        <f ca="1" t="shared" si="41"/>
        <v>0</v>
      </c>
      <c r="L631" s="56">
        <f ca="1" t="shared" si="27"/>
        <v>19906</v>
      </c>
      <c r="M631" s="56">
        <f ca="1" t="shared" si="42"/>
        <v>0</v>
      </c>
      <c r="N631" s="56">
        <f ca="1" t="shared" si="43"/>
        <v>0</v>
      </c>
      <c r="O631" s="56">
        <f ca="1" t="shared" si="44"/>
        <v>0</v>
      </c>
      <c r="P631" s="56">
        <f ca="1" t="shared" si="45"/>
        <v>0</v>
      </c>
      <c r="Q631" s="56">
        <f ca="1" t="shared" si="46"/>
        <v>0</v>
      </c>
      <c r="R631" s="56">
        <f ca="1" t="shared" si="47"/>
        <v>0</v>
      </c>
      <c r="S631" s="56">
        <f ca="1" t="shared" si="48"/>
        <v>0</v>
      </c>
      <c r="T631" s="56">
        <f ca="1" t="shared" si="35"/>
        <v>19906</v>
      </c>
      <c r="U631" s="48"/>
    </row>
    <row r="632" spans="2:21">
      <c r="B632" s="56">
        <v>0</v>
      </c>
      <c r="C632" s="44" t="s">
        <v>1073</v>
      </c>
      <c r="D632" s="71">
        <f ca="1" t="shared" si="36"/>
        <v>0</v>
      </c>
      <c r="E632" s="56">
        <f ca="1" t="shared" si="37"/>
        <v>0</v>
      </c>
      <c r="F632" s="56">
        <f ca="1" t="shared" si="38"/>
        <v>0</v>
      </c>
      <c r="G632" s="56">
        <f ca="1" t="shared" si="39"/>
        <v>0</v>
      </c>
      <c r="H632" s="56">
        <f ca="1" t="shared" si="40"/>
        <v>0</v>
      </c>
      <c r="I632" s="56">
        <f ca="1" t="shared" ref="I632:I663" si="49">SUMIFS($M$5:$M$590,$G$5:$G$590,C632,$H$5:$H$590,$I$598,$I$5:$I$590,"Production")</f>
        <v>0</v>
      </c>
      <c r="J632" s="56"/>
      <c r="K632" s="56">
        <f ca="1" t="shared" si="41"/>
        <v>0</v>
      </c>
      <c r="L632" s="56">
        <f ca="1" t="shared" ref="L632:L663" si="50">SUMIFS($M$5:$M$590,$G$5:$G$590,C632,$H$5:$H$590,$L$598,$I$5:$I$590,"Production")</f>
        <v>0</v>
      </c>
      <c r="M632" s="56">
        <f ca="1" t="shared" si="42"/>
        <v>0</v>
      </c>
      <c r="N632" s="56">
        <f ca="1" t="shared" si="43"/>
        <v>0</v>
      </c>
      <c r="O632" s="56">
        <f ca="1" t="shared" si="44"/>
        <v>0</v>
      </c>
      <c r="P632" s="56">
        <f ca="1" t="shared" si="45"/>
        <v>0</v>
      </c>
      <c r="Q632" s="56">
        <f ca="1" t="shared" si="46"/>
        <v>0</v>
      </c>
      <c r="R632" s="56">
        <f ca="1" t="shared" si="47"/>
        <v>0</v>
      </c>
      <c r="S632" s="56">
        <f ca="1" t="shared" si="48"/>
        <v>0</v>
      </c>
      <c r="T632" s="56">
        <f ca="1" t="shared" si="35"/>
        <v>0</v>
      </c>
      <c r="U632" s="48"/>
    </row>
    <row r="633" spans="2:21">
      <c r="B633" s="56">
        <v>0</v>
      </c>
      <c r="C633" s="44" t="s">
        <v>617</v>
      </c>
      <c r="D633" s="71">
        <f ca="1" t="shared" si="36"/>
        <v>0</v>
      </c>
      <c r="E633" s="56">
        <f ca="1" t="shared" si="37"/>
        <v>0</v>
      </c>
      <c r="F633" s="56">
        <f ca="1" t="shared" si="38"/>
        <v>0</v>
      </c>
      <c r="G633" s="56">
        <f ca="1" t="shared" si="39"/>
        <v>0</v>
      </c>
      <c r="H633" s="56">
        <f ca="1" t="shared" si="40"/>
        <v>0</v>
      </c>
      <c r="I633" s="56">
        <f ca="1" t="shared" si="49"/>
        <v>0</v>
      </c>
      <c r="J633" s="56"/>
      <c r="K633" s="56">
        <f ca="1" t="shared" si="41"/>
        <v>0</v>
      </c>
      <c r="L633" s="56">
        <f ca="1" t="shared" si="50"/>
        <v>0</v>
      </c>
      <c r="M633" s="56">
        <f ca="1" t="shared" si="42"/>
        <v>0</v>
      </c>
      <c r="N633" s="56">
        <f ca="1" t="shared" si="43"/>
        <v>0</v>
      </c>
      <c r="O633" s="56">
        <f ca="1" t="shared" si="44"/>
        <v>0</v>
      </c>
      <c r="P633" s="56">
        <f ca="1" t="shared" si="45"/>
        <v>0</v>
      </c>
      <c r="Q633" s="56">
        <f ca="1" t="shared" si="46"/>
        <v>0</v>
      </c>
      <c r="R633" s="56">
        <f ca="1" t="shared" si="47"/>
        <v>0</v>
      </c>
      <c r="S633" s="56">
        <f ca="1" t="shared" si="48"/>
        <v>0</v>
      </c>
      <c r="T633" s="56">
        <f ca="1" t="shared" si="35"/>
        <v>0</v>
      </c>
      <c r="U633" s="48"/>
    </row>
    <row r="634" spans="2:21">
      <c r="B634" s="56">
        <v>0</v>
      </c>
      <c r="C634" s="44" t="s">
        <v>535</v>
      </c>
      <c r="D634" s="71">
        <f ca="1" t="shared" si="36"/>
        <v>112068</v>
      </c>
      <c r="E634" s="56">
        <f ca="1" t="shared" si="37"/>
        <v>0</v>
      </c>
      <c r="F634" s="56">
        <f ca="1" t="shared" si="38"/>
        <v>14008.5</v>
      </c>
      <c r="G634" s="56">
        <f ca="1" t="shared" si="39"/>
        <v>0</v>
      </c>
      <c r="H634" s="56">
        <f ca="1" t="shared" si="40"/>
        <v>0</v>
      </c>
      <c r="I634" s="56">
        <f ca="1" t="shared" si="49"/>
        <v>0</v>
      </c>
      <c r="J634" s="56"/>
      <c r="K634" s="56">
        <f ca="1" t="shared" si="41"/>
        <v>0</v>
      </c>
      <c r="L634" s="56">
        <f ca="1" t="shared" si="50"/>
        <v>0</v>
      </c>
      <c r="M634" s="56">
        <f ca="1" t="shared" si="42"/>
        <v>0</v>
      </c>
      <c r="N634" s="56">
        <f ca="1" t="shared" si="43"/>
        <v>0</v>
      </c>
      <c r="O634" s="56">
        <f ca="1" t="shared" si="44"/>
        <v>0</v>
      </c>
      <c r="P634" s="56">
        <f ca="1" t="shared" si="45"/>
        <v>0</v>
      </c>
      <c r="Q634" s="56">
        <f ca="1" t="shared" si="46"/>
        <v>268143.23</v>
      </c>
      <c r="R634" s="56">
        <f ca="1" t="shared" si="47"/>
        <v>0</v>
      </c>
      <c r="S634" s="56">
        <f ca="1" t="shared" si="48"/>
        <v>0</v>
      </c>
      <c r="T634" s="56">
        <f ca="1" t="shared" si="35"/>
        <v>394219.73</v>
      </c>
      <c r="U634" s="48"/>
    </row>
    <row r="635" spans="2:21">
      <c r="B635" s="56">
        <v>0</v>
      </c>
      <c r="C635" s="44" t="s">
        <v>616</v>
      </c>
      <c r="D635" s="71">
        <f ca="1" t="shared" si="36"/>
        <v>0</v>
      </c>
      <c r="E635" s="56">
        <f ca="1" t="shared" si="37"/>
        <v>0</v>
      </c>
      <c r="F635" s="56">
        <f ca="1" t="shared" si="38"/>
        <v>0</v>
      </c>
      <c r="G635" s="56">
        <f ca="1" t="shared" si="39"/>
        <v>0</v>
      </c>
      <c r="H635" s="56">
        <f ca="1" t="shared" si="40"/>
        <v>0</v>
      </c>
      <c r="I635" s="56">
        <f ca="1" t="shared" si="49"/>
        <v>0</v>
      </c>
      <c r="J635" s="56"/>
      <c r="K635" s="56">
        <f ca="1" t="shared" si="41"/>
        <v>0</v>
      </c>
      <c r="L635" s="56">
        <f ca="1" t="shared" si="50"/>
        <v>0</v>
      </c>
      <c r="M635" s="56">
        <f ca="1" t="shared" si="42"/>
        <v>0</v>
      </c>
      <c r="N635" s="56">
        <f ca="1" t="shared" si="43"/>
        <v>0</v>
      </c>
      <c r="O635" s="56">
        <f ca="1" t="shared" si="44"/>
        <v>0</v>
      </c>
      <c r="P635" s="56">
        <f ca="1" t="shared" si="45"/>
        <v>0</v>
      </c>
      <c r="Q635" s="56">
        <f ca="1" t="shared" si="46"/>
        <v>0</v>
      </c>
      <c r="R635" s="56">
        <f ca="1" t="shared" si="47"/>
        <v>0</v>
      </c>
      <c r="S635" s="56">
        <f ca="1" t="shared" si="48"/>
        <v>0</v>
      </c>
      <c r="T635" s="56">
        <f ca="1" t="shared" si="35"/>
        <v>0</v>
      </c>
      <c r="U635" s="48"/>
    </row>
    <row r="636" spans="2:21">
      <c r="B636" s="56">
        <v>0</v>
      </c>
      <c r="C636" s="44" t="s">
        <v>552</v>
      </c>
      <c r="D636" s="71">
        <f ca="1" t="shared" si="36"/>
        <v>0</v>
      </c>
      <c r="E636" s="56">
        <f ca="1" t="shared" si="37"/>
        <v>0</v>
      </c>
      <c r="F636" s="73">
        <f ca="1" t="shared" si="38"/>
        <v>355677</v>
      </c>
      <c r="G636" s="56">
        <f ca="1" t="shared" si="39"/>
        <v>0</v>
      </c>
      <c r="H636" s="56">
        <f ca="1" t="shared" si="40"/>
        <v>0</v>
      </c>
      <c r="I636" s="56">
        <f ca="1" t="shared" si="49"/>
        <v>0</v>
      </c>
      <c r="J636" s="56"/>
      <c r="K636" s="56">
        <f ca="1" t="shared" si="41"/>
        <v>0</v>
      </c>
      <c r="L636" s="56">
        <f ca="1" t="shared" si="50"/>
        <v>0</v>
      </c>
      <c r="M636" s="56">
        <f ca="1" t="shared" si="42"/>
        <v>0</v>
      </c>
      <c r="N636" s="56">
        <f ca="1" t="shared" si="43"/>
        <v>0</v>
      </c>
      <c r="O636" s="56">
        <f ca="1" t="shared" si="44"/>
        <v>0</v>
      </c>
      <c r="P636" s="56">
        <f ca="1" t="shared" si="45"/>
        <v>0</v>
      </c>
      <c r="Q636" s="56">
        <f ca="1" t="shared" si="46"/>
        <v>0</v>
      </c>
      <c r="R636" s="56">
        <f ca="1" t="shared" si="47"/>
        <v>0</v>
      </c>
      <c r="S636" s="56">
        <f ca="1" t="shared" si="48"/>
        <v>0</v>
      </c>
      <c r="T636" s="56">
        <f ca="1" t="shared" si="35"/>
        <v>355677</v>
      </c>
      <c r="U636" s="48"/>
    </row>
    <row r="637" spans="2:21">
      <c r="B637" s="56">
        <v>0</v>
      </c>
      <c r="C637" s="44" t="s">
        <v>1090</v>
      </c>
      <c r="D637" s="71">
        <f ca="1" t="shared" si="36"/>
        <v>0</v>
      </c>
      <c r="E637" s="56">
        <f ca="1" t="shared" si="37"/>
        <v>0</v>
      </c>
      <c r="F637" s="56">
        <f ca="1" t="shared" si="38"/>
        <v>0</v>
      </c>
      <c r="G637" s="56">
        <f ca="1" t="shared" si="39"/>
        <v>0</v>
      </c>
      <c r="H637" s="56">
        <f ca="1" t="shared" si="40"/>
        <v>0</v>
      </c>
      <c r="I637" s="56">
        <f ca="1" t="shared" si="49"/>
        <v>0</v>
      </c>
      <c r="J637" s="56"/>
      <c r="K637" s="56">
        <f ca="1" t="shared" si="41"/>
        <v>0</v>
      </c>
      <c r="L637" s="56">
        <f ca="1" t="shared" si="50"/>
        <v>0</v>
      </c>
      <c r="M637" s="56">
        <f ca="1" t="shared" si="42"/>
        <v>0</v>
      </c>
      <c r="N637" s="56">
        <f ca="1" t="shared" si="43"/>
        <v>0</v>
      </c>
      <c r="O637" s="56">
        <f ca="1" t="shared" si="44"/>
        <v>0</v>
      </c>
      <c r="P637" s="56">
        <f ca="1" t="shared" si="45"/>
        <v>0</v>
      </c>
      <c r="Q637" s="56">
        <f ca="1" t="shared" si="46"/>
        <v>0</v>
      </c>
      <c r="R637" s="56">
        <f ca="1" t="shared" si="47"/>
        <v>0</v>
      </c>
      <c r="S637" s="56">
        <f ca="1" t="shared" si="48"/>
        <v>0</v>
      </c>
      <c r="T637" s="56">
        <f ca="1" t="shared" si="35"/>
        <v>0</v>
      </c>
      <c r="U637" s="48"/>
    </row>
    <row r="638" spans="2:21">
      <c r="B638" s="56">
        <v>0</v>
      </c>
      <c r="C638" s="44" t="s">
        <v>1096</v>
      </c>
      <c r="D638" s="71">
        <f ca="1" t="shared" si="36"/>
        <v>0</v>
      </c>
      <c r="E638" s="56">
        <f ca="1" t="shared" si="37"/>
        <v>0</v>
      </c>
      <c r="F638" s="56">
        <f ca="1" t="shared" si="38"/>
        <v>0</v>
      </c>
      <c r="G638" s="56">
        <f ca="1" t="shared" si="39"/>
        <v>0</v>
      </c>
      <c r="H638" s="56">
        <f ca="1" t="shared" si="40"/>
        <v>0</v>
      </c>
      <c r="I638" s="56">
        <f ca="1" t="shared" si="49"/>
        <v>0</v>
      </c>
      <c r="J638" s="56"/>
      <c r="K638" s="56">
        <f ca="1" t="shared" si="41"/>
        <v>0</v>
      </c>
      <c r="L638" s="56">
        <f ca="1" t="shared" si="50"/>
        <v>0</v>
      </c>
      <c r="M638" s="56">
        <f ca="1" t="shared" si="42"/>
        <v>0</v>
      </c>
      <c r="N638" s="56">
        <f ca="1" t="shared" si="43"/>
        <v>0</v>
      </c>
      <c r="O638" s="56">
        <f ca="1" t="shared" si="44"/>
        <v>0</v>
      </c>
      <c r="P638" s="56">
        <f ca="1" t="shared" si="45"/>
        <v>0</v>
      </c>
      <c r="Q638" s="56">
        <f ca="1" t="shared" si="46"/>
        <v>0</v>
      </c>
      <c r="R638" s="56">
        <f ca="1" t="shared" si="47"/>
        <v>0</v>
      </c>
      <c r="S638" s="56">
        <f ca="1" t="shared" si="48"/>
        <v>0</v>
      </c>
      <c r="T638" s="56">
        <f ca="1" t="shared" si="35"/>
        <v>0</v>
      </c>
      <c r="U638" s="48"/>
    </row>
    <row r="639" spans="2:21">
      <c r="B639" s="56">
        <v>0</v>
      </c>
      <c r="C639" s="44" t="s">
        <v>513</v>
      </c>
      <c r="D639" s="71">
        <f ca="1" t="shared" si="36"/>
        <v>0</v>
      </c>
      <c r="E639" s="56">
        <f ca="1" t="shared" si="37"/>
        <v>0</v>
      </c>
      <c r="F639" s="56">
        <f ca="1" t="shared" si="38"/>
        <v>344745.8</v>
      </c>
      <c r="G639" s="56">
        <f ca="1" t="shared" si="39"/>
        <v>0</v>
      </c>
      <c r="H639" s="56">
        <f ca="1" t="shared" si="40"/>
        <v>0</v>
      </c>
      <c r="I639" s="56">
        <f ca="1" t="shared" si="49"/>
        <v>0</v>
      </c>
      <c r="J639" s="56"/>
      <c r="K639" s="56">
        <f ca="1" t="shared" si="41"/>
        <v>0</v>
      </c>
      <c r="L639" s="56">
        <f ca="1" t="shared" si="50"/>
        <v>0</v>
      </c>
      <c r="M639" s="56">
        <f ca="1" t="shared" si="42"/>
        <v>0</v>
      </c>
      <c r="N639" s="56">
        <f ca="1" t="shared" si="43"/>
        <v>0</v>
      </c>
      <c r="O639" s="56">
        <f ca="1" t="shared" si="44"/>
        <v>0</v>
      </c>
      <c r="P639" s="56">
        <f ca="1" t="shared" si="45"/>
        <v>0</v>
      </c>
      <c r="Q639" s="56">
        <f ca="1" t="shared" si="46"/>
        <v>0</v>
      </c>
      <c r="R639" s="56">
        <f ca="1" t="shared" si="47"/>
        <v>0</v>
      </c>
      <c r="S639" s="56">
        <f ca="1" t="shared" si="48"/>
        <v>0</v>
      </c>
      <c r="T639" s="56">
        <f ca="1" t="shared" si="35"/>
        <v>344745.8</v>
      </c>
      <c r="U639" s="48"/>
    </row>
    <row r="640" spans="2:21">
      <c r="B640" s="56">
        <v>0</v>
      </c>
      <c r="C640" s="44" t="s">
        <v>591</v>
      </c>
      <c r="D640" s="71">
        <f ca="1" t="shared" si="36"/>
        <v>0</v>
      </c>
      <c r="E640" s="56">
        <f ca="1" t="shared" si="37"/>
        <v>0</v>
      </c>
      <c r="F640" s="56">
        <f ca="1" t="shared" si="38"/>
        <v>0</v>
      </c>
      <c r="G640" s="56">
        <f ca="1" t="shared" si="39"/>
        <v>0</v>
      </c>
      <c r="H640" s="56">
        <f ca="1" t="shared" si="40"/>
        <v>0</v>
      </c>
      <c r="I640" s="56">
        <f ca="1" t="shared" si="49"/>
        <v>0</v>
      </c>
      <c r="J640" s="56"/>
      <c r="K640" s="56">
        <f ca="1" t="shared" si="41"/>
        <v>0</v>
      </c>
      <c r="L640" s="56">
        <f ca="1" t="shared" si="50"/>
        <v>0</v>
      </c>
      <c r="M640" s="56">
        <f ca="1" t="shared" si="42"/>
        <v>0</v>
      </c>
      <c r="N640" s="56">
        <f ca="1" t="shared" si="43"/>
        <v>0</v>
      </c>
      <c r="O640" s="56">
        <f ca="1" t="shared" si="44"/>
        <v>0</v>
      </c>
      <c r="P640" s="56">
        <f ca="1" t="shared" si="45"/>
        <v>0</v>
      </c>
      <c r="Q640" s="56">
        <f ca="1" t="shared" si="46"/>
        <v>0</v>
      </c>
      <c r="R640" s="56">
        <f ca="1" t="shared" si="47"/>
        <v>0</v>
      </c>
      <c r="S640" s="56">
        <f ca="1" t="shared" si="48"/>
        <v>0</v>
      </c>
      <c r="T640" s="56">
        <f ca="1" t="shared" si="35"/>
        <v>0</v>
      </c>
      <c r="U640" s="48"/>
    </row>
    <row r="641" spans="2:21">
      <c r="B641" s="56">
        <v>0</v>
      </c>
      <c r="C641" s="44" t="s">
        <v>594</v>
      </c>
      <c r="D641" s="71">
        <f ca="1" t="shared" si="36"/>
        <v>0</v>
      </c>
      <c r="E641" s="56">
        <f ca="1" t="shared" si="37"/>
        <v>0</v>
      </c>
      <c r="F641" s="56">
        <f ca="1" t="shared" si="38"/>
        <v>0</v>
      </c>
      <c r="G641" s="56">
        <f ca="1" t="shared" si="39"/>
        <v>0</v>
      </c>
      <c r="H641" s="56">
        <f ca="1" t="shared" si="40"/>
        <v>0</v>
      </c>
      <c r="I641" s="56">
        <f ca="1" t="shared" si="49"/>
        <v>0</v>
      </c>
      <c r="J641" s="56"/>
      <c r="K641" s="56">
        <f ca="1" t="shared" si="41"/>
        <v>0</v>
      </c>
      <c r="L641" s="56">
        <f ca="1" t="shared" si="50"/>
        <v>0</v>
      </c>
      <c r="M641" s="56">
        <f ca="1" t="shared" si="42"/>
        <v>0</v>
      </c>
      <c r="N641" s="56">
        <f ca="1" t="shared" si="43"/>
        <v>0</v>
      </c>
      <c r="O641" s="56">
        <f ca="1" t="shared" si="44"/>
        <v>0</v>
      </c>
      <c r="P641" s="56">
        <f ca="1" t="shared" si="45"/>
        <v>0</v>
      </c>
      <c r="Q641" s="56">
        <f ca="1" t="shared" si="46"/>
        <v>0</v>
      </c>
      <c r="R641" s="56">
        <f ca="1" t="shared" si="47"/>
        <v>0</v>
      </c>
      <c r="S641" s="56">
        <f ca="1" t="shared" si="48"/>
        <v>0</v>
      </c>
      <c r="T641" s="56">
        <f ca="1" t="shared" si="35"/>
        <v>0</v>
      </c>
      <c r="U641" s="48"/>
    </row>
    <row r="642" spans="2:21">
      <c r="B642" s="56">
        <v>0</v>
      </c>
      <c r="C642" s="44" t="s">
        <v>491</v>
      </c>
      <c r="D642" s="71">
        <f ca="1" t="shared" si="36"/>
        <v>0</v>
      </c>
      <c r="E642" s="56">
        <f ca="1" t="shared" si="37"/>
        <v>0</v>
      </c>
      <c r="F642" s="56">
        <f ca="1" t="shared" si="38"/>
        <v>0</v>
      </c>
      <c r="G642" s="56">
        <f ca="1" t="shared" si="39"/>
        <v>0</v>
      </c>
      <c r="H642" s="56">
        <f ca="1" t="shared" si="40"/>
        <v>0</v>
      </c>
      <c r="I642" s="56">
        <f ca="1" t="shared" si="49"/>
        <v>0</v>
      </c>
      <c r="J642" s="56"/>
      <c r="K642" s="56">
        <f ca="1" t="shared" si="41"/>
        <v>0</v>
      </c>
      <c r="L642" s="56">
        <f ca="1" t="shared" si="50"/>
        <v>200000</v>
      </c>
      <c r="M642" s="56">
        <f ca="1" t="shared" si="42"/>
        <v>0</v>
      </c>
      <c r="N642" s="56">
        <f ca="1" t="shared" si="43"/>
        <v>0</v>
      </c>
      <c r="O642" s="56">
        <f ca="1" t="shared" si="44"/>
        <v>0</v>
      </c>
      <c r="P642" s="56">
        <f ca="1" t="shared" si="45"/>
        <v>0</v>
      </c>
      <c r="Q642" s="56">
        <f ca="1" t="shared" si="46"/>
        <v>0</v>
      </c>
      <c r="R642" s="56">
        <f ca="1" t="shared" si="47"/>
        <v>0</v>
      </c>
      <c r="S642" s="56">
        <f ca="1" t="shared" si="48"/>
        <v>0</v>
      </c>
      <c r="T642" s="56">
        <f ca="1" t="shared" si="35"/>
        <v>200000</v>
      </c>
      <c r="U642" s="48"/>
    </row>
    <row r="643" spans="2:21">
      <c r="B643" s="56">
        <v>0</v>
      </c>
      <c r="C643" s="44" t="s">
        <v>565</v>
      </c>
      <c r="D643" s="71">
        <f ca="1" t="shared" si="36"/>
        <v>0</v>
      </c>
      <c r="E643" s="56">
        <f ca="1" t="shared" si="37"/>
        <v>0</v>
      </c>
      <c r="F643" s="56">
        <f ca="1" t="shared" si="38"/>
        <v>0</v>
      </c>
      <c r="G643" s="56">
        <f ca="1" t="shared" si="39"/>
        <v>0</v>
      </c>
      <c r="H643" s="56">
        <f ca="1" t="shared" si="40"/>
        <v>0</v>
      </c>
      <c r="I643" s="56">
        <f ca="1" t="shared" si="49"/>
        <v>0</v>
      </c>
      <c r="J643" s="56"/>
      <c r="K643" s="56">
        <f ca="1" t="shared" si="41"/>
        <v>0</v>
      </c>
      <c r="L643" s="56">
        <f ca="1" t="shared" si="50"/>
        <v>0</v>
      </c>
      <c r="M643" s="56">
        <f ca="1" t="shared" si="42"/>
        <v>0</v>
      </c>
      <c r="N643" s="56">
        <f ca="1" t="shared" si="43"/>
        <v>0</v>
      </c>
      <c r="O643" s="56">
        <f ca="1" t="shared" si="44"/>
        <v>0</v>
      </c>
      <c r="P643" s="56">
        <f ca="1" t="shared" si="45"/>
        <v>0</v>
      </c>
      <c r="Q643" s="56">
        <f ca="1" t="shared" si="46"/>
        <v>0</v>
      </c>
      <c r="R643" s="56">
        <f ca="1" t="shared" si="47"/>
        <v>0</v>
      </c>
      <c r="S643" s="56">
        <f ca="1" t="shared" si="48"/>
        <v>0</v>
      </c>
      <c r="T643" s="56">
        <f ca="1" t="shared" si="35"/>
        <v>0</v>
      </c>
      <c r="U643" s="48"/>
    </row>
    <row r="644" spans="2:21">
      <c r="B644" s="56">
        <v>0</v>
      </c>
      <c r="C644" s="44" t="s">
        <v>598</v>
      </c>
      <c r="D644" s="71">
        <f ca="1" t="shared" si="36"/>
        <v>0</v>
      </c>
      <c r="E644" s="56">
        <f ca="1" t="shared" si="37"/>
        <v>0</v>
      </c>
      <c r="F644" s="56">
        <f ca="1" t="shared" si="38"/>
        <v>0</v>
      </c>
      <c r="G644" s="56">
        <f ca="1" t="shared" si="39"/>
        <v>0</v>
      </c>
      <c r="H644" s="56">
        <f ca="1" t="shared" si="40"/>
        <v>0</v>
      </c>
      <c r="I644" s="56">
        <f ca="1" t="shared" si="49"/>
        <v>0</v>
      </c>
      <c r="J644" s="56"/>
      <c r="K644" s="56">
        <f ca="1" t="shared" si="41"/>
        <v>0</v>
      </c>
      <c r="L644" s="56">
        <f ca="1" t="shared" si="50"/>
        <v>42</v>
      </c>
      <c r="M644" s="56">
        <f ca="1" t="shared" si="42"/>
        <v>0</v>
      </c>
      <c r="N644" s="56">
        <f ca="1" t="shared" si="43"/>
        <v>0</v>
      </c>
      <c r="O644" s="56">
        <f ca="1" t="shared" si="44"/>
        <v>0</v>
      </c>
      <c r="P644" s="56">
        <f ca="1" t="shared" si="45"/>
        <v>0</v>
      </c>
      <c r="Q644" s="56">
        <f ca="1" t="shared" si="46"/>
        <v>0</v>
      </c>
      <c r="R644" s="56">
        <f ca="1" t="shared" si="47"/>
        <v>0</v>
      </c>
      <c r="S644" s="56">
        <f ca="1" t="shared" si="48"/>
        <v>0</v>
      </c>
      <c r="T644" s="56">
        <f ca="1" t="shared" si="35"/>
        <v>42</v>
      </c>
      <c r="U644" s="48"/>
    </row>
    <row r="645" spans="2:21">
      <c r="B645" s="56">
        <v>0</v>
      </c>
      <c r="C645" s="44" t="s">
        <v>582</v>
      </c>
      <c r="D645" s="71">
        <f ca="1" t="shared" si="36"/>
        <v>0</v>
      </c>
      <c r="E645" s="56">
        <f ca="1" t="shared" si="37"/>
        <v>0</v>
      </c>
      <c r="F645" s="56">
        <f ca="1" t="shared" si="38"/>
        <v>0</v>
      </c>
      <c r="G645" s="56">
        <f ca="1" t="shared" si="39"/>
        <v>0</v>
      </c>
      <c r="H645" s="56">
        <f ca="1" t="shared" si="40"/>
        <v>0</v>
      </c>
      <c r="I645" s="56">
        <f ca="1" t="shared" si="49"/>
        <v>0</v>
      </c>
      <c r="J645" s="56"/>
      <c r="K645" s="56">
        <f ca="1" t="shared" si="41"/>
        <v>0</v>
      </c>
      <c r="L645" s="56">
        <f ca="1" t="shared" si="50"/>
        <v>7305.38</v>
      </c>
      <c r="M645" s="56">
        <f ca="1" t="shared" si="42"/>
        <v>0</v>
      </c>
      <c r="N645" s="56">
        <f ca="1" t="shared" si="43"/>
        <v>0</v>
      </c>
      <c r="O645" s="56">
        <f ca="1" t="shared" si="44"/>
        <v>0</v>
      </c>
      <c r="P645" s="56">
        <f ca="1" t="shared" si="45"/>
        <v>0</v>
      </c>
      <c r="Q645" s="56">
        <f ca="1" t="shared" si="46"/>
        <v>0</v>
      </c>
      <c r="R645" s="56">
        <f ca="1" t="shared" si="47"/>
        <v>0</v>
      </c>
      <c r="S645" s="56">
        <f ca="1" t="shared" si="48"/>
        <v>0</v>
      </c>
      <c r="T645" s="56">
        <f ca="1" t="shared" si="35"/>
        <v>7305.38</v>
      </c>
      <c r="U645" s="48"/>
    </row>
    <row r="646" spans="2:21">
      <c r="B646" s="56">
        <v>0</v>
      </c>
      <c r="C646" s="44" t="s">
        <v>579</v>
      </c>
      <c r="D646" s="71">
        <f ca="1" t="shared" si="36"/>
        <v>0</v>
      </c>
      <c r="E646" s="56">
        <f ca="1" t="shared" si="37"/>
        <v>0</v>
      </c>
      <c r="F646" s="56">
        <f ca="1" t="shared" si="38"/>
        <v>0</v>
      </c>
      <c r="G646" s="56">
        <f ca="1" t="shared" si="39"/>
        <v>0</v>
      </c>
      <c r="H646" s="56">
        <f ca="1" t="shared" si="40"/>
        <v>0</v>
      </c>
      <c r="I646" s="56">
        <f ca="1" t="shared" si="49"/>
        <v>0</v>
      </c>
      <c r="J646" s="56"/>
      <c r="K646" s="56">
        <f ca="1" t="shared" si="41"/>
        <v>0</v>
      </c>
      <c r="L646" s="56">
        <f ca="1" t="shared" si="50"/>
        <v>1630</v>
      </c>
      <c r="M646" s="56">
        <f ca="1" t="shared" si="42"/>
        <v>0</v>
      </c>
      <c r="N646" s="56">
        <f ca="1" t="shared" si="43"/>
        <v>0</v>
      </c>
      <c r="O646" s="56">
        <f ca="1" t="shared" si="44"/>
        <v>0</v>
      </c>
      <c r="P646" s="56">
        <f ca="1" t="shared" si="45"/>
        <v>0</v>
      </c>
      <c r="Q646" s="56">
        <f ca="1" t="shared" si="46"/>
        <v>0</v>
      </c>
      <c r="R646" s="56">
        <f ca="1" t="shared" si="47"/>
        <v>0</v>
      </c>
      <c r="S646" s="56">
        <f ca="1" t="shared" si="48"/>
        <v>0</v>
      </c>
      <c r="T646" s="56">
        <f ca="1" t="shared" si="35"/>
        <v>1630</v>
      </c>
      <c r="U646" s="48"/>
    </row>
    <row r="647" spans="2:21">
      <c r="B647" s="56">
        <v>0</v>
      </c>
      <c r="C647" s="44" t="s">
        <v>525</v>
      </c>
      <c r="D647" s="71">
        <f ca="1" t="shared" si="36"/>
        <v>0</v>
      </c>
      <c r="E647" s="56">
        <f ca="1" t="shared" si="37"/>
        <v>0</v>
      </c>
      <c r="F647" s="56">
        <f ca="1" t="shared" si="38"/>
        <v>0</v>
      </c>
      <c r="G647" s="56">
        <f ca="1" t="shared" si="39"/>
        <v>0</v>
      </c>
      <c r="H647" s="56">
        <f ca="1" t="shared" si="40"/>
        <v>0</v>
      </c>
      <c r="I647" s="56">
        <f ca="1" t="shared" si="49"/>
        <v>0</v>
      </c>
      <c r="J647" s="56"/>
      <c r="K647" s="56">
        <f ca="1" t="shared" si="41"/>
        <v>0</v>
      </c>
      <c r="L647" s="56">
        <f ca="1" t="shared" si="50"/>
        <v>0</v>
      </c>
      <c r="M647" s="56">
        <f ca="1" t="shared" si="42"/>
        <v>0</v>
      </c>
      <c r="N647" s="56">
        <f ca="1" t="shared" si="43"/>
        <v>0</v>
      </c>
      <c r="O647" s="56">
        <f ca="1" t="shared" si="44"/>
        <v>0</v>
      </c>
      <c r="P647" s="56">
        <f ca="1" t="shared" si="45"/>
        <v>0</v>
      </c>
      <c r="Q647" s="56">
        <f ca="1" t="shared" si="46"/>
        <v>0</v>
      </c>
      <c r="R647" s="56">
        <f ca="1" t="shared" si="47"/>
        <v>0</v>
      </c>
      <c r="S647" s="56">
        <f ca="1" t="shared" si="48"/>
        <v>0</v>
      </c>
      <c r="T647" s="56">
        <f ca="1" t="shared" si="35"/>
        <v>0</v>
      </c>
      <c r="U647" s="48"/>
    </row>
    <row r="648" spans="2:21">
      <c r="B648" s="56">
        <v>0</v>
      </c>
      <c r="C648" s="44" t="s">
        <v>600</v>
      </c>
      <c r="D648" s="71">
        <f ca="1" t="shared" si="36"/>
        <v>0</v>
      </c>
      <c r="E648" s="56">
        <f ca="1" t="shared" si="37"/>
        <v>0</v>
      </c>
      <c r="F648" s="56">
        <f ca="1" t="shared" si="38"/>
        <v>0</v>
      </c>
      <c r="G648" s="56">
        <f ca="1" t="shared" si="39"/>
        <v>0</v>
      </c>
      <c r="H648" s="56">
        <f ca="1" t="shared" si="40"/>
        <v>0</v>
      </c>
      <c r="I648" s="56">
        <f ca="1" t="shared" si="49"/>
        <v>0</v>
      </c>
      <c r="J648" s="56"/>
      <c r="K648" s="56">
        <f ca="1" t="shared" si="41"/>
        <v>0</v>
      </c>
      <c r="L648" s="56">
        <f ca="1" t="shared" si="50"/>
        <v>48304.54</v>
      </c>
      <c r="M648" s="56">
        <f ca="1" t="shared" si="42"/>
        <v>0</v>
      </c>
      <c r="N648" s="56">
        <f ca="1" t="shared" si="43"/>
        <v>0</v>
      </c>
      <c r="O648" s="56">
        <f ca="1" t="shared" si="44"/>
        <v>0</v>
      </c>
      <c r="P648" s="56">
        <f ca="1" t="shared" si="45"/>
        <v>0</v>
      </c>
      <c r="Q648" s="56">
        <f ca="1" t="shared" si="46"/>
        <v>0</v>
      </c>
      <c r="R648" s="56">
        <f ca="1" t="shared" si="47"/>
        <v>0</v>
      </c>
      <c r="S648" s="56">
        <f ca="1" t="shared" si="48"/>
        <v>0</v>
      </c>
      <c r="T648" s="56">
        <f ca="1" t="shared" si="35"/>
        <v>48304.54</v>
      </c>
      <c r="U648" s="48"/>
    </row>
    <row r="649" spans="2:21">
      <c r="B649" s="56">
        <v>0</v>
      </c>
      <c r="C649" s="44" t="s">
        <v>603</v>
      </c>
      <c r="D649" s="71">
        <f ca="1" t="shared" si="36"/>
        <v>0</v>
      </c>
      <c r="E649" s="56">
        <f ca="1" t="shared" si="37"/>
        <v>0</v>
      </c>
      <c r="F649" s="56">
        <f ca="1" t="shared" si="38"/>
        <v>0</v>
      </c>
      <c r="G649" s="56">
        <f ca="1" t="shared" si="39"/>
        <v>0</v>
      </c>
      <c r="H649" s="56">
        <f ca="1" t="shared" si="40"/>
        <v>0</v>
      </c>
      <c r="I649" s="56">
        <f ca="1" t="shared" si="49"/>
        <v>0</v>
      </c>
      <c r="J649" s="56"/>
      <c r="K649" s="56">
        <f ca="1" t="shared" si="41"/>
        <v>0</v>
      </c>
      <c r="L649" s="56">
        <f ca="1" t="shared" si="50"/>
        <v>0</v>
      </c>
      <c r="M649" s="56">
        <f ca="1" t="shared" si="42"/>
        <v>0</v>
      </c>
      <c r="N649" s="56">
        <f ca="1" t="shared" si="43"/>
        <v>0</v>
      </c>
      <c r="O649" s="56">
        <f ca="1" t="shared" si="44"/>
        <v>0</v>
      </c>
      <c r="P649" s="56">
        <f ca="1" t="shared" si="45"/>
        <v>0</v>
      </c>
      <c r="Q649" s="56">
        <f ca="1" t="shared" si="46"/>
        <v>0</v>
      </c>
      <c r="R649" s="56">
        <f ca="1" t="shared" si="47"/>
        <v>0</v>
      </c>
      <c r="S649" s="56">
        <f ca="1" t="shared" si="48"/>
        <v>0</v>
      </c>
      <c r="T649" s="56">
        <f ca="1" t="shared" si="35"/>
        <v>0</v>
      </c>
      <c r="U649" s="48"/>
    </row>
    <row r="650" spans="2:21">
      <c r="B650" s="56">
        <v>0</v>
      </c>
      <c r="C650" s="44" t="s">
        <v>605</v>
      </c>
      <c r="D650" s="71">
        <f ca="1" t="shared" si="36"/>
        <v>0</v>
      </c>
      <c r="E650" s="56">
        <f ca="1" t="shared" si="37"/>
        <v>0</v>
      </c>
      <c r="F650" s="56">
        <f ca="1" t="shared" si="38"/>
        <v>0</v>
      </c>
      <c r="G650" s="56">
        <f ca="1" t="shared" si="39"/>
        <v>0</v>
      </c>
      <c r="H650" s="56">
        <f ca="1" t="shared" si="40"/>
        <v>0</v>
      </c>
      <c r="I650" s="56">
        <f ca="1" t="shared" si="49"/>
        <v>0</v>
      </c>
      <c r="J650" s="56"/>
      <c r="K650" s="56">
        <f ca="1" t="shared" si="41"/>
        <v>0</v>
      </c>
      <c r="L650" s="56">
        <f ca="1" t="shared" si="50"/>
        <v>0</v>
      </c>
      <c r="M650" s="56">
        <f ca="1" t="shared" si="42"/>
        <v>0</v>
      </c>
      <c r="N650" s="56">
        <f ca="1" t="shared" si="43"/>
        <v>0</v>
      </c>
      <c r="O650" s="56">
        <f ca="1" t="shared" si="44"/>
        <v>0</v>
      </c>
      <c r="P650" s="56">
        <f ca="1" t="shared" si="45"/>
        <v>0</v>
      </c>
      <c r="Q650" s="56">
        <f ca="1" t="shared" si="46"/>
        <v>0</v>
      </c>
      <c r="R650" s="56">
        <f ca="1" t="shared" si="47"/>
        <v>0</v>
      </c>
      <c r="S650" s="56">
        <f ca="1" t="shared" si="48"/>
        <v>0</v>
      </c>
      <c r="T650" s="56">
        <f ca="1" t="shared" si="35"/>
        <v>0</v>
      </c>
      <c r="U650" s="48"/>
    </row>
    <row r="651" spans="2:21">
      <c r="B651" s="56">
        <v>0</v>
      </c>
      <c r="C651" s="44" t="s">
        <v>558</v>
      </c>
      <c r="D651" s="71">
        <f ca="1" t="shared" si="36"/>
        <v>0</v>
      </c>
      <c r="E651" s="56">
        <f ca="1" t="shared" si="37"/>
        <v>0</v>
      </c>
      <c r="F651" s="56">
        <f ca="1" t="shared" si="38"/>
        <v>0</v>
      </c>
      <c r="G651" s="56">
        <f ca="1" t="shared" si="39"/>
        <v>0</v>
      </c>
      <c r="H651" s="56">
        <f ca="1" t="shared" si="40"/>
        <v>0</v>
      </c>
      <c r="I651" s="56">
        <f ca="1" t="shared" si="49"/>
        <v>0</v>
      </c>
      <c r="J651" s="56"/>
      <c r="K651" s="56">
        <f ca="1" t="shared" si="41"/>
        <v>0</v>
      </c>
      <c r="L651" s="56">
        <f ca="1" t="shared" si="50"/>
        <v>150000</v>
      </c>
      <c r="M651" s="56">
        <f ca="1" t="shared" si="42"/>
        <v>0</v>
      </c>
      <c r="N651" s="56">
        <f ca="1" t="shared" si="43"/>
        <v>0</v>
      </c>
      <c r="O651" s="56">
        <f ca="1" t="shared" si="44"/>
        <v>0</v>
      </c>
      <c r="P651" s="56">
        <f ca="1" t="shared" si="45"/>
        <v>0</v>
      </c>
      <c r="Q651" s="56">
        <f ca="1" t="shared" si="46"/>
        <v>0</v>
      </c>
      <c r="R651" s="56">
        <f ca="1" t="shared" si="47"/>
        <v>0</v>
      </c>
      <c r="S651" s="56">
        <f ca="1" t="shared" si="48"/>
        <v>0</v>
      </c>
      <c r="T651" s="56">
        <f ca="1" t="shared" si="35"/>
        <v>150000</v>
      </c>
      <c r="U651" s="48"/>
    </row>
    <row r="652" spans="2:21">
      <c r="B652" s="56">
        <v>0</v>
      </c>
      <c r="C652" s="44" t="s">
        <v>577</v>
      </c>
      <c r="D652" s="71">
        <f ca="1" t="shared" si="36"/>
        <v>0</v>
      </c>
      <c r="E652" s="56">
        <f ca="1" t="shared" si="37"/>
        <v>0</v>
      </c>
      <c r="F652" s="56">
        <f ca="1" t="shared" si="38"/>
        <v>0</v>
      </c>
      <c r="G652" s="56">
        <f ca="1" t="shared" si="39"/>
        <v>0</v>
      </c>
      <c r="H652" s="56">
        <f ca="1" t="shared" si="40"/>
        <v>0</v>
      </c>
      <c r="I652" s="56">
        <f ca="1" t="shared" si="49"/>
        <v>0</v>
      </c>
      <c r="J652" s="56"/>
      <c r="K652" s="56">
        <f ca="1" t="shared" si="41"/>
        <v>0</v>
      </c>
      <c r="L652" s="56">
        <f ca="1" t="shared" si="50"/>
        <v>9588</v>
      </c>
      <c r="M652" s="56">
        <f ca="1" t="shared" si="42"/>
        <v>0</v>
      </c>
      <c r="N652" s="56">
        <f ca="1" t="shared" si="43"/>
        <v>0</v>
      </c>
      <c r="O652" s="56">
        <f ca="1" t="shared" si="44"/>
        <v>0</v>
      </c>
      <c r="P652" s="56">
        <f ca="1" t="shared" si="45"/>
        <v>0</v>
      </c>
      <c r="Q652" s="56">
        <f ca="1" t="shared" si="46"/>
        <v>0</v>
      </c>
      <c r="R652" s="56">
        <f ca="1" t="shared" si="47"/>
        <v>0</v>
      </c>
      <c r="S652" s="56">
        <f ca="1" t="shared" si="48"/>
        <v>0</v>
      </c>
      <c r="T652" s="56">
        <f ca="1" t="shared" si="35"/>
        <v>9588</v>
      </c>
      <c r="U652" s="48"/>
    </row>
    <row r="653" spans="2:21">
      <c r="B653" s="56">
        <v>0</v>
      </c>
      <c r="C653" s="44" t="s">
        <v>609</v>
      </c>
      <c r="D653" s="71">
        <f ca="1" t="shared" si="36"/>
        <v>0</v>
      </c>
      <c r="E653" s="56">
        <f ca="1" t="shared" si="37"/>
        <v>0</v>
      </c>
      <c r="F653" s="56">
        <f ca="1" t="shared" si="38"/>
        <v>0</v>
      </c>
      <c r="G653" s="56">
        <f ca="1" t="shared" si="39"/>
        <v>0</v>
      </c>
      <c r="H653" s="56">
        <f ca="1" t="shared" si="40"/>
        <v>0</v>
      </c>
      <c r="I653" s="56">
        <f ca="1" t="shared" si="49"/>
        <v>0</v>
      </c>
      <c r="J653" s="56"/>
      <c r="K653" s="56">
        <f ca="1" t="shared" si="41"/>
        <v>0</v>
      </c>
      <c r="L653" s="56">
        <f ca="1" t="shared" si="50"/>
        <v>0</v>
      </c>
      <c r="M653" s="56">
        <f ca="1" t="shared" si="42"/>
        <v>0</v>
      </c>
      <c r="N653" s="56">
        <f ca="1" t="shared" si="43"/>
        <v>0</v>
      </c>
      <c r="O653" s="56">
        <f ca="1" t="shared" si="44"/>
        <v>0</v>
      </c>
      <c r="P653" s="56">
        <f ca="1" t="shared" si="45"/>
        <v>0</v>
      </c>
      <c r="Q653" s="56">
        <f ca="1" t="shared" si="46"/>
        <v>0</v>
      </c>
      <c r="R653" s="56">
        <f ca="1" t="shared" si="47"/>
        <v>0</v>
      </c>
      <c r="S653" s="56">
        <f ca="1" t="shared" si="48"/>
        <v>0</v>
      </c>
      <c r="T653" s="56">
        <f ca="1" t="shared" si="35"/>
        <v>0</v>
      </c>
      <c r="U653" s="48"/>
    </row>
    <row r="654" spans="2:21">
      <c r="B654" s="56">
        <v>0</v>
      </c>
      <c r="C654" s="44" t="s">
        <v>610</v>
      </c>
      <c r="D654" s="71">
        <f ca="1" t="shared" si="36"/>
        <v>0</v>
      </c>
      <c r="E654" s="56">
        <f ca="1" t="shared" si="37"/>
        <v>0</v>
      </c>
      <c r="F654" s="56">
        <f ca="1" t="shared" si="38"/>
        <v>0</v>
      </c>
      <c r="G654" s="56">
        <f ca="1" t="shared" si="39"/>
        <v>0</v>
      </c>
      <c r="H654" s="56">
        <f ca="1" t="shared" si="40"/>
        <v>0</v>
      </c>
      <c r="I654" s="56">
        <f ca="1" t="shared" si="49"/>
        <v>0</v>
      </c>
      <c r="J654" s="56"/>
      <c r="K654" s="56">
        <f ca="1" t="shared" si="41"/>
        <v>0</v>
      </c>
      <c r="L654" s="56">
        <f ca="1" t="shared" si="50"/>
        <v>-262.75</v>
      </c>
      <c r="M654" s="56">
        <f ca="1" t="shared" si="42"/>
        <v>0</v>
      </c>
      <c r="N654" s="56">
        <f ca="1" t="shared" si="43"/>
        <v>0</v>
      </c>
      <c r="O654" s="56">
        <f ca="1" t="shared" si="44"/>
        <v>0</v>
      </c>
      <c r="P654" s="56">
        <f ca="1" t="shared" si="45"/>
        <v>0</v>
      </c>
      <c r="Q654" s="56">
        <f ca="1" t="shared" si="46"/>
        <v>0</v>
      </c>
      <c r="R654" s="56">
        <f ca="1" t="shared" si="47"/>
        <v>0</v>
      </c>
      <c r="S654" s="56">
        <f ca="1" t="shared" si="48"/>
        <v>0</v>
      </c>
      <c r="T654" s="56">
        <f ca="1" t="shared" si="35"/>
        <v>-262.75</v>
      </c>
      <c r="U654" s="48"/>
    </row>
    <row r="655" spans="2:21">
      <c r="B655" s="56">
        <v>0</v>
      </c>
      <c r="C655" s="44" t="s">
        <v>554</v>
      </c>
      <c r="D655" s="71">
        <f ca="1" t="shared" si="36"/>
        <v>0</v>
      </c>
      <c r="E655" s="56">
        <f ca="1" t="shared" si="37"/>
        <v>0</v>
      </c>
      <c r="F655" s="56">
        <f ca="1" t="shared" si="38"/>
        <v>0</v>
      </c>
      <c r="G655" s="56">
        <f ca="1" t="shared" si="39"/>
        <v>0</v>
      </c>
      <c r="H655" s="56">
        <f ca="1" t="shared" si="40"/>
        <v>0</v>
      </c>
      <c r="I655" s="56">
        <f ca="1" t="shared" si="49"/>
        <v>0</v>
      </c>
      <c r="J655" s="56"/>
      <c r="K655" s="56">
        <f ca="1" t="shared" si="41"/>
        <v>0</v>
      </c>
      <c r="L655" s="56">
        <f ca="1" t="shared" si="50"/>
        <v>123750</v>
      </c>
      <c r="M655" s="56">
        <f ca="1" t="shared" si="42"/>
        <v>0</v>
      </c>
      <c r="N655" s="56">
        <f ca="1" t="shared" si="43"/>
        <v>0</v>
      </c>
      <c r="O655" s="56">
        <f ca="1" t="shared" si="44"/>
        <v>0</v>
      </c>
      <c r="P655" s="56">
        <f ca="1" t="shared" si="45"/>
        <v>0</v>
      </c>
      <c r="Q655" s="56">
        <f ca="1" t="shared" si="46"/>
        <v>0</v>
      </c>
      <c r="R655" s="56">
        <f ca="1" t="shared" si="47"/>
        <v>0</v>
      </c>
      <c r="S655" s="56">
        <f ca="1" t="shared" si="48"/>
        <v>0</v>
      </c>
      <c r="T655" s="56">
        <f ca="1" t="shared" si="35"/>
        <v>123750</v>
      </c>
      <c r="U655" s="48"/>
    </row>
    <row r="656" spans="2:21">
      <c r="B656" s="56">
        <v>0</v>
      </c>
      <c r="C656" s="44" t="s">
        <v>613</v>
      </c>
      <c r="D656" s="71">
        <f ca="1" t="shared" si="36"/>
        <v>0</v>
      </c>
      <c r="E656" s="56">
        <f ca="1" t="shared" si="37"/>
        <v>0</v>
      </c>
      <c r="F656" s="56">
        <f ca="1" t="shared" si="38"/>
        <v>0</v>
      </c>
      <c r="G656" s="56">
        <f ca="1" t="shared" si="39"/>
        <v>0</v>
      </c>
      <c r="H656" s="56">
        <f ca="1" t="shared" si="40"/>
        <v>0</v>
      </c>
      <c r="I656" s="56">
        <f ca="1" t="shared" si="49"/>
        <v>0</v>
      </c>
      <c r="J656" s="56"/>
      <c r="K656" s="56">
        <f ca="1" t="shared" si="41"/>
        <v>0</v>
      </c>
      <c r="L656" s="56">
        <f ca="1" t="shared" si="50"/>
        <v>0</v>
      </c>
      <c r="M656" s="56">
        <f ca="1" t="shared" si="42"/>
        <v>0</v>
      </c>
      <c r="N656" s="56">
        <f ca="1" t="shared" si="43"/>
        <v>0</v>
      </c>
      <c r="O656" s="56">
        <f ca="1" t="shared" si="44"/>
        <v>0</v>
      </c>
      <c r="P656" s="56">
        <f ca="1" t="shared" si="45"/>
        <v>0</v>
      </c>
      <c r="Q656" s="56">
        <f ca="1" t="shared" si="46"/>
        <v>0</v>
      </c>
      <c r="R656" s="56">
        <f ca="1" t="shared" si="47"/>
        <v>0</v>
      </c>
      <c r="S656" s="56">
        <f ca="1" t="shared" si="48"/>
        <v>0</v>
      </c>
      <c r="T656" s="56">
        <f ca="1" t="shared" si="35"/>
        <v>0</v>
      </c>
      <c r="U656" s="48"/>
    </row>
    <row r="657" spans="2:21">
      <c r="B657" s="56">
        <v>0</v>
      </c>
      <c r="C657" s="44" t="s">
        <v>489</v>
      </c>
      <c r="D657" s="71">
        <f ca="1" t="shared" si="36"/>
        <v>0</v>
      </c>
      <c r="E657" s="56">
        <f ca="1" t="shared" si="37"/>
        <v>0</v>
      </c>
      <c r="F657" s="73">
        <f ca="1" t="shared" si="38"/>
        <v>344200</v>
      </c>
      <c r="G657" s="56">
        <f ca="1" t="shared" si="39"/>
        <v>0</v>
      </c>
      <c r="H657" s="56">
        <f ca="1" t="shared" si="40"/>
        <v>0</v>
      </c>
      <c r="I657" s="56">
        <f ca="1" t="shared" si="49"/>
        <v>0</v>
      </c>
      <c r="J657" s="56"/>
      <c r="K657" s="56">
        <f ca="1" t="shared" si="41"/>
        <v>0</v>
      </c>
      <c r="L657" s="56">
        <f ca="1" t="shared" si="50"/>
        <v>0</v>
      </c>
      <c r="M657" s="56">
        <f ca="1" t="shared" si="42"/>
        <v>0</v>
      </c>
      <c r="N657" s="56">
        <f ca="1" t="shared" si="43"/>
        <v>0</v>
      </c>
      <c r="O657" s="56">
        <f ca="1" t="shared" si="44"/>
        <v>0</v>
      </c>
      <c r="P657" s="56">
        <f ca="1" t="shared" si="45"/>
        <v>0</v>
      </c>
      <c r="Q657" s="56">
        <f ca="1" t="shared" si="46"/>
        <v>0</v>
      </c>
      <c r="R657" s="56">
        <f ca="1" t="shared" si="47"/>
        <v>0</v>
      </c>
      <c r="S657" s="56">
        <f ca="1" t="shared" si="48"/>
        <v>0</v>
      </c>
      <c r="T657" s="56">
        <f ca="1" t="shared" si="35"/>
        <v>344200</v>
      </c>
      <c r="U657" s="48"/>
    </row>
    <row r="658" spans="2:21">
      <c r="B658" s="56">
        <v>0</v>
      </c>
      <c r="C658" s="44" t="s">
        <v>1146</v>
      </c>
      <c r="D658" s="71">
        <f ca="1" t="shared" si="36"/>
        <v>0</v>
      </c>
      <c r="E658" s="56">
        <f ca="1" t="shared" si="37"/>
        <v>0</v>
      </c>
      <c r="F658" s="56">
        <f ca="1" t="shared" si="38"/>
        <v>0</v>
      </c>
      <c r="G658" s="56">
        <f ca="1" t="shared" si="39"/>
        <v>0</v>
      </c>
      <c r="H658" s="56">
        <f ca="1" t="shared" si="40"/>
        <v>0</v>
      </c>
      <c r="I658" s="56">
        <f ca="1" t="shared" si="49"/>
        <v>0</v>
      </c>
      <c r="J658" s="56"/>
      <c r="K658" s="56">
        <f ca="1" t="shared" si="41"/>
        <v>0</v>
      </c>
      <c r="L658" s="56">
        <f ca="1" t="shared" si="50"/>
        <v>0</v>
      </c>
      <c r="M658" s="56">
        <f ca="1" t="shared" si="42"/>
        <v>0</v>
      </c>
      <c r="N658" s="56">
        <f ca="1" t="shared" si="43"/>
        <v>0</v>
      </c>
      <c r="O658" s="56">
        <f ca="1" t="shared" si="44"/>
        <v>0</v>
      </c>
      <c r="P658" s="56">
        <f ca="1" t="shared" si="45"/>
        <v>0</v>
      </c>
      <c r="Q658" s="56">
        <f ca="1" t="shared" si="46"/>
        <v>0</v>
      </c>
      <c r="R658" s="56">
        <f ca="1" t="shared" si="47"/>
        <v>0</v>
      </c>
      <c r="S658" s="56">
        <f ca="1" t="shared" si="48"/>
        <v>0</v>
      </c>
      <c r="T658" s="56">
        <f ca="1" t="shared" si="35"/>
        <v>0</v>
      </c>
      <c r="U658" s="48"/>
    </row>
    <row r="659" spans="2:21">
      <c r="B659" s="56">
        <v>0</v>
      </c>
      <c r="C659" s="44" t="s">
        <v>569</v>
      </c>
      <c r="D659" s="71">
        <f ca="1" t="shared" si="36"/>
        <v>0</v>
      </c>
      <c r="E659" s="56">
        <f ca="1" t="shared" si="37"/>
        <v>0</v>
      </c>
      <c r="F659" s="56">
        <f ca="1" t="shared" si="38"/>
        <v>0</v>
      </c>
      <c r="G659" s="56">
        <f ca="1" t="shared" si="39"/>
        <v>0</v>
      </c>
      <c r="H659" s="56">
        <f ca="1" t="shared" si="40"/>
        <v>0</v>
      </c>
      <c r="I659" s="56">
        <f ca="1" t="shared" si="49"/>
        <v>0</v>
      </c>
      <c r="J659" s="56"/>
      <c r="K659" s="56">
        <f ca="1" t="shared" si="41"/>
        <v>0</v>
      </c>
      <c r="L659" s="56">
        <f ca="1" t="shared" si="50"/>
        <v>465002</v>
      </c>
      <c r="M659" s="56">
        <f ca="1" t="shared" si="42"/>
        <v>0</v>
      </c>
      <c r="N659" s="56">
        <f ca="1" t="shared" si="43"/>
        <v>0</v>
      </c>
      <c r="O659" s="56">
        <f ca="1" t="shared" si="44"/>
        <v>0</v>
      </c>
      <c r="P659" s="56">
        <f ca="1" t="shared" si="45"/>
        <v>0</v>
      </c>
      <c r="Q659" s="56">
        <f ca="1" t="shared" si="46"/>
        <v>0</v>
      </c>
      <c r="R659" s="56">
        <f ca="1" t="shared" si="47"/>
        <v>0</v>
      </c>
      <c r="S659" s="56">
        <f ca="1" t="shared" si="48"/>
        <v>0</v>
      </c>
      <c r="T659" s="56">
        <f ca="1" t="shared" si="35"/>
        <v>465002</v>
      </c>
      <c r="U659" s="48"/>
    </row>
    <row r="660" spans="2:21">
      <c r="B660" s="56">
        <v>0</v>
      </c>
      <c r="C660" s="44" t="s">
        <v>537</v>
      </c>
      <c r="D660" s="71">
        <f ca="1" t="shared" si="36"/>
        <v>0</v>
      </c>
      <c r="E660" s="56">
        <f ca="1" t="shared" si="37"/>
        <v>0</v>
      </c>
      <c r="F660" s="56">
        <f ca="1" t="shared" si="38"/>
        <v>0</v>
      </c>
      <c r="G660" s="56">
        <f ca="1" t="shared" si="39"/>
        <v>0</v>
      </c>
      <c r="H660" s="56">
        <f ca="1" t="shared" si="40"/>
        <v>0</v>
      </c>
      <c r="I660" s="56">
        <f ca="1" t="shared" si="49"/>
        <v>0</v>
      </c>
      <c r="J660" s="56"/>
      <c r="K660" s="56">
        <f ca="1" t="shared" si="41"/>
        <v>0</v>
      </c>
      <c r="L660" s="56">
        <f ca="1" t="shared" si="50"/>
        <v>0</v>
      </c>
      <c r="M660" s="56">
        <f ca="1" t="shared" si="42"/>
        <v>0</v>
      </c>
      <c r="N660" s="56">
        <f ca="1" t="shared" si="43"/>
        <v>0</v>
      </c>
      <c r="O660" s="56">
        <f ca="1" t="shared" si="44"/>
        <v>0</v>
      </c>
      <c r="P660" s="56">
        <f ca="1" t="shared" si="45"/>
        <v>0</v>
      </c>
      <c r="Q660" s="56">
        <f ca="1" t="shared" si="46"/>
        <v>0</v>
      </c>
      <c r="R660" s="56">
        <f ca="1" t="shared" si="47"/>
        <v>0</v>
      </c>
      <c r="S660" s="56">
        <f ca="1" t="shared" si="48"/>
        <v>0</v>
      </c>
      <c r="T660" s="56">
        <f ca="1" t="shared" si="35"/>
        <v>0</v>
      </c>
      <c r="U660" s="48"/>
    </row>
    <row r="661" spans="2:21">
      <c r="B661" s="56">
        <v>0</v>
      </c>
      <c r="C661" s="44" t="s">
        <v>542</v>
      </c>
      <c r="D661" s="71">
        <f ca="1" t="shared" ref="D661:D690" si="51">SUMIFS($M$5:$M$590,$G$5:$G$590,C661,$H$5:$H$590,$D$598,$I$5:$I$590,"Production")</f>
        <v>0</v>
      </c>
      <c r="E661" s="56">
        <f ca="1" t="shared" ref="E661:E690" si="52">SUMIFS($M$5:$M$590,$G$5:$G$590,C661,$H$5:$H$590,$E$598)</f>
        <v>0</v>
      </c>
      <c r="F661" s="56">
        <f ca="1" t="shared" ref="F661:F690" si="53">SUMIFS($M$5:$M$590,$G$5:$G$590,C661,$H$5:$H$590,$F$598,$I$5:$I$590,"Production")</f>
        <v>0</v>
      </c>
      <c r="G661" s="56">
        <f ca="1" t="shared" ref="G661:G690" si="54">SUMIFS($M$5:$M$590,$G$5:$G$590,C661,$H$5:$H$590,$G$598,$I$5:$I$590,"Production")</f>
        <v>0</v>
      </c>
      <c r="H661" s="56">
        <f ca="1" t="shared" ref="H661:H690" si="55">SUMIFS($M$5:$M$590,$G$5:$G$590,C661,$H$5:$H$590,$H$598,$I$5:$I$590,"Production")</f>
        <v>0</v>
      </c>
      <c r="I661" s="56">
        <f ca="1" t="shared" si="49"/>
        <v>0</v>
      </c>
      <c r="J661" s="56"/>
      <c r="K661" s="56">
        <f ca="1" t="shared" ref="K661:K690" si="56">SUMIFS($M$5:$M$590,$G$5:$G$590,C661,$H$5:$H$590,$K$598,$I$5:$I$590,"Production")</f>
        <v>0</v>
      </c>
      <c r="L661" s="56">
        <f ca="1" t="shared" si="50"/>
        <v>0</v>
      </c>
      <c r="M661" s="56">
        <f ca="1" t="shared" ref="M661:M690" si="57">SUMIFS($M$5:$M$590,$G$5:$G$590,C661,$H$5:$H$590,$M$598)</f>
        <v>0</v>
      </c>
      <c r="N661" s="56">
        <f ca="1" t="shared" ref="N661:N690" si="58">SUMIFS($M$5:$M$590,$G$5:$G$590,C661,$H$5:$H$590,$N$598)</f>
        <v>0</v>
      </c>
      <c r="O661" s="56">
        <f ca="1" t="shared" ref="O661:O690" si="59">SUMIFS($M$5:$M$590,$G$5:$G$590,C661,$H$5:$H$590,$O$598)</f>
        <v>0</v>
      </c>
      <c r="P661" s="56">
        <f ca="1" t="shared" ref="P661:P690" si="60">SUMIFS($M$5:$M$590,$G$5:$G$590,C661,$H$5:$H$590,$P$598)</f>
        <v>0</v>
      </c>
      <c r="Q661" s="56">
        <f ca="1" t="shared" ref="Q661:Q690" si="61">SUMIFS($M$5:$M$590,$G$5:$G$590,C661,$H$5:$H$590,$Q$598,$I$5:$I$590,"Production")</f>
        <v>0</v>
      </c>
      <c r="R661" s="56">
        <f ca="1" t="shared" ref="R661:R690" si="62">SUMIFS($M$5:$M$590,$G$5:$G$590,C661,$H$5:$H$590,$R$598,$I$5:$I$590,"Production")</f>
        <v>0</v>
      </c>
      <c r="S661" s="56">
        <f ca="1" t="shared" ref="S661:S690" si="63">SUMIFS($M$5:$M$590,$G$5:$G$590,C661,$H$5:$H$590,$S$598,$I$5:$I$590,"Production")</f>
        <v>0</v>
      </c>
      <c r="T661" s="56">
        <f ca="1" t="shared" si="35"/>
        <v>0</v>
      </c>
      <c r="U661" s="48"/>
    </row>
    <row r="662" spans="2:21">
      <c r="B662" s="56">
        <v>0</v>
      </c>
      <c r="C662" s="44" t="s">
        <v>479</v>
      </c>
      <c r="D662" s="71">
        <f ca="1" t="shared" si="51"/>
        <v>0</v>
      </c>
      <c r="E662" s="56">
        <f ca="1" t="shared" si="52"/>
        <v>0</v>
      </c>
      <c r="F662" s="73">
        <f ca="1" t="shared" si="53"/>
        <v>-0.289999999999964</v>
      </c>
      <c r="G662" s="56">
        <f ca="1" t="shared" si="54"/>
        <v>0</v>
      </c>
      <c r="H662" s="56">
        <f ca="1" t="shared" si="55"/>
        <v>0</v>
      </c>
      <c r="I662" s="56">
        <f ca="1" t="shared" si="49"/>
        <v>0</v>
      </c>
      <c r="J662" s="56"/>
      <c r="K662" s="56">
        <f ca="1" t="shared" si="56"/>
        <v>0</v>
      </c>
      <c r="L662" s="56">
        <f ca="1" t="shared" si="50"/>
        <v>0</v>
      </c>
      <c r="M662" s="56">
        <f ca="1" t="shared" si="57"/>
        <v>0</v>
      </c>
      <c r="N662" s="56">
        <f ca="1" t="shared" si="58"/>
        <v>0</v>
      </c>
      <c r="O662" s="56">
        <f ca="1" t="shared" si="59"/>
        <v>0</v>
      </c>
      <c r="P662" s="56">
        <f ca="1" t="shared" si="60"/>
        <v>0</v>
      </c>
      <c r="Q662" s="56">
        <f ca="1" t="shared" si="61"/>
        <v>0</v>
      </c>
      <c r="R662" s="56">
        <f ca="1" t="shared" si="62"/>
        <v>65872.63</v>
      </c>
      <c r="S662" s="56">
        <f ca="1" t="shared" si="63"/>
        <v>0</v>
      </c>
      <c r="T662" s="56">
        <f ca="1" t="shared" si="35"/>
        <v>65872.34</v>
      </c>
      <c r="U662" s="48"/>
    </row>
    <row r="663" spans="2:21">
      <c r="B663" s="56">
        <v>0</v>
      </c>
      <c r="C663" s="44" t="s">
        <v>481</v>
      </c>
      <c r="D663" s="71">
        <f ca="1" t="shared" si="51"/>
        <v>0</v>
      </c>
      <c r="E663" s="56">
        <f ca="1" t="shared" si="52"/>
        <v>0</v>
      </c>
      <c r="F663" s="73">
        <f ca="1" t="shared" si="53"/>
        <v>1585326.65</v>
      </c>
      <c r="G663" s="56">
        <f ca="1" t="shared" si="54"/>
        <v>0</v>
      </c>
      <c r="H663" s="56">
        <f ca="1" t="shared" si="55"/>
        <v>0</v>
      </c>
      <c r="I663" s="56">
        <f ca="1" t="shared" si="49"/>
        <v>0</v>
      </c>
      <c r="J663" s="56"/>
      <c r="K663" s="56">
        <f ca="1" t="shared" si="56"/>
        <v>0</v>
      </c>
      <c r="L663" s="56">
        <f ca="1" t="shared" si="50"/>
        <v>0</v>
      </c>
      <c r="M663" s="56">
        <f ca="1" t="shared" si="57"/>
        <v>0</v>
      </c>
      <c r="N663" s="56">
        <f ca="1" t="shared" si="58"/>
        <v>0</v>
      </c>
      <c r="O663" s="56">
        <f ca="1" t="shared" si="59"/>
        <v>0</v>
      </c>
      <c r="P663" s="56">
        <f ca="1" t="shared" si="60"/>
        <v>0</v>
      </c>
      <c r="Q663" s="56">
        <f ca="1" t="shared" si="61"/>
        <v>0</v>
      </c>
      <c r="R663" s="56">
        <f ca="1" t="shared" si="62"/>
        <v>0</v>
      </c>
      <c r="S663" s="56">
        <f ca="1" t="shared" si="63"/>
        <v>0</v>
      </c>
      <c r="T663" s="56">
        <f ca="1" t="shared" si="35"/>
        <v>1585326.65</v>
      </c>
      <c r="U663" s="48"/>
    </row>
    <row r="664" spans="2:21">
      <c r="B664" s="56">
        <v>0</v>
      </c>
      <c r="C664" s="44" t="s">
        <v>586</v>
      </c>
      <c r="D664" s="71">
        <f ca="1" t="shared" si="51"/>
        <v>0</v>
      </c>
      <c r="E664" s="56">
        <f ca="1" t="shared" si="52"/>
        <v>0</v>
      </c>
      <c r="F664" s="56">
        <f ca="1" t="shared" si="53"/>
        <v>0</v>
      </c>
      <c r="G664" s="56">
        <f ca="1" t="shared" si="54"/>
        <v>0</v>
      </c>
      <c r="H664" s="56">
        <f ca="1" t="shared" si="55"/>
        <v>0</v>
      </c>
      <c r="I664" s="56">
        <f ca="1" t="shared" ref="I664:I694" si="64">SUMIFS($M$5:$M$590,$G$5:$G$590,C664,$H$5:$H$590,$I$598,$I$5:$I$590,"Production")</f>
        <v>0</v>
      </c>
      <c r="J664" s="56"/>
      <c r="K664" s="56">
        <f ca="1" t="shared" si="56"/>
        <v>0</v>
      </c>
      <c r="L664" s="56">
        <f ca="1" t="shared" ref="L664:L694" si="65">SUMIFS($M$5:$M$590,$G$5:$G$590,C664,$H$5:$H$590,$L$598,$I$5:$I$590,"Production")</f>
        <v>0</v>
      </c>
      <c r="M664" s="56">
        <f ca="1" t="shared" si="57"/>
        <v>0</v>
      </c>
      <c r="N664" s="56">
        <f ca="1" t="shared" si="58"/>
        <v>0</v>
      </c>
      <c r="O664" s="56">
        <f ca="1" t="shared" si="59"/>
        <v>0</v>
      </c>
      <c r="P664" s="56">
        <f ca="1" t="shared" si="60"/>
        <v>0</v>
      </c>
      <c r="Q664" s="56">
        <f ca="1" t="shared" si="61"/>
        <v>0</v>
      </c>
      <c r="R664" s="56">
        <f ca="1" t="shared" si="62"/>
        <v>0</v>
      </c>
      <c r="S664" s="56">
        <f ca="1" t="shared" si="63"/>
        <v>0</v>
      </c>
      <c r="T664" s="56">
        <f ca="1" t="shared" si="35"/>
        <v>0</v>
      </c>
      <c r="U664" s="48"/>
    </row>
    <row r="665" spans="2:21">
      <c r="B665" s="56">
        <v>0</v>
      </c>
      <c r="C665" s="44" t="s">
        <v>1222</v>
      </c>
      <c r="D665" s="71">
        <f ca="1" t="shared" si="51"/>
        <v>0</v>
      </c>
      <c r="E665" s="56">
        <f ca="1" t="shared" si="52"/>
        <v>0</v>
      </c>
      <c r="F665" s="56">
        <f ca="1" t="shared" si="53"/>
        <v>0</v>
      </c>
      <c r="G665" s="56">
        <f ca="1" t="shared" si="54"/>
        <v>0</v>
      </c>
      <c r="H665" s="56">
        <f ca="1" t="shared" si="55"/>
        <v>0</v>
      </c>
      <c r="I665" s="56">
        <f ca="1" t="shared" si="64"/>
        <v>0</v>
      </c>
      <c r="J665" s="56"/>
      <c r="K665" s="56">
        <f ca="1" t="shared" si="56"/>
        <v>0</v>
      </c>
      <c r="L665" s="56">
        <f ca="1" t="shared" si="65"/>
        <v>0</v>
      </c>
      <c r="M665" s="56">
        <f ca="1" t="shared" si="57"/>
        <v>0</v>
      </c>
      <c r="N665" s="56">
        <f ca="1" t="shared" si="58"/>
        <v>0</v>
      </c>
      <c r="O665" s="56">
        <f ca="1" t="shared" si="59"/>
        <v>0</v>
      </c>
      <c r="P665" s="56">
        <f ca="1" t="shared" si="60"/>
        <v>0</v>
      </c>
      <c r="Q665" s="56">
        <f ca="1" t="shared" si="61"/>
        <v>0</v>
      </c>
      <c r="R665" s="56">
        <f ca="1" t="shared" si="62"/>
        <v>0</v>
      </c>
      <c r="S665" s="56">
        <f ca="1" t="shared" si="63"/>
        <v>0</v>
      </c>
      <c r="T665" s="56">
        <f ca="1" t="shared" si="35"/>
        <v>0</v>
      </c>
      <c r="U665" s="48"/>
    </row>
    <row r="666" spans="2:21">
      <c r="B666" s="56">
        <v>0</v>
      </c>
      <c r="C666" s="44" t="s">
        <v>1225</v>
      </c>
      <c r="D666" s="71">
        <f ca="1" t="shared" si="51"/>
        <v>0</v>
      </c>
      <c r="E666" s="56">
        <f ca="1" t="shared" si="52"/>
        <v>0</v>
      </c>
      <c r="F666" s="56">
        <f ca="1" t="shared" si="53"/>
        <v>0</v>
      </c>
      <c r="G666" s="56">
        <f ca="1" t="shared" si="54"/>
        <v>0</v>
      </c>
      <c r="H666" s="56">
        <f ca="1" t="shared" si="55"/>
        <v>0</v>
      </c>
      <c r="I666" s="56">
        <f ca="1" t="shared" si="64"/>
        <v>0</v>
      </c>
      <c r="J666" s="56"/>
      <c r="K666" s="56">
        <f ca="1" t="shared" si="56"/>
        <v>0</v>
      </c>
      <c r="L666" s="56">
        <f ca="1" t="shared" si="65"/>
        <v>0</v>
      </c>
      <c r="M666" s="56">
        <f ca="1" t="shared" si="57"/>
        <v>0</v>
      </c>
      <c r="N666" s="56">
        <f ca="1" t="shared" si="58"/>
        <v>0</v>
      </c>
      <c r="O666" s="56">
        <f ca="1" t="shared" si="59"/>
        <v>0</v>
      </c>
      <c r="P666" s="56">
        <f ca="1" t="shared" si="60"/>
        <v>0</v>
      </c>
      <c r="Q666" s="56">
        <f ca="1" t="shared" si="61"/>
        <v>0</v>
      </c>
      <c r="R666" s="56">
        <f ca="1" t="shared" si="62"/>
        <v>0</v>
      </c>
      <c r="S666" s="56">
        <f ca="1" t="shared" si="63"/>
        <v>0</v>
      </c>
      <c r="T666" s="56">
        <f ca="1" t="shared" si="35"/>
        <v>0</v>
      </c>
      <c r="U666" s="48"/>
    </row>
    <row r="667" spans="2:21">
      <c r="B667" s="56">
        <v>0</v>
      </c>
      <c r="C667" s="44" t="s">
        <v>499</v>
      </c>
      <c r="D667" s="71">
        <f ca="1" t="shared" si="51"/>
        <v>0</v>
      </c>
      <c r="E667" s="56">
        <f ca="1" t="shared" si="52"/>
        <v>0</v>
      </c>
      <c r="F667" s="73">
        <f ca="1" t="shared" si="53"/>
        <v>22340</v>
      </c>
      <c r="G667" s="56">
        <f ca="1" t="shared" si="54"/>
        <v>0</v>
      </c>
      <c r="H667" s="56">
        <f ca="1" t="shared" si="55"/>
        <v>0</v>
      </c>
      <c r="I667" s="56">
        <f ca="1" t="shared" si="64"/>
        <v>0</v>
      </c>
      <c r="J667" s="56"/>
      <c r="K667" s="56">
        <f ca="1" t="shared" si="56"/>
        <v>0</v>
      </c>
      <c r="L667" s="56">
        <f ca="1" t="shared" si="65"/>
        <v>0</v>
      </c>
      <c r="M667" s="56">
        <f ca="1" t="shared" si="57"/>
        <v>0</v>
      </c>
      <c r="N667" s="56">
        <f ca="1" t="shared" si="58"/>
        <v>0</v>
      </c>
      <c r="O667" s="56">
        <f ca="1" t="shared" si="59"/>
        <v>0</v>
      </c>
      <c r="P667" s="56">
        <f ca="1" t="shared" si="60"/>
        <v>0</v>
      </c>
      <c r="Q667" s="56">
        <f ca="1" t="shared" si="61"/>
        <v>0</v>
      </c>
      <c r="R667" s="56">
        <f ca="1" t="shared" si="62"/>
        <v>0</v>
      </c>
      <c r="S667" s="56">
        <f ca="1" t="shared" si="63"/>
        <v>0</v>
      </c>
      <c r="T667" s="56">
        <f ca="1" t="shared" si="35"/>
        <v>22340</v>
      </c>
      <c r="U667" s="48"/>
    </row>
    <row r="668" spans="2:21">
      <c r="B668" s="56">
        <v>0</v>
      </c>
      <c r="C668" s="44" t="s">
        <v>505</v>
      </c>
      <c r="D668" s="71">
        <f ca="1" t="shared" si="51"/>
        <v>0</v>
      </c>
      <c r="E668" s="56">
        <f ca="1" t="shared" si="52"/>
        <v>0</v>
      </c>
      <c r="F668" s="73">
        <f ca="1" t="shared" si="53"/>
        <v>0</v>
      </c>
      <c r="G668" s="56">
        <f ca="1" t="shared" si="54"/>
        <v>0</v>
      </c>
      <c r="H668" s="56">
        <f ca="1" t="shared" si="55"/>
        <v>0</v>
      </c>
      <c r="I668" s="56">
        <f ca="1" t="shared" si="64"/>
        <v>0</v>
      </c>
      <c r="J668" s="56"/>
      <c r="K668" s="56">
        <f ca="1" t="shared" si="56"/>
        <v>0</v>
      </c>
      <c r="L668" s="56">
        <f ca="1" t="shared" si="65"/>
        <v>0</v>
      </c>
      <c r="M668" s="56">
        <f ca="1" t="shared" si="57"/>
        <v>0</v>
      </c>
      <c r="N668" s="56">
        <f ca="1" t="shared" si="58"/>
        <v>0</v>
      </c>
      <c r="O668" s="56">
        <f ca="1" t="shared" si="59"/>
        <v>0</v>
      </c>
      <c r="P668" s="56">
        <f ca="1" t="shared" si="60"/>
        <v>0</v>
      </c>
      <c r="Q668" s="56">
        <f ca="1" t="shared" si="61"/>
        <v>0</v>
      </c>
      <c r="R668" s="56">
        <f ca="1" t="shared" si="62"/>
        <v>0</v>
      </c>
      <c r="S668" s="56">
        <f ca="1" t="shared" si="63"/>
        <v>0</v>
      </c>
      <c r="T668" s="56">
        <f ca="1" t="shared" si="35"/>
        <v>0</v>
      </c>
      <c r="U668" s="48"/>
    </row>
    <row r="669" spans="2:21">
      <c r="B669" s="56">
        <v>0</v>
      </c>
      <c r="C669" s="44" t="s">
        <v>1233</v>
      </c>
      <c r="D669" s="71">
        <f ca="1" t="shared" si="51"/>
        <v>0</v>
      </c>
      <c r="E669" s="56">
        <f ca="1" t="shared" si="52"/>
        <v>0</v>
      </c>
      <c r="F669" s="56">
        <f ca="1" t="shared" si="53"/>
        <v>0</v>
      </c>
      <c r="G669" s="56">
        <f ca="1" t="shared" si="54"/>
        <v>0</v>
      </c>
      <c r="H669" s="56">
        <f ca="1" t="shared" si="55"/>
        <v>0</v>
      </c>
      <c r="I669" s="56">
        <f ca="1" t="shared" si="64"/>
        <v>0</v>
      </c>
      <c r="J669" s="56"/>
      <c r="K669" s="56">
        <f ca="1" t="shared" si="56"/>
        <v>0</v>
      </c>
      <c r="L669" s="56">
        <f ca="1" t="shared" si="65"/>
        <v>0</v>
      </c>
      <c r="M669" s="56">
        <f ca="1" t="shared" si="57"/>
        <v>0</v>
      </c>
      <c r="N669" s="56">
        <f ca="1" t="shared" si="58"/>
        <v>0</v>
      </c>
      <c r="O669" s="56">
        <f ca="1" t="shared" si="59"/>
        <v>0</v>
      </c>
      <c r="P669" s="56">
        <f ca="1" t="shared" si="60"/>
        <v>0</v>
      </c>
      <c r="Q669" s="56">
        <f ca="1" t="shared" si="61"/>
        <v>0</v>
      </c>
      <c r="R669" s="56">
        <f ca="1" t="shared" si="62"/>
        <v>0</v>
      </c>
      <c r="S669" s="56">
        <f ca="1" t="shared" si="63"/>
        <v>0</v>
      </c>
      <c r="T669" s="56">
        <f ca="1" t="shared" si="35"/>
        <v>0</v>
      </c>
      <c r="U669" s="48"/>
    </row>
    <row r="670" spans="2:21">
      <c r="B670" s="56">
        <v>0</v>
      </c>
      <c r="C670" s="44" t="s">
        <v>1235</v>
      </c>
      <c r="D670" s="71">
        <f ca="1" t="shared" si="51"/>
        <v>0</v>
      </c>
      <c r="E670" s="56">
        <f ca="1" t="shared" si="52"/>
        <v>0</v>
      </c>
      <c r="F670" s="56">
        <f ca="1" t="shared" si="53"/>
        <v>0</v>
      </c>
      <c r="G670" s="56">
        <f ca="1" t="shared" si="54"/>
        <v>0</v>
      </c>
      <c r="H670" s="56">
        <f ca="1" t="shared" si="55"/>
        <v>0</v>
      </c>
      <c r="I670" s="56">
        <f ca="1" t="shared" si="64"/>
        <v>0</v>
      </c>
      <c r="J670" s="56"/>
      <c r="K670" s="56">
        <f ca="1" t="shared" si="56"/>
        <v>0</v>
      </c>
      <c r="L670" s="56">
        <f ca="1" t="shared" si="65"/>
        <v>0</v>
      </c>
      <c r="M670" s="56">
        <f ca="1" t="shared" si="57"/>
        <v>0</v>
      </c>
      <c r="N670" s="56">
        <f ca="1" t="shared" si="58"/>
        <v>0</v>
      </c>
      <c r="O670" s="56">
        <f ca="1" t="shared" si="59"/>
        <v>0</v>
      </c>
      <c r="P670" s="56">
        <f ca="1" t="shared" si="60"/>
        <v>0</v>
      </c>
      <c r="Q670" s="56">
        <f ca="1" t="shared" si="61"/>
        <v>0</v>
      </c>
      <c r="R670" s="56">
        <f ca="1" t="shared" si="62"/>
        <v>0</v>
      </c>
      <c r="S670" s="56">
        <f ca="1" t="shared" si="63"/>
        <v>0</v>
      </c>
      <c r="T670" s="56">
        <f ca="1" t="shared" ref="T670:T694" si="66">SUM(D670:S670)</f>
        <v>0</v>
      </c>
      <c r="U670" s="48"/>
    </row>
    <row r="671" spans="2:21">
      <c r="B671" s="56">
        <v>0</v>
      </c>
      <c r="C671" s="44" t="s">
        <v>627</v>
      </c>
      <c r="D671" s="71">
        <f ca="1" t="shared" si="51"/>
        <v>0</v>
      </c>
      <c r="E671" s="56">
        <f ca="1" t="shared" si="52"/>
        <v>0</v>
      </c>
      <c r="F671" s="56">
        <f ca="1" t="shared" si="53"/>
        <v>0</v>
      </c>
      <c r="G671" s="56">
        <f ca="1" t="shared" si="54"/>
        <v>0</v>
      </c>
      <c r="H671" s="56">
        <f ca="1" t="shared" si="55"/>
        <v>0</v>
      </c>
      <c r="I671" s="56">
        <f ca="1" t="shared" si="64"/>
        <v>0</v>
      </c>
      <c r="J671" s="56"/>
      <c r="K671" s="56">
        <f ca="1" t="shared" si="56"/>
        <v>0</v>
      </c>
      <c r="L671" s="56">
        <f ca="1" t="shared" si="65"/>
        <v>0</v>
      </c>
      <c r="M671" s="56">
        <f ca="1" t="shared" si="57"/>
        <v>0</v>
      </c>
      <c r="N671" s="56">
        <f ca="1" t="shared" si="58"/>
        <v>0</v>
      </c>
      <c r="O671" s="56">
        <f ca="1" t="shared" si="59"/>
        <v>0</v>
      </c>
      <c r="P671" s="56">
        <f ca="1" t="shared" si="60"/>
        <v>0</v>
      </c>
      <c r="Q671" s="56">
        <f ca="1" t="shared" si="61"/>
        <v>0</v>
      </c>
      <c r="R671" s="56">
        <f ca="1" t="shared" si="62"/>
        <v>0</v>
      </c>
      <c r="S671" s="56">
        <f ca="1" t="shared" si="63"/>
        <v>0</v>
      </c>
      <c r="T671" s="56">
        <f ca="1" t="shared" si="66"/>
        <v>0</v>
      </c>
      <c r="U671" s="48"/>
    </row>
    <row r="672" spans="2:21">
      <c r="B672" s="56">
        <v>0</v>
      </c>
      <c r="C672" s="44" t="s">
        <v>573</v>
      </c>
      <c r="D672" s="71">
        <f ca="1" t="shared" si="51"/>
        <v>0</v>
      </c>
      <c r="E672" s="56">
        <f ca="1" t="shared" si="52"/>
        <v>0</v>
      </c>
      <c r="F672" s="56">
        <f ca="1" t="shared" si="53"/>
        <v>0</v>
      </c>
      <c r="G672" s="56">
        <f ca="1" t="shared" si="54"/>
        <v>0</v>
      </c>
      <c r="H672" s="56">
        <f ca="1" t="shared" si="55"/>
        <v>0</v>
      </c>
      <c r="I672" s="56">
        <f ca="1" t="shared" si="64"/>
        <v>0</v>
      </c>
      <c r="J672" s="56"/>
      <c r="K672" s="56">
        <f ca="1" t="shared" si="56"/>
        <v>0</v>
      </c>
      <c r="L672" s="56">
        <f ca="1" t="shared" si="65"/>
        <v>0</v>
      </c>
      <c r="M672" s="56">
        <f ca="1" t="shared" si="57"/>
        <v>0</v>
      </c>
      <c r="N672" s="56">
        <f ca="1" t="shared" si="58"/>
        <v>0</v>
      </c>
      <c r="O672" s="56">
        <f ca="1" t="shared" si="59"/>
        <v>0</v>
      </c>
      <c r="P672" s="56">
        <f ca="1" t="shared" si="60"/>
        <v>0</v>
      </c>
      <c r="Q672" s="56">
        <f ca="1" t="shared" si="61"/>
        <v>0</v>
      </c>
      <c r="R672" s="56">
        <f ca="1" t="shared" si="62"/>
        <v>0</v>
      </c>
      <c r="S672" s="56">
        <f ca="1" t="shared" si="63"/>
        <v>0</v>
      </c>
      <c r="T672" s="56">
        <f ca="1" t="shared" si="66"/>
        <v>0</v>
      </c>
      <c r="U672" s="48"/>
    </row>
    <row r="673" spans="2:21">
      <c r="B673" s="56">
        <v>0</v>
      </c>
      <c r="C673" s="44" t="s">
        <v>1242</v>
      </c>
      <c r="D673" s="71">
        <f ca="1" t="shared" si="51"/>
        <v>0</v>
      </c>
      <c r="E673" s="56">
        <f ca="1" t="shared" si="52"/>
        <v>0</v>
      </c>
      <c r="F673" s="56">
        <f ca="1" t="shared" si="53"/>
        <v>0</v>
      </c>
      <c r="G673" s="56">
        <f ca="1" t="shared" si="54"/>
        <v>0</v>
      </c>
      <c r="H673" s="56">
        <f ca="1" t="shared" si="55"/>
        <v>0</v>
      </c>
      <c r="I673" s="56">
        <f ca="1" t="shared" si="64"/>
        <v>0</v>
      </c>
      <c r="J673" s="56"/>
      <c r="K673" s="56">
        <f ca="1" t="shared" si="56"/>
        <v>0</v>
      </c>
      <c r="L673" s="56">
        <f ca="1" t="shared" si="65"/>
        <v>0</v>
      </c>
      <c r="M673" s="56">
        <f ca="1" t="shared" si="57"/>
        <v>0</v>
      </c>
      <c r="N673" s="56">
        <f ca="1" t="shared" si="58"/>
        <v>0</v>
      </c>
      <c r="O673" s="56">
        <f ca="1" t="shared" si="59"/>
        <v>0</v>
      </c>
      <c r="P673" s="56">
        <f ca="1" t="shared" si="60"/>
        <v>0</v>
      </c>
      <c r="Q673" s="56">
        <f ca="1" t="shared" si="61"/>
        <v>0</v>
      </c>
      <c r="R673" s="56">
        <f ca="1" t="shared" si="62"/>
        <v>0</v>
      </c>
      <c r="S673" s="56">
        <f ca="1" t="shared" si="63"/>
        <v>0</v>
      </c>
      <c r="T673" s="56">
        <f ca="1" t="shared" si="66"/>
        <v>0</v>
      </c>
      <c r="U673" s="48"/>
    </row>
    <row r="674" spans="2:21">
      <c r="B674" s="56">
        <v>0</v>
      </c>
      <c r="C674" s="44" t="s">
        <v>1245</v>
      </c>
      <c r="D674" s="71">
        <f ca="1" t="shared" si="51"/>
        <v>0</v>
      </c>
      <c r="E674" s="56">
        <f ca="1" t="shared" si="52"/>
        <v>0</v>
      </c>
      <c r="F674" s="56">
        <f ca="1" t="shared" si="53"/>
        <v>0</v>
      </c>
      <c r="G674" s="56">
        <f ca="1" t="shared" si="54"/>
        <v>0</v>
      </c>
      <c r="H674" s="56">
        <f ca="1" t="shared" si="55"/>
        <v>0</v>
      </c>
      <c r="I674" s="56">
        <f ca="1" t="shared" si="64"/>
        <v>0</v>
      </c>
      <c r="J674" s="56"/>
      <c r="K674" s="56">
        <f ca="1" t="shared" si="56"/>
        <v>0</v>
      </c>
      <c r="L674" s="56">
        <f ca="1" t="shared" si="65"/>
        <v>0</v>
      </c>
      <c r="M674" s="56">
        <f ca="1" t="shared" si="57"/>
        <v>0</v>
      </c>
      <c r="N674" s="56">
        <f ca="1" t="shared" si="58"/>
        <v>0</v>
      </c>
      <c r="O674" s="56">
        <f ca="1" t="shared" si="59"/>
        <v>0</v>
      </c>
      <c r="P674" s="56">
        <f ca="1" t="shared" si="60"/>
        <v>0</v>
      </c>
      <c r="Q674" s="56">
        <f ca="1" t="shared" si="61"/>
        <v>0</v>
      </c>
      <c r="R674" s="56">
        <f ca="1" t="shared" si="62"/>
        <v>0</v>
      </c>
      <c r="S674" s="56">
        <f ca="1" t="shared" si="63"/>
        <v>0</v>
      </c>
      <c r="T674" s="56">
        <f ca="1" t="shared" si="66"/>
        <v>0</v>
      </c>
      <c r="U674" s="48"/>
    </row>
    <row r="675" spans="2:21">
      <c r="B675" s="56">
        <v>0</v>
      </c>
      <c r="C675" s="44" t="s">
        <v>571</v>
      </c>
      <c r="D675" s="71">
        <f ca="1" t="shared" si="51"/>
        <v>0</v>
      </c>
      <c r="E675" s="56">
        <f ca="1" t="shared" si="52"/>
        <v>0</v>
      </c>
      <c r="F675" s="73">
        <f ca="1" t="shared" si="53"/>
        <v>147256.58</v>
      </c>
      <c r="G675" s="56">
        <f ca="1" t="shared" si="54"/>
        <v>0</v>
      </c>
      <c r="H675" s="56">
        <f ca="1" t="shared" si="55"/>
        <v>0</v>
      </c>
      <c r="I675" s="56">
        <f ca="1" t="shared" si="64"/>
        <v>0</v>
      </c>
      <c r="J675" s="56"/>
      <c r="K675" s="56">
        <f ca="1" t="shared" si="56"/>
        <v>0</v>
      </c>
      <c r="L675" s="56">
        <f ca="1" t="shared" si="65"/>
        <v>0</v>
      </c>
      <c r="M675" s="56">
        <f ca="1" t="shared" si="57"/>
        <v>0</v>
      </c>
      <c r="N675" s="56">
        <f ca="1" t="shared" si="58"/>
        <v>0</v>
      </c>
      <c r="O675" s="56">
        <f ca="1" t="shared" si="59"/>
        <v>0</v>
      </c>
      <c r="P675" s="56">
        <f ca="1" t="shared" si="60"/>
        <v>0</v>
      </c>
      <c r="Q675" s="56">
        <f ca="1" t="shared" si="61"/>
        <v>0</v>
      </c>
      <c r="R675" s="56">
        <f ca="1" t="shared" si="62"/>
        <v>0</v>
      </c>
      <c r="S675" s="56">
        <f ca="1" t="shared" si="63"/>
        <v>0</v>
      </c>
      <c r="T675" s="56">
        <f ca="1" t="shared" si="66"/>
        <v>147256.58</v>
      </c>
      <c r="U675" s="48"/>
    </row>
    <row r="676" spans="2:21">
      <c r="B676" s="56">
        <v>0</v>
      </c>
      <c r="C676" s="44" t="s">
        <v>477</v>
      </c>
      <c r="D676" s="71">
        <f ca="1" t="shared" si="51"/>
        <v>0</v>
      </c>
      <c r="E676" s="56">
        <f ca="1" t="shared" si="52"/>
        <v>0</v>
      </c>
      <c r="F676" s="56">
        <f ca="1" t="shared" si="53"/>
        <v>0</v>
      </c>
      <c r="G676" s="56">
        <f ca="1" t="shared" si="54"/>
        <v>0</v>
      </c>
      <c r="H676" s="56">
        <f ca="1" t="shared" si="55"/>
        <v>0</v>
      </c>
      <c r="I676" s="73">
        <f ca="1" t="shared" si="64"/>
        <v>291350</v>
      </c>
      <c r="J676" s="56"/>
      <c r="K676" s="56">
        <f ca="1" t="shared" si="56"/>
        <v>0</v>
      </c>
      <c r="L676" s="56">
        <f ca="1" t="shared" si="65"/>
        <v>0</v>
      </c>
      <c r="M676" s="56">
        <f ca="1" t="shared" si="57"/>
        <v>0</v>
      </c>
      <c r="N676" s="56">
        <f ca="1" t="shared" si="58"/>
        <v>0</v>
      </c>
      <c r="O676" s="56">
        <f ca="1" t="shared" si="59"/>
        <v>0</v>
      </c>
      <c r="P676" s="56">
        <f ca="1" t="shared" si="60"/>
        <v>0</v>
      </c>
      <c r="Q676" s="56">
        <f ca="1" t="shared" si="61"/>
        <v>0</v>
      </c>
      <c r="R676" s="56">
        <f ca="1" t="shared" si="62"/>
        <v>0</v>
      </c>
      <c r="S676" s="56">
        <f ca="1" t="shared" si="63"/>
        <v>0</v>
      </c>
      <c r="T676" s="56">
        <f ca="1" t="shared" si="66"/>
        <v>291350</v>
      </c>
      <c r="U676" s="48"/>
    </row>
    <row r="677" spans="2:21">
      <c r="B677" s="56">
        <v>0</v>
      </c>
      <c r="C677" s="44" t="s">
        <v>530</v>
      </c>
      <c r="D677" s="71">
        <f ca="1" t="shared" si="51"/>
        <v>0</v>
      </c>
      <c r="E677" s="56">
        <f ca="1" t="shared" si="52"/>
        <v>0</v>
      </c>
      <c r="F677" s="73">
        <f ca="1" t="shared" si="53"/>
        <v>5900</v>
      </c>
      <c r="G677" s="56">
        <f ca="1" t="shared" si="54"/>
        <v>0</v>
      </c>
      <c r="H677" s="56">
        <f ca="1" t="shared" si="55"/>
        <v>0</v>
      </c>
      <c r="I677" s="56">
        <f ca="1" t="shared" si="64"/>
        <v>0</v>
      </c>
      <c r="J677" s="56"/>
      <c r="K677" s="56">
        <f ca="1" t="shared" si="56"/>
        <v>0</v>
      </c>
      <c r="L677" s="56">
        <f ca="1" t="shared" si="65"/>
        <v>0</v>
      </c>
      <c r="M677" s="56">
        <f ca="1" t="shared" si="57"/>
        <v>0</v>
      </c>
      <c r="N677" s="56">
        <f ca="1" t="shared" si="58"/>
        <v>0</v>
      </c>
      <c r="O677" s="56">
        <f ca="1" t="shared" si="59"/>
        <v>0</v>
      </c>
      <c r="P677" s="56">
        <f ca="1" t="shared" si="60"/>
        <v>0</v>
      </c>
      <c r="Q677" s="56">
        <f ca="1" t="shared" si="61"/>
        <v>0</v>
      </c>
      <c r="R677" s="56">
        <f ca="1" t="shared" si="62"/>
        <v>0</v>
      </c>
      <c r="S677" s="56">
        <f ca="1" t="shared" si="63"/>
        <v>0</v>
      </c>
      <c r="T677" s="56">
        <f ca="1" t="shared" si="66"/>
        <v>5900</v>
      </c>
      <c r="U677" s="48"/>
    </row>
    <row r="678" spans="2:21">
      <c r="B678" s="56">
        <v>0</v>
      </c>
      <c r="C678" s="44" t="s">
        <v>564</v>
      </c>
      <c r="D678" s="71">
        <f ca="1" t="shared" si="51"/>
        <v>0</v>
      </c>
      <c r="E678" s="56">
        <f ca="1" t="shared" si="52"/>
        <v>0</v>
      </c>
      <c r="F678" s="73">
        <f ca="1" t="shared" si="53"/>
        <v>0</v>
      </c>
      <c r="G678" s="56">
        <f ca="1" t="shared" si="54"/>
        <v>0</v>
      </c>
      <c r="H678" s="56">
        <f ca="1" t="shared" si="55"/>
        <v>0</v>
      </c>
      <c r="I678" s="56">
        <f ca="1" t="shared" si="64"/>
        <v>0</v>
      </c>
      <c r="J678" s="56"/>
      <c r="K678" s="56">
        <f ca="1" t="shared" si="56"/>
        <v>0</v>
      </c>
      <c r="L678" s="56">
        <f ca="1" t="shared" si="65"/>
        <v>0</v>
      </c>
      <c r="M678" s="56">
        <f ca="1" t="shared" si="57"/>
        <v>0</v>
      </c>
      <c r="N678" s="56">
        <f ca="1" t="shared" si="58"/>
        <v>0</v>
      </c>
      <c r="O678" s="56">
        <f ca="1" t="shared" si="59"/>
        <v>0</v>
      </c>
      <c r="P678" s="56">
        <f ca="1" t="shared" si="60"/>
        <v>0</v>
      </c>
      <c r="Q678" s="56">
        <f ca="1" t="shared" si="61"/>
        <v>0</v>
      </c>
      <c r="R678" s="56">
        <f ca="1" t="shared" si="62"/>
        <v>0</v>
      </c>
      <c r="S678" s="56">
        <f ca="1" t="shared" si="63"/>
        <v>0</v>
      </c>
      <c r="T678" s="56">
        <f ca="1" t="shared" si="66"/>
        <v>0</v>
      </c>
      <c r="U678" s="48"/>
    </row>
    <row r="679" spans="2:21">
      <c r="B679" s="56">
        <v>0</v>
      </c>
      <c r="C679" s="44" t="s">
        <v>540</v>
      </c>
      <c r="D679" s="71">
        <f ca="1" t="shared" si="51"/>
        <v>0</v>
      </c>
      <c r="E679" s="56">
        <f ca="1" t="shared" si="52"/>
        <v>0</v>
      </c>
      <c r="F679" s="73">
        <f ca="1" t="shared" si="53"/>
        <v>32243.83</v>
      </c>
      <c r="G679" s="56">
        <f ca="1" t="shared" si="54"/>
        <v>0</v>
      </c>
      <c r="H679" s="56">
        <f ca="1" t="shared" si="55"/>
        <v>0</v>
      </c>
      <c r="I679" s="56">
        <f ca="1" t="shared" si="64"/>
        <v>0</v>
      </c>
      <c r="J679" s="56"/>
      <c r="K679" s="56">
        <f ca="1" t="shared" si="56"/>
        <v>0</v>
      </c>
      <c r="L679" s="56">
        <f ca="1" t="shared" si="65"/>
        <v>0</v>
      </c>
      <c r="M679" s="56">
        <f ca="1" t="shared" si="57"/>
        <v>0</v>
      </c>
      <c r="N679" s="56">
        <f ca="1" t="shared" si="58"/>
        <v>0</v>
      </c>
      <c r="O679" s="56">
        <f ca="1" t="shared" si="59"/>
        <v>0</v>
      </c>
      <c r="P679" s="56">
        <f ca="1" t="shared" si="60"/>
        <v>0</v>
      </c>
      <c r="Q679" s="56">
        <f ca="1" t="shared" si="61"/>
        <v>0</v>
      </c>
      <c r="R679" s="56">
        <f ca="1" t="shared" si="62"/>
        <v>0</v>
      </c>
      <c r="S679" s="56">
        <f ca="1" t="shared" si="63"/>
        <v>0</v>
      </c>
      <c r="T679" s="56">
        <f ca="1" t="shared" si="66"/>
        <v>32243.83</v>
      </c>
      <c r="U679" s="48"/>
    </row>
    <row r="680" spans="2:21">
      <c r="B680" s="56">
        <v>0</v>
      </c>
      <c r="C680" s="44" t="s">
        <v>487</v>
      </c>
      <c r="D680" s="71">
        <f ca="1" t="shared" si="51"/>
        <v>0</v>
      </c>
      <c r="E680" s="56">
        <f ca="1" t="shared" si="52"/>
        <v>0</v>
      </c>
      <c r="F680" s="73">
        <f ca="1" t="shared" si="53"/>
        <v>11223</v>
      </c>
      <c r="G680" s="56">
        <f ca="1" t="shared" si="54"/>
        <v>0</v>
      </c>
      <c r="H680" s="56">
        <f ca="1" t="shared" si="55"/>
        <v>0</v>
      </c>
      <c r="I680" s="56">
        <f ca="1" t="shared" si="64"/>
        <v>0</v>
      </c>
      <c r="J680" s="56"/>
      <c r="K680" s="56">
        <f ca="1" t="shared" si="56"/>
        <v>0</v>
      </c>
      <c r="L680" s="56">
        <f ca="1" t="shared" si="65"/>
        <v>0</v>
      </c>
      <c r="M680" s="56">
        <f ca="1" t="shared" si="57"/>
        <v>0</v>
      </c>
      <c r="N680" s="56">
        <f ca="1" t="shared" si="58"/>
        <v>0</v>
      </c>
      <c r="O680" s="56">
        <f ca="1" t="shared" si="59"/>
        <v>0</v>
      </c>
      <c r="P680" s="56">
        <f ca="1" t="shared" si="60"/>
        <v>0</v>
      </c>
      <c r="Q680" s="56">
        <f ca="1" t="shared" si="61"/>
        <v>0</v>
      </c>
      <c r="R680" s="56">
        <f ca="1" t="shared" si="62"/>
        <v>1492</v>
      </c>
      <c r="S680" s="56">
        <f ca="1" t="shared" si="63"/>
        <v>0</v>
      </c>
      <c r="T680" s="56">
        <f ca="1" t="shared" si="66"/>
        <v>12715</v>
      </c>
      <c r="U680" s="48"/>
    </row>
    <row r="681" spans="2:21">
      <c r="B681" s="56">
        <v>0</v>
      </c>
      <c r="C681" s="44" t="s">
        <v>615</v>
      </c>
      <c r="D681" s="71">
        <f ca="1" t="shared" si="51"/>
        <v>0</v>
      </c>
      <c r="E681" s="56">
        <f ca="1" t="shared" si="52"/>
        <v>0</v>
      </c>
      <c r="F681" s="56">
        <f ca="1" t="shared" si="53"/>
        <v>0</v>
      </c>
      <c r="G681" s="56">
        <f ca="1" t="shared" si="54"/>
        <v>0</v>
      </c>
      <c r="H681" s="56">
        <f ca="1" t="shared" si="55"/>
        <v>0</v>
      </c>
      <c r="I681" s="56">
        <f ca="1" t="shared" si="64"/>
        <v>0</v>
      </c>
      <c r="J681" s="56"/>
      <c r="K681" s="56">
        <f ca="1" t="shared" si="56"/>
        <v>0</v>
      </c>
      <c r="L681" s="56">
        <f ca="1" t="shared" si="65"/>
        <v>0</v>
      </c>
      <c r="M681" s="56">
        <f ca="1" t="shared" si="57"/>
        <v>0</v>
      </c>
      <c r="N681" s="56">
        <f ca="1" t="shared" si="58"/>
        <v>0</v>
      </c>
      <c r="O681" s="56">
        <f ca="1" t="shared" si="59"/>
        <v>0</v>
      </c>
      <c r="P681" s="56">
        <f ca="1" t="shared" si="60"/>
        <v>0</v>
      </c>
      <c r="Q681" s="56">
        <f ca="1" t="shared" si="61"/>
        <v>0</v>
      </c>
      <c r="R681" s="56">
        <f ca="1" t="shared" si="62"/>
        <v>0</v>
      </c>
      <c r="S681" s="56">
        <f ca="1" t="shared" si="63"/>
        <v>0</v>
      </c>
      <c r="T681" s="56">
        <f ca="1" t="shared" si="66"/>
        <v>0</v>
      </c>
      <c r="U681" s="48"/>
    </row>
    <row r="682" spans="2:21">
      <c r="B682" s="56">
        <v>0</v>
      </c>
      <c r="C682" s="44" t="s">
        <v>1287</v>
      </c>
      <c r="D682" s="56">
        <f ca="1" t="shared" si="51"/>
        <v>0</v>
      </c>
      <c r="E682" s="56">
        <f ca="1" t="shared" si="52"/>
        <v>0</v>
      </c>
      <c r="F682" s="56">
        <f ca="1" t="shared" si="53"/>
        <v>0</v>
      </c>
      <c r="G682" s="56">
        <f ca="1" t="shared" si="54"/>
        <v>0</v>
      </c>
      <c r="H682" s="56">
        <f ca="1" t="shared" si="55"/>
        <v>0</v>
      </c>
      <c r="I682" s="56">
        <f ca="1" t="shared" si="64"/>
        <v>0</v>
      </c>
      <c r="J682" s="56"/>
      <c r="K682" s="56">
        <f ca="1" t="shared" si="56"/>
        <v>0</v>
      </c>
      <c r="L682" s="56">
        <f ca="1" t="shared" si="65"/>
        <v>0</v>
      </c>
      <c r="M682" s="56">
        <f ca="1" t="shared" si="57"/>
        <v>0</v>
      </c>
      <c r="N682" s="56">
        <f ca="1" t="shared" si="58"/>
        <v>0</v>
      </c>
      <c r="O682" s="56">
        <f ca="1" t="shared" si="59"/>
        <v>0</v>
      </c>
      <c r="P682" s="56">
        <f ca="1" t="shared" si="60"/>
        <v>0</v>
      </c>
      <c r="Q682" s="56">
        <f ca="1" t="shared" si="61"/>
        <v>0</v>
      </c>
      <c r="R682" s="56">
        <f ca="1" t="shared" si="62"/>
        <v>0</v>
      </c>
      <c r="S682" s="56">
        <f ca="1" t="shared" si="63"/>
        <v>0</v>
      </c>
      <c r="T682" s="56">
        <f ca="1" t="shared" si="66"/>
        <v>0</v>
      </c>
      <c r="U682" s="48"/>
    </row>
    <row r="683" spans="2:21">
      <c r="B683" s="56">
        <v>0</v>
      </c>
      <c r="C683" s="44" t="s">
        <v>1427</v>
      </c>
      <c r="D683" s="56">
        <f ca="1" t="shared" si="51"/>
        <v>0</v>
      </c>
      <c r="E683" s="56">
        <f ca="1" t="shared" si="52"/>
        <v>0</v>
      </c>
      <c r="F683" s="56">
        <f ca="1" t="shared" si="53"/>
        <v>0</v>
      </c>
      <c r="G683" s="56">
        <f ca="1" t="shared" si="54"/>
        <v>0</v>
      </c>
      <c r="H683" s="56">
        <f ca="1" t="shared" si="55"/>
        <v>0</v>
      </c>
      <c r="I683" s="56">
        <f ca="1" t="shared" si="64"/>
        <v>0</v>
      </c>
      <c r="J683" s="56"/>
      <c r="K683" s="56">
        <f ca="1" t="shared" si="56"/>
        <v>0</v>
      </c>
      <c r="L683" s="56">
        <f ca="1" t="shared" si="65"/>
        <v>0</v>
      </c>
      <c r="M683" s="56">
        <f ca="1" t="shared" si="57"/>
        <v>0</v>
      </c>
      <c r="N683" s="56">
        <f ca="1" t="shared" si="58"/>
        <v>0</v>
      </c>
      <c r="O683" s="56">
        <f ca="1" t="shared" si="59"/>
        <v>0</v>
      </c>
      <c r="P683" s="56">
        <f ca="1" t="shared" si="60"/>
        <v>0</v>
      </c>
      <c r="Q683" s="56">
        <f ca="1" t="shared" si="61"/>
        <v>0</v>
      </c>
      <c r="R683" s="56">
        <f ca="1" t="shared" si="62"/>
        <v>0</v>
      </c>
      <c r="S683" s="56">
        <f ca="1" t="shared" si="63"/>
        <v>0</v>
      </c>
      <c r="T683" s="56">
        <f ca="1" t="shared" si="66"/>
        <v>0</v>
      </c>
      <c r="U683" s="48"/>
    </row>
    <row r="684" spans="2:21">
      <c r="B684" s="56">
        <v>0</v>
      </c>
      <c r="C684" s="44" t="s">
        <v>1304</v>
      </c>
      <c r="D684" s="56">
        <f ca="1" t="shared" si="51"/>
        <v>0</v>
      </c>
      <c r="E684" s="56">
        <f ca="1" t="shared" si="52"/>
        <v>0</v>
      </c>
      <c r="F684" s="56">
        <f ca="1" t="shared" si="53"/>
        <v>0</v>
      </c>
      <c r="G684" s="56">
        <f ca="1" t="shared" si="54"/>
        <v>0</v>
      </c>
      <c r="H684" s="56">
        <f ca="1" t="shared" si="55"/>
        <v>0</v>
      </c>
      <c r="I684" s="56">
        <f ca="1" t="shared" si="64"/>
        <v>0</v>
      </c>
      <c r="J684" s="56"/>
      <c r="K684" s="56">
        <f ca="1" t="shared" si="56"/>
        <v>0</v>
      </c>
      <c r="L684" s="56">
        <f ca="1" t="shared" si="65"/>
        <v>0</v>
      </c>
      <c r="M684" s="56">
        <f ca="1" t="shared" si="57"/>
        <v>0</v>
      </c>
      <c r="N684" s="56">
        <f ca="1" t="shared" si="58"/>
        <v>0</v>
      </c>
      <c r="O684" s="56">
        <f ca="1" t="shared" si="59"/>
        <v>0</v>
      </c>
      <c r="P684" s="56">
        <f ca="1" t="shared" si="60"/>
        <v>0</v>
      </c>
      <c r="Q684" s="56">
        <f ca="1" t="shared" si="61"/>
        <v>0</v>
      </c>
      <c r="R684" s="56">
        <f ca="1" t="shared" si="62"/>
        <v>18102</v>
      </c>
      <c r="S684" s="56">
        <f ca="1" t="shared" si="63"/>
        <v>0</v>
      </c>
      <c r="T684" s="56">
        <f ca="1" t="shared" si="66"/>
        <v>18102</v>
      </c>
      <c r="U684" s="48"/>
    </row>
    <row r="685" spans="2:21">
      <c r="B685" s="56">
        <v>0</v>
      </c>
      <c r="C685" s="44" t="s">
        <v>501</v>
      </c>
      <c r="D685" s="56">
        <f ca="1" t="shared" si="51"/>
        <v>0</v>
      </c>
      <c r="E685" s="56">
        <f ca="1" t="shared" si="52"/>
        <v>0</v>
      </c>
      <c r="F685" s="56">
        <f ca="1" t="shared" si="53"/>
        <v>0</v>
      </c>
      <c r="G685" s="56">
        <f ca="1" t="shared" si="54"/>
        <v>0</v>
      </c>
      <c r="H685" s="56">
        <f ca="1" t="shared" si="55"/>
        <v>0</v>
      </c>
      <c r="I685" s="56">
        <f ca="1" t="shared" si="64"/>
        <v>0</v>
      </c>
      <c r="J685" s="56"/>
      <c r="K685" s="56">
        <f ca="1" t="shared" si="56"/>
        <v>0</v>
      </c>
      <c r="L685" s="56">
        <f ca="1" t="shared" si="65"/>
        <v>427852</v>
      </c>
      <c r="M685" s="56">
        <f ca="1" t="shared" si="57"/>
        <v>0</v>
      </c>
      <c r="N685" s="56">
        <f ca="1" t="shared" si="58"/>
        <v>0</v>
      </c>
      <c r="O685" s="56">
        <f ca="1" t="shared" si="59"/>
        <v>0</v>
      </c>
      <c r="P685" s="56">
        <f ca="1" t="shared" si="60"/>
        <v>0</v>
      </c>
      <c r="Q685" s="56">
        <f ca="1" t="shared" si="61"/>
        <v>0</v>
      </c>
      <c r="R685" s="56">
        <f ca="1" t="shared" si="62"/>
        <v>0</v>
      </c>
      <c r="S685" s="56">
        <f ca="1" t="shared" si="63"/>
        <v>0</v>
      </c>
      <c r="T685" s="56">
        <f ca="1" t="shared" si="66"/>
        <v>427852</v>
      </c>
      <c r="U685" s="48"/>
    </row>
    <row r="686" spans="2:21">
      <c r="B686" s="56">
        <v>0</v>
      </c>
      <c r="C686" s="44" t="s">
        <v>550</v>
      </c>
      <c r="D686" s="56">
        <f ca="1" t="shared" si="51"/>
        <v>0</v>
      </c>
      <c r="E686" s="56">
        <f ca="1" t="shared" si="52"/>
        <v>0</v>
      </c>
      <c r="F686" s="56">
        <f ca="1" t="shared" si="53"/>
        <v>0</v>
      </c>
      <c r="G686" s="56">
        <f ca="1" t="shared" si="54"/>
        <v>0</v>
      </c>
      <c r="H686" s="56">
        <f ca="1" t="shared" si="55"/>
        <v>0</v>
      </c>
      <c r="I686" s="56">
        <f ca="1" t="shared" si="64"/>
        <v>0</v>
      </c>
      <c r="J686" s="56"/>
      <c r="K686" s="56">
        <f ca="1" t="shared" si="56"/>
        <v>0</v>
      </c>
      <c r="L686" s="56">
        <f ca="1" t="shared" si="65"/>
        <v>0</v>
      </c>
      <c r="M686" s="56">
        <f ca="1" t="shared" si="57"/>
        <v>0</v>
      </c>
      <c r="N686" s="56">
        <f ca="1" t="shared" si="58"/>
        <v>0</v>
      </c>
      <c r="O686" s="56">
        <f ca="1" t="shared" si="59"/>
        <v>0</v>
      </c>
      <c r="P686" s="56">
        <f ca="1" t="shared" si="60"/>
        <v>0</v>
      </c>
      <c r="Q686" s="56">
        <f ca="1" t="shared" si="61"/>
        <v>0</v>
      </c>
      <c r="R686" s="56">
        <f ca="1" t="shared" si="62"/>
        <v>0</v>
      </c>
      <c r="S686" s="56">
        <f ca="1" t="shared" si="63"/>
        <v>0</v>
      </c>
      <c r="T686" s="56">
        <f ca="1" t="shared" si="66"/>
        <v>0</v>
      </c>
      <c r="U686" s="48"/>
    </row>
    <row r="687" spans="2:21">
      <c r="B687" s="56">
        <v>0</v>
      </c>
      <c r="C687" s="44" t="s">
        <v>1376</v>
      </c>
      <c r="D687" s="56">
        <f ca="1" t="shared" si="51"/>
        <v>0</v>
      </c>
      <c r="E687" s="56">
        <f ca="1" t="shared" si="52"/>
        <v>0</v>
      </c>
      <c r="F687" s="56">
        <f ca="1" t="shared" si="53"/>
        <v>0</v>
      </c>
      <c r="G687" s="56">
        <f ca="1" t="shared" si="54"/>
        <v>0</v>
      </c>
      <c r="H687" s="56">
        <f ca="1" t="shared" si="55"/>
        <v>0</v>
      </c>
      <c r="I687" s="56">
        <f ca="1" t="shared" si="64"/>
        <v>0</v>
      </c>
      <c r="J687" s="56"/>
      <c r="K687" s="56">
        <f ca="1" t="shared" si="56"/>
        <v>0</v>
      </c>
      <c r="L687" s="56">
        <f ca="1" t="shared" si="65"/>
        <v>0</v>
      </c>
      <c r="M687" s="56">
        <f ca="1" t="shared" si="57"/>
        <v>0</v>
      </c>
      <c r="N687" s="56">
        <f ca="1" t="shared" si="58"/>
        <v>0</v>
      </c>
      <c r="O687" s="56">
        <f ca="1" t="shared" si="59"/>
        <v>0</v>
      </c>
      <c r="P687" s="56">
        <f ca="1" t="shared" si="60"/>
        <v>0</v>
      </c>
      <c r="Q687" s="56">
        <f ca="1" t="shared" si="61"/>
        <v>0</v>
      </c>
      <c r="R687" s="56">
        <f ca="1" t="shared" si="62"/>
        <v>0</v>
      </c>
      <c r="S687" s="56">
        <f ca="1" t="shared" si="63"/>
        <v>0</v>
      </c>
      <c r="T687" s="56">
        <f ca="1" t="shared" si="66"/>
        <v>0</v>
      </c>
      <c r="U687" s="48"/>
    </row>
    <row r="688" spans="2:21">
      <c r="B688" s="56">
        <v>0</v>
      </c>
      <c r="C688" s="44" t="s">
        <v>42</v>
      </c>
      <c r="D688" s="56">
        <f ca="1" t="shared" si="51"/>
        <v>0</v>
      </c>
      <c r="E688" s="56">
        <f ca="1" t="shared" si="52"/>
        <v>0</v>
      </c>
      <c r="F688" s="56">
        <f ca="1" t="shared" si="53"/>
        <v>0</v>
      </c>
      <c r="G688" s="56">
        <f ca="1" t="shared" si="54"/>
        <v>0</v>
      </c>
      <c r="H688" s="56">
        <f ca="1" t="shared" si="55"/>
        <v>0</v>
      </c>
      <c r="I688" s="56">
        <f ca="1" t="shared" si="64"/>
        <v>0</v>
      </c>
      <c r="J688" s="56"/>
      <c r="K688" s="56">
        <f ca="1" t="shared" si="56"/>
        <v>0</v>
      </c>
      <c r="L688" s="56">
        <f ca="1" t="shared" si="65"/>
        <v>0</v>
      </c>
      <c r="M688" s="56">
        <f ca="1" t="shared" si="57"/>
        <v>0</v>
      </c>
      <c r="N688" s="56">
        <f ca="1" t="shared" si="58"/>
        <v>0</v>
      </c>
      <c r="O688" s="56">
        <f ca="1" t="shared" si="59"/>
        <v>0</v>
      </c>
      <c r="P688" s="56">
        <f ca="1" t="shared" si="60"/>
        <v>296188.97</v>
      </c>
      <c r="Q688" s="56">
        <f ca="1" t="shared" si="61"/>
        <v>0</v>
      </c>
      <c r="R688" s="56">
        <f ca="1" t="shared" si="62"/>
        <v>0</v>
      </c>
      <c r="S688" s="56">
        <f ca="1" t="shared" si="63"/>
        <v>0</v>
      </c>
      <c r="T688" s="56">
        <f ca="1" t="shared" si="66"/>
        <v>296188.97</v>
      </c>
      <c r="U688" s="48"/>
    </row>
    <row r="689" spans="2:21">
      <c r="B689" s="56">
        <v>0</v>
      </c>
      <c r="C689" s="44" t="s">
        <v>507</v>
      </c>
      <c r="D689" s="56">
        <f ca="1" t="shared" si="51"/>
        <v>0</v>
      </c>
      <c r="E689" s="56">
        <f ca="1" t="shared" si="52"/>
        <v>0</v>
      </c>
      <c r="F689" s="56">
        <f ca="1" t="shared" si="53"/>
        <v>0</v>
      </c>
      <c r="G689" s="56">
        <f ca="1" t="shared" si="54"/>
        <v>0</v>
      </c>
      <c r="H689" s="56">
        <f ca="1" t="shared" si="55"/>
        <v>0</v>
      </c>
      <c r="I689" s="56">
        <f ca="1" t="shared" si="64"/>
        <v>0</v>
      </c>
      <c r="J689" s="56"/>
      <c r="K689" s="56">
        <f ca="1" t="shared" si="56"/>
        <v>0</v>
      </c>
      <c r="L689" s="56">
        <f ca="1" t="shared" si="65"/>
        <v>29501</v>
      </c>
      <c r="M689" s="56">
        <f ca="1" t="shared" si="57"/>
        <v>0</v>
      </c>
      <c r="N689" s="56">
        <f ca="1" t="shared" si="58"/>
        <v>0</v>
      </c>
      <c r="O689" s="56">
        <f ca="1" t="shared" si="59"/>
        <v>0</v>
      </c>
      <c r="P689" s="56">
        <f ca="1" t="shared" si="60"/>
        <v>0</v>
      </c>
      <c r="Q689" s="56">
        <f ca="1" t="shared" si="61"/>
        <v>0</v>
      </c>
      <c r="R689" s="56">
        <f ca="1" t="shared" si="62"/>
        <v>0</v>
      </c>
      <c r="S689" s="56">
        <f ca="1" t="shared" si="63"/>
        <v>0</v>
      </c>
      <c r="T689" s="56">
        <f ca="1" t="shared" si="66"/>
        <v>29501</v>
      </c>
      <c r="U689" s="48"/>
    </row>
    <row r="690" spans="2:21">
      <c r="B690" s="56">
        <v>0</v>
      </c>
      <c r="C690" s="44" t="s">
        <v>524</v>
      </c>
      <c r="D690" s="56">
        <f ca="1" t="shared" si="51"/>
        <v>0</v>
      </c>
      <c r="E690" s="56">
        <f ca="1" t="shared" si="52"/>
        <v>0</v>
      </c>
      <c r="F690" s="56">
        <f ca="1" t="shared" si="53"/>
        <v>0</v>
      </c>
      <c r="G690" s="56">
        <f ca="1" t="shared" si="54"/>
        <v>0</v>
      </c>
      <c r="H690" s="56">
        <f ca="1" t="shared" si="55"/>
        <v>0</v>
      </c>
      <c r="I690" s="56">
        <f ca="1" t="shared" si="64"/>
        <v>0</v>
      </c>
      <c r="J690" s="56"/>
      <c r="K690" s="56">
        <f ca="1" t="shared" si="56"/>
        <v>0</v>
      </c>
      <c r="L690" s="56">
        <f ca="1" t="shared" si="65"/>
        <v>0</v>
      </c>
      <c r="M690" s="56">
        <f ca="1" t="shared" si="57"/>
        <v>0</v>
      </c>
      <c r="N690" s="56">
        <f ca="1" t="shared" si="58"/>
        <v>0</v>
      </c>
      <c r="O690" s="56">
        <f ca="1" t="shared" si="59"/>
        <v>0</v>
      </c>
      <c r="P690" s="56">
        <f ca="1" t="shared" si="60"/>
        <v>0</v>
      </c>
      <c r="Q690" s="56">
        <f ca="1" t="shared" si="61"/>
        <v>0</v>
      </c>
      <c r="R690" s="56">
        <f ca="1" t="shared" si="62"/>
        <v>0</v>
      </c>
      <c r="S690" s="56">
        <f ca="1" t="shared" si="63"/>
        <v>0</v>
      </c>
      <c r="T690" s="56">
        <f ca="1" t="shared" si="66"/>
        <v>0</v>
      </c>
      <c r="U690" s="48"/>
    </row>
    <row r="691" spans="2:21">
      <c r="B691" s="56"/>
      <c r="C691" s="44" t="s">
        <v>121</v>
      </c>
      <c r="D691" s="56">
        <v>0</v>
      </c>
      <c r="E691" s="56">
        <v>0</v>
      </c>
      <c r="F691" s="56">
        <v>0</v>
      </c>
      <c r="G691" s="56">
        <v>0</v>
      </c>
      <c r="H691" s="56"/>
      <c r="I691" s="56">
        <f ca="1" t="shared" si="64"/>
        <v>0</v>
      </c>
      <c r="J691" s="56">
        <v>0</v>
      </c>
      <c r="K691" s="56">
        <v>0</v>
      </c>
      <c r="L691" s="56">
        <f ca="1" t="shared" si="65"/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f ca="1" t="shared" si="66"/>
        <v>0</v>
      </c>
      <c r="U691" s="48"/>
    </row>
    <row r="692" spans="2:21">
      <c r="B692" s="56"/>
      <c r="C692" s="44" t="s">
        <v>1190</v>
      </c>
      <c r="D692" s="56">
        <v>0</v>
      </c>
      <c r="E692" s="56">
        <v>0</v>
      </c>
      <c r="F692" s="56">
        <v>0</v>
      </c>
      <c r="G692" s="56">
        <v>0</v>
      </c>
      <c r="H692" s="56"/>
      <c r="I692" s="56">
        <f ca="1" t="shared" si="64"/>
        <v>-0.0700000000069849</v>
      </c>
      <c r="J692" s="56">
        <v>0</v>
      </c>
      <c r="K692" s="56">
        <v>0</v>
      </c>
      <c r="L692" s="56">
        <f ca="1" t="shared" si="65"/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f ca="1" t="shared" si="66"/>
        <v>-0.0700000000069849</v>
      </c>
      <c r="U692" s="48"/>
    </row>
    <row r="693" spans="2:21">
      <c r="B693" s="56">
        <v>0</v>
      </c>
      <c r="C693" s="44" t="s">
        <v>1289</v>
      </c>
      <c r="D693" s="56">
        <f ca="1">SUMIFS($M$5:$M$590,$G$5:$G$590,C693,$H$5:$H$590,$D$598,$I$5:$I$590,"Production")</f>
        <v>0</v>
      </c>
      <c r="E693" s="56">
        <f ca="1">SUMIFS($M$5:$M$590,$G$5:$G$590,C693,$H$5:$H$590,$E$598)</f>
        <v>0</v>
      </c>
      <c r="F693" s="56">
        <f ca="1">SUMIFS($M$5:$M$590,$G$5:$G$590,C693,$H$5:$H$590,$F$598,$I$5:$I$590,"Production")</f>
        <v>0</v>
      </c>
      <c r="G693" s="56">
        <f ca="1">SUMIFS($M$5:$M$590,$G$5:$G$590,C693,$H$5:$H$590,$G$598,$I$5:$I$590,"Production")</f>
        <v>0</v>
      </c>
      <c r="H693" s="56">
        <f ca="1">SUMIFS($M$5:$M$590,$G$5:$G$590,C693,$H$5:$H$590,$H$598,$I$5:$I$590,"Production")</f>
        <v>0</v>
      </c>
      <c r="I693" s="56">
        <f ca="1" t="shared" si="64"/>
        <v>0</v>
      </c>
      <c r="J693" s="56"/>
      <c r="K693" s="56">
        <f ca="1">SUMIFS($M$5:$M$590,$G$5:$G$590,C693,$H$5:$H$590,$K$598,$I$5:$I$590,"Production")</f>
        <v>0</v>
      </c>
      <c r="L693" s="56">
        <f ca="1" t="shared" si="65"/>
        <v>0</v>
      </c>
      <c r="M693" s="56">
        <f ca="1">SUMIFS($M$5:$M$590,$G$5:$G$590,C693,$H$5:$H$590,$M$598)</f>
        <v>0</v>
      </c>
      <c r="N693" s="56">
        <f ca="1">SUMIFS($M$5:$M$590,$G$5:$G$590,C693,$H$5:$H$590,$N$598)</f>
        <v>0</v>
      </c>
      <c r="O693" s="56">
        <f ca="1">SUMIFS($M$5:$M$590,$G$5:$G$590,C693,$H$5:$H$590,$O$598)</f>
        <v>0</v>
      </c>
      <c r="P693" s="56">
        <f ca="1">SUMIFS($M$5:$M$590,$G$5:$G$590,C693,$H$5:$H$590,$P$598)</f>
        <v>0</v>
      </c>
      <c r="Q693" s="56">
        <f ca="1">SUMIFS($M$5:$M$590,$G$5:$G$590,C693,$H$5:$H$590,$Q$598,$I$5:$I$590,"Production")</f>
        <v>0</v>
      </c>
      <c r="R693" s="56">
        <f ca="1">SUMIFS($M$5:$M$590,$G$5:$G$590,C693,$H$5:$H$590,$R$598,$I$5:$I$590,"Production")</f>
        <v>0</v>
      </c>
      <c r="S693" s="56">
        <f ca="1">SUMIFS($M$5:$M$590,$G$5:$G$590,C693,$H$5:$H$590,$S$598,$I$5:$I$590,"Production")</f>
        <v>0</v>
      </c>
      <c r="T693" s="56">
        <f ca="1" t="shared" si="66"/>
        <v>0</v>
      </c>
      <c r="U693" s="48"/>
    </row>
    <row r="694" spans="2:23">
      <c r="B694" s="80"/>
      <c r="C694" s="44" t="s">
        <v>606</v>
      </c>
      <c r="D694" s="56">
        <f ca="1">SUMIFS($M$5:$M$590,$G$5:$G$590,C694,$H$5:$H$590,$D$598,$I$5:$I$590,"Production")</f>
        <v>0</v>
      </c>
      <c r="E694" s="56">
        <f ca="1">SUMIFS($M$5:$M$590,$G$5:$G$590,C694,$H$5:$H$590,$E$598)</f>
        <v>0</v>
      </c>
      <c r="F694" s="56">
        <f ca="1">SUMIFS($M$5:$M$590,$G$5:$G$590,C694,$H$5:$H$590,$F$598,$I$5:$I$590,"Production")</f>
        <v>0</v>
      </c>
      <c r="G694" s="56">
        <f ca="1">SUMIFS($M$5:$M$590,$G$5:$G$590,C694,$H$5:$H$590,$G$598,$I$5:$I$590,"Production")</f>
        <v>0</v>
      </c>
      <c r="H694" s="56">
        <f ca="1">SUMIFS($M$5:$M$590,$G$5:$G$590,C694,$H$5:$H$590,$H$598,$I$5:$I$590,"Production")</f>
        <v>0</v>
      </c>
      <c r="I694" s="73">
        <f ca="1" t="shared" si="64"/>
        <v>0</v>
      </c>
      <c r="J694" s="56"/>
      <c r="K694" s="56">
        <f ca="1">SUMIFS($M$5:$M$590,$G$5:$G$590,C694,$H$5:$H$590,$K$598,$I$5:$I$590,"Production")</f>
        <v>0</v>
      </c>
      <c r="L694" s="56">
        <f ca="1" t="shared" si="65"/>
        <v>0</v>
      </c>
      <c r="M694" s="56">
        <f ca="1">SUMIFS($M$5:$M$590,$G$5:$G$590,C694,$H$5:$H$590,$M$598)</f>
        <v>0</v>
      </c>
      <c r="N694" s="56">
        <f ca="1">SUMIFS($M$5:$M$590,$G$5:$G$590,C694,$H$5:$H$590,$N$598)</f>
        <v>0</v>
      </c>
      <c r="O694" s="56">
        <f ca="1">SUMIFS($M$5:$M$590,$G$5:$G$590,C694,$H$5:$H$590,$O$598)</f>
        <v>0</v>
      </c>
      <c r="P694" s="56">
        <f ca="1">SUMIFS($M$5:$M$590,$G$5:$G$590,C694,$H$5:$H$590,$P$598)</f>
        <v>0</v>
      </c>
      <c r="Q694" s="56">
        <f ca="1">SUMIFS($M$5:$M$590,$G$5:$G$590,C694,$H$5:$H$590,$Q$598,$I$5:$I$590,"Production")</f>
        <v>0</v>
      </c>
      <c r="R694" s="56">
        <f ca="1">SUMIFS($M$5:$M$590,$G$5:$G$590,C694,$H$5:$H$590,$R$598,$I$5:$I$590,"Production")</f>
        <v>0</v>
      </c>
      <c r="S694" s="56">
        <f ca="1">SUMIFS($M$5:$M$590,$G$5:$G$590,C694,$H$5:$H$590,$S$598,$I$5:$I$590,"Production")</f>
        <v>0</v>
      </c>
      <c r="T694" s="56">
        <f ca="1" t="shared" si="66"/>
        <v>0</v>
      </c>
      <c r="U694" s="48">
        <f ca="1">SUMIF($G$5:$G$586,C694,$M$5:$M$586)-T694</f>
        <v>0</v>
      </c>
      <c r="V694" s="35" t="s">
        <v>1428</v>
      </c>
      <c r="W694" s="35" t="s">
        <v>1429</v>
      </c>
    </row>
    <row r="695" spans="3:23">
      <c r="C695" s="44" t="s">
        <v>58</v>
      </c>
      <c r="D695" s="56">
        <f ca="1">SUM(D600:D694)</f>
        <v>1661554.54</v>
      </c>
      <c r="E695" s="56">
        <f ca="1" t="shared" ref="D695:T695" si="67">SUM(E600:E694)</f>
        <v>0</v>
      </c>
      <c r="F695" s="56">
        <f ca="1" t="shared" si="67"/>
        <v>5759959.91</v>
      </c>
      <c r="G695" s="56">
        <f ca="1" t="shared" si="67"/>
        <v>5161807.2</v>
      </c>
      <c r="H695" s="56">
        <f ca="1" t="shared" si="67"/>
        <v>37534.54</v>
      </c>
      <c r="I695" s="56">
        <f ca="1" t="shared" si="67"/>
        <v>1542790.84</v>
      </c>
      <c r="J695" s="56">
        <f t="shared" si="67"/>
        <v>0</v>
      </c>
      <c r="K695" s="56">
        <f ca="1" t="shared" si="67"/>
        <v>0</v>
      </c>
      <c r="L695" s="56">
        <f ca="1" t="shared" si="67"/>
        <v>7172703.64</v>
      </c>
      <c r="M695" s="56">
        <f ca="1" t="shared" si="67"/>
        <v>0</v>
      </c>
      <c r="N695" s="56">
        <f ca="1" t="shared" si="67"/>
        <v>0</v>
      </c>
      <c r="O695" s="56">
        <f ca="1" t="shared" si="67"/>
        <v>0</v>
      </c>
      <c r="P695" s="56">
        <f ca="1" t="shared" si="67"/>
        <v>296188.97</v>
      </c>
      <c r="Q695" s="56">
        <f ca="1" t="shared" si="67"/>
        <v>4203208.43</v>
      </c>
      <c r="R695" s="56">
        <f ca="1" t="shared" si="67"/>
        <v>942261.38</v>
      </c>
      <c r="S695" s="56">
        <f ca="1" t="shared" si="67"/>
        <v>0</v>
      </c>
      <c r="T695" s="60">
        <f ca="1" t="shared" si="67"/>
        <v>26778009.45</v>
      </c>
      <c r="U695" s="83">
        <f ca="1">M590</f>
        <v>32482616.9</v>
      </c>
      <c r="V695" s="57">
        <f>M397</f>
        <v>5704607.45</v>
      </c>
      <c r="W695" s="85">
        <f ca="1">U695-T695-V695</f>
        <v>0</v>
      </c>
    </row>
    <row r="696" spans="4:22">
      <c r="D696" s="36">
        <f ca="1">'Cost sheet - Detailed'!AG71</f>
        <v>1661554.54</v>
      </c>
      <c r="F696" s="36">
        <f ca="1">'Cost sheet - Detailed'!IC71</f>
        <v>5759959.91</v>
      </c>
      <c r="G696" s="36">
        <f ca="1">'Cost sheet - Detailed'!CW71</f>
        <v>5161807.2</v>
      </c>
      <c r="H696" s="36">
        <f ca="1">'Cost sheet - Detailed'!BO71</f>
        <v>37534.54</v>
      </c>
      <c r="I696" s="83">
        <f ca="1">'Cost sheet - Detailed'!KY71</f>
        <v>1542790.91</v>
      </c>
      <c r="J696" s="36"/>
      <c r="K696" s="36">
        <f ca="1">'Cost sheet - Detailed'!EE71</f>
        <v>0</v>
      </c>
      <c r="L696" s="83">
        <f ca="1">'Cost sheet - Detailed'!KF71</f>
        <v>8581606.64</v>
      </c>
      <c r="N696" s="36"/>
      <c r="O696" s="36"/>
      <c r="Q696" s="36">
        <f ca="1">'Cost sheet - Detailed'!FM71</f>
        <v>2496874.71</v>
      </c>
      <c r="R696" s="36">
        <f ca="1">'Cost sheet - Detailed'!GU71</f>
        <v>942261.38</v>
      </c>
      <c r="T696" s="48">
        <f ca="1">SUM(D696:S696)</f>
        <v>26184389.83</v>
      </c>
      <c r="V696" s="57"/>
    </row>
    <row r="697" spans="1:22">
      <c r="A697" s="48">
        <f ca="1">SUM(D697:N697)</f>
        <v>-1408903.07</v>
      </c>
      <c r="C697" s="48"/>
      <c r="D697" s="48">
        <f ca="1">D695-D696</f>
        <v>0</v>
      </c>
      <c r="E697" s="48">
        <f ca="1" t="shared" ref="E697:R697" si="68">E695-E696</f>
        <v>0</v>
      </c>
      <c r="F697" s="36">
        <f ca="1" t="shared" si="68"/>
        <v>0</v>
      </c>
      <c r="G697" s="36">
        <f ca="1" t="shared" si="68"/>
        <v>0</v>
      </c>
      <c r="H697" s="36">
        <f ca="1" t="shared" si="68"/>
        <v>0</v>
      </c>
      <c r="I697" s="36">
        <f ca="1" t="shared" si="68"/>
        <v>-0.0700000000651926</v>
      </c>
      <c r="J697" s="36">
        <f t="shared" si="68"/>
        <v>0</v>
      </c>
      <c r="K697" s="36">
        <f ca="1" t="shared" si="68"/>
        <v>0</v>
      </c>
      <c r="L697" s="36">
        <f ca="1" t="shared" si="68"/>
        <v>-1408903</v>
      </c>
      <c r="M697" s="36">
        <f ca="1" t="shared" si="68"/>
        <v>0</v>
      </c>
      <c r="N697" s="36">
        <f ca="1" t="shared" si="68"/>
        <v>0</v>
      </c>
      <c r="O697" s="36">
        <f ca="1" t="shared" si="68"/>
        <v>0</v>
      </c>
      <c r="P697" s="48">
        <f ca="1" t="shared" si="68"/>
        <v>296188.97</v>
      </c>
      <c r="Q697" s="48">
        <f ca="1" t="shared" si="68"/>
        <v>1706333.72</v>
      </c>
      <c r="R697" s="36">
        <f ca="1" t="shared" si="68"/>
        <v>0</v>
      </c>
      <c r="T697" s="48">
        <f ca="1">SUM(D697:S697)</f>
        <v>593619.620000001</v>
      </c>
      <c r="V697" s="57"/>
    </row>
    <row r="698" spans="1:22">
      <c r="A698" s="48"/>
      <c r="C698" s="35" t="s">
        <v>1430</v>
      </c>
      <c r="D698" s="48"/>
      <c r="E698" s="48">
        <f ca="1">-E602</f>
        <v>0</v>
      </c>
      <c r="F698" s="36"/>
      <c r="G698" s="36"/>
      <c r="H698" s="36"/>
      <c r="I698" s="36"/>
      <c r="J698" s="36"/>
      <c r="N698" s="36"/>
      <c r="O698" s="36"/>
      <c r="P698" s="48"/>
      <c r="Q698" s="48"/>
      <c r="R698" s="36"/>
      <c r="T698" s="48">
        <f ca="1" t="shared" ref="T698:T699" si="69">SUM(D698:S698)</f>
        <v>0</v>
      </c>
      <c r="V698" s="57"/>
    </row>
    <row r="699" spans="1:22">
      <c r="A699" s="48"/>
      <c r="C699" s="35" t="s">
        <v>1431</v>
      </c>
      <c r="D699" s="48"/>
      <c r="E699" s="48"/>
      <c r="F699" s="36"/>
      <c r="G699" s="81"/>
      <c r="H699" s="36"/>
      <c r="I699" s="36"/>
      <c r="J699" s="36"/>
      <c r="N699" s="36"/>
      <c r="O699" s="36"/>
      <c r="P699" s="48"/>
      <c r="Q699" s="48"/>
      <c r="R699" s="48"/>
      <c r="T699" s="48">
        <f t="shared" si="69"/>
        <v>0</v>
      </c>
      <c r="V699" s="57"/>
    </row>
    <row r="700" spans="1:22">
      <c r="A700" s="48"/>
      <c r="C700" s="35" t="s">
        <v>42</v>
      </c>
      <c r="D700" s="48"/>
      <c r="E700" s="48"/>
      <c r="F700" s="36">
        <f>'Cost sheet - Detailed'!HU34</f>
        <v>0</v>
      </c>
      <c r="G700" s="81"/>
      <c r="H700" s="36"/>
      <c r="I700" s="36"/>
      <c r="J700" s="36"/>
      <c r="L700" s="36">
        <f>'Cost sheet - Detailed'!KF11</f>
        <v>1408903</v>
      </c>
      <c r="M700" s="36">
        <v>0</v>
      </c>
      <c r="N700" s="36">
        <v>0</v>
      </c>
      <c r="O700" s="36">
        <v>0</v>
      </c>
      <c r="P700" s="48">
        <f ca="1">-P695</f>
        <v>-296188.97</v>
      </c>
      <c r="Q700" s="48"/>
      <c r="R700" s="36"/>
      <c r="T700" s="48">
        <f ca="1" t="shared" ref="T700:T701" si="70">SUM(D700:S700)</f>
        <v>1112714.03</v>
      </c>
      <c r="U700" s="48" t="e">
        <f ca="1">'Input Sheet'!#REF!-'Working-Jan-25'!T700</f>
        <v>#REF!</v>
      </c>
      <c r="V700" s="57"/>
    </row>
    <row r="701" spans="1:22">
      <c r="A701" s="48"/>
      <c r="C701" s="35" t="s">
        <v>1432</v>
      </c>
      <c r="D701" s="48">
        <f ca="1">-SUMIF($C$600:$C$694,"Quarry Development",D$600:D$694)*0</f>
        <v>0</v>
      </c>
      <c r="E701" s="48">
        <f ca="1" t="shared" ref="E701:S701" si="71">-SUMIF($C$600:$C$694,"Quarry Development",E$600:E$694)</f>
        <v>0</v>
      </c>
      <c r="F701" s="48">
        <f ca="1" t="shared" si="71"/>
        <v>0</v>
      </c>
      <c r="G701" s="48">
        <f ca="1" t="shared" si="71"/>
        <v>0</v>
      </c>
      <c r="H701" s="48">
        <f ca="1" t="shared" si="71"/>
        <v>0</v>
      </c>
      <c r="I701" s="48">
        <f ca="1" t="shared" si="71"/>
        <v>0</v>
      </c>
      <c r="J701" s="48">
        <f t="shared" si="71"/>
        <v>0</v>
      </c>
      <c r="K701" s="48">
        <f ca="1" t="shared" si="71"/>
        <v>0</v>
      </c>
      <c r="L701" s="48">
        <f ca="1" t="shared" si="71"/>
        <v>0</v>
      </c>
      <c r="M701" s="48">
        <f ca="1" t="shared" si="71"/>
        <v>0</v>
      </c>
      <c r="N701" s="48">
        <f ca="1" t="shared" si="71"/>
        <v>0</v>
      </c>
      <c r="O701" s="48">
        <f ca="1" t="shared" si="71"/>
        <v>0</v>
      </c>
      <c r="P701" s="48">
        <f ca="1" t="shared" si="71"/>
        <v>0</v>
      </c>
      <c r="Q701" s="48">
        <f ca="1" t="shared" si="71"/>
        <v>-1706333.72</v>
      </c>
      <c r="R701" s="48">
        <f ca="1" t="shared" si="71"/>
        <v>0</v>
      </c>
      <c r="S701" s="48">
        <f ca="1" t="shared" si="71"/>
        <v>0</v>
      </c>
      <c r="T701" s="48">
        <f ca="1" t="shared" si="70"/>
        <v>-1706333.72</v>
      </c>
      <c r="V701" s="57"/>
    </row>
    <row r="702" spans="1:22">
      <c r="A702" s="48"/>
      <c r="C702" s="35" t="s">
        <v>1433</v>
      </c>
      <c r="D702" s="82">
        <f ca="1">SUM(D697:D701)</f>
        <v>0</v>
      </c>
      <c r="E702" s="82">
        <f ca="1" t="shared" ref="E702:T702" si="72">SUM(E697:E701)</f>
        <v>0</v>
      </c>
      <c r="F702" s="82">
        <f ca="1" t="shared" si="72"/>
        <v>0</v>
      </c>
      <c r="G702" s="82">
        <f ca="1" t="shared" si="72"/>
        <v>0</v>
      </c>
      <c r="H702" s="82">
        <f ca="1" t="shared" si="72"/>
        <v>0</v>
      </c>
      <c r="I702" s="82">
        <f ca="1" t="shared" si="72"/>
        <v>-0.0700000000651926</v>
      </c>
      <c r="J702" s="82">
        <f t="shared" si="72"/>
        <v>0</v>
      </c>
      <c r="K702" s="82">
        <f ca="1" t="shared" si="72"/>
        <v>0</v>
      </c>
      <c r="L702" s="82">
        <f ca="1" t="shared" si="72"/>
        <v>0</v>
      </c>
      <c r="M702" s="82">
        <f ca="1" t="shared" si="72"/>
        <v>0</v>
      </c>
      <c r="N702" s="84">
        <f ca="1" t="shared" si="72"/>
        <v>0</v>
      </c>
      <c r="O702" s="82">
        <f ca="1" t="shared" si="72"/>
        <v>0</v>
      </c>
      <c r="P702" s="84">
        <f ca="1" t="shared" si="72"/>
        <v>0</v>
      </c>
      <c r="Q702" s="86">
        <f ca="1" t="shared" si="72"/>
        <v>0</v>
      </c>
      <c r="R702" s="81">
        <f ca="1" t="shared" si="72"/>
        <v>0</v>
      </c>
      <c r="T702" s="87">
        <f ca="1" t="shared" si="72"/>
        <v>-0.0699999993667006</v>
      </c>
      <c r="V702" s="57"/>
    </row>
    <row r="703" spans="3:24">
      <c r="C703" s="48"/>
      <c r="Q703" s="48"/>
      <c r="T703" s="48"/>
      <c r="V703" s="57"/>
      <c r="W703" s="48"/>
      <c r="X703" s="48"/>
    </row>
    <row r="704" spans="3:24">
      <c r="C704" s="48"/>
      <c r="Q704" s="48"/>
      <c r="T704" s="48"/>
      <c r="V704" s="57"/>
      <c r="W704" s="48"/>
      <c r="X704" s="48"/>
    </row>
    <row r="705" spans="3:24">
      <c r="C705" s="48"/>
      <c r="Q705" s="48"/>
      <c r="T705" s="48"/>
      <c r="V705" s="57"/>
      <c r="W705" s="48"/>
      <c r="X705" s="48"/>
    </row>
    <row r="706" spans="3:24">
      <c r="C706" s="48"/>
      <c r="Q706" s="48"/>
      <c r="T706" s="48"/>
      <c r="V706" s="57"/>
      <c r="W706" s="48"/>
      <c r="X706" s="48"/>
    </row>
  </sheetData>
  <autoFilter xmlns:etc="http://www.wps.cn/officeDocument/2017/etCustomData" ref="C3:M590" etc:filterBottomFollowUsedRange="0">
    <filterColumn colId="4">
      <customFilters>
        <customFilter operator="equal" val="Bonus"/>
        <customFilter operator="equal" val="Gift"/>
      </customFilters>
    </filterColumn>
    <filterColumn colId="5">
      <customFilters>
        <customFilter operator="equal" val="Office expenses"/>
        <customFilter operator="equal" val="Sales &amp; Marketing"/>
      </customFilters>
    </filterColumn>
    <extLst/>
  </autoFilter>
  <mergeCells count="6"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D2:CH44"/>
  <sheetViews>
    <sheetView showGridLines="0" topLeftCell="A4" workbookViewId="0">
      <selection activeCell="F13" sqref="F13"/>
    </sheetView>
  </sheetViews>
  <sheetFormatPr defaultColWidth="9.81818181818182" defaultRowHeight="18.5"/>
  <cols>
    <col min="1" max="3" width="9.81818181818182" style="21"/>
    <col min="4" max="4" width="8.18181818181818" style="21" customWidth="1"/>
    <col min="5" max="5" width="57.1818181818182" style="21" customWidth="1"/>
    <col min="6" max="6" width="18.5454545454545" style="21" customWidth="1"/>
    <col min="7" max="16384" width="9.81818181818182" style="21"/>
  </cols>
  <sheetData>
    <row r="2" spans="4:6">
      <c r="D2" s="22" t="s">
        <v>645</v>
      </c>
      <c r="E2" s="23"/>
      <c r="F2" s="24"/>
    </row>
    <row r="3" spans="4:6">
      <c r="D3" s="25" t="s">
        <v>1434</v>
      </c>
      <c r="E3" s="26"/>
      <c r="F3" s="24"/>
    </row>
    <row r="4" spans="4:6">
      <c r="D4" s="27" t="s">
        <v>1435</v>
      </c>
      <c r="E4" s="27" t="s">
        <v>1436</v>
      </c>
      <c r="F4" s="28">
        <v>45658</v>
      </c>
    </row>
    <row r="5" ht="30" customHeight="1" spans="4:6">
      <c r="D5" s="29">
        <v>1</v>
      </c>
      <c r="E5" s="30" t="s">
        <v>459</v>
      </c>
      <c r="F5" s="31">
        <f ca="1">'Cost sheet - Detailed'!AG71</f>
        <v>1661554.54</v>
      </c>
    </row>
    <row r="6" ht="30" customHeight="1" spans="4:6">
      <c r="D6" s="29">
        <v>2</v>
      </c>
      <c r="E6" s="30" t="s">
        <v>460</v>
      </c>
      <c r="F6" s="31">
        <f ca="1">'Cost sheet - Detailed'!$BO$71</f>
        <v>37534.54</v>
      </c>
    </row>
    <row r="7" ht="30" customHeight="1" spans="4:6">
      <c r="D7" s="29">
        <v>3</v>
      </c>
      <c r="E7" s="30" t="s">
        <v>461</v>
      </c>
      <c r="F7" s="31">
        <f ca="1">'Cost sheet - Detailed'!$CW$71</f>
        <v>5161807.2</v>
      </c>
    </row>
    <row r="8" ht="30" customHeight="1" spans="4:6">
      <c r="D8" s="29">
        <v>4</v>
      </c>
      <c r="E8" s="30" t="s">
        <v>462</v>
      </c>
      <c r="F8" s="31">
        <f ca="1">'Cost sheet - Detailed'!$EE$71</f>
        <v>0</v>
      </c>
    </row>
    <row r="9" ht="30" customHeight="1" spans="4:6">
      <c r="D9" s="29">
        <v>5</v>
      </c>
      <c r="E9" s="30" t="s">
        <v>463</v>
      </c>
      <c r="F9" s="31">
        <f ca="1">'Cost sheet - Detailed'!$FM$71</f>
        <v>2496874.71</v>
      </c>
    </row>
    <row r="10" ht="30" customHeight="1" spans="4:6">
      <c r="D10" s="29">
        <v>6</v>
      </c>
      <c r="E10" s="30" t="s">
        <v>464</v>
      </c>
      <c r="F10" s="31">
        <f ca="1">'Cost sheet - Detailed'!$GU$71</f>
        <v>942261.38</v>
      </c>
    </row>
    <row r="11" ht="30" customHeight="1" spans="4:6">
      <c r="D11" s="29">
        <v>7</v>
      </c>
      <c r="E11" s="30" t="s">
        <v>465</v>
      </c>
      <c r="F11" s="31">
        <f ca="1">'Cost sheet - Detailed'!$IC$71</f>
        <v>5759959.91</v>
      </c>
    </row>
    <row r="12" ht="30" customHeight="1" spans="4:6">
      <c r="D12" s="29">
        <v>8</v>
      </c>
      <c r="E12" s="30" t="s">
        <v>467</v>
      </c>
      <c r="F12" s="31">
        <f ca="1">'Cost sheet - Detailed'!$KF$71</f>
        <v>8581606.64</v>
      </c>
    </row>
    <row r="13" ht="30" customHeight="1" spans="4:6">
      <c r="D13" s="29">
        <v>9</v>
      </c>
      <c r="E13" s="30" t="s">
        <v>468</v>
      </c>
      <c r="F13" s="31">
        <f ca="1">'Cost sheet - Detailed'!$KY$71</f>
        <v>1542790.91</v>
      </c>
    </row>
    <row r="14" ht="30" customHeight="1" spans="4:6">
      <c r="D14" s="29"/>
      <c r="E14" s="30" t="s">
        <v>263</v>
      </c>
      <c r="F14" s="31">
        <f ca="1" t="shared" ref="F14" si="0">SUM(F5:F13)</f>
        <v>26184389.83</v>
      </c>
    </row>
    <row r="15" spans="6:6">
      <c r="F15" s="32">
        <f>'[1]Working-Dec-24'!U696</f>
        <v>0</v>
      </c>
    </row>
    <row r="16" spans="6:6">
      <c r="F16" s="33">
        <f ca="1" t="shared" ref="F16" si="1">F15-F14</f>
        <v>-26184389.83</v>
      </c>
    </row>
    <row r="22" spans="14:41">
      <c r="N22" s="21" t="s">
        <v>36</v>
      </c>
      <c r="Z22" s="21">
        <v>91483.8165339636</v>
      </c>
      <c r="AC22" s="21" t="s">
        <v>36</v>
      </c>
      <c r="AO22" s="21">
        <v>757.409295699907</v>
      </c>
    </row>
    <row r="23" spans="14:41">
      <c r="N23" s="21" t="s">
        <v>40</v>
      </c>
      <c r="Z23" s="21">
        <v>261515.427829303</v>
      </c>
      <c r="AC23" s="21" t="s">
        <v>40</v>
      </c>
      <c r="AO23" s="21">
        <v>1678.89672327339</v>
      </c>
    </row>
    <row r="24" spans="14:71">
      <c r="N24" s="21" t="s">
        <v>44</v>
      </c>
      <c r="Z24" s="21">
        <v>36494.38104664</v>
      </c>
      <c r="AC24" s="21" t="s">
        <v>44</v>
      </c>
      <c r="AO24" s="21">
        <v>370.431673801715</v>
      </c>
      <c r="BG24" s="21" t="s">
        <v>36</v>
      </c>
      <c r="BS24" s="21">
        <v>3302.12560038217</v>
      </c>
    </row>
    <row r="25" spans="14:71">
      <c r="N25" s="21" t="s">
        <v>46</v>
      </c>
      <c r="Z25" s="21">
        <v>-10697.2752706008</v>
      </c>
      <c r="AC25" s="21" t="s">
        <v>46</v>
      </c>
      <c r="AO25" s="21">
        <v>-280.225683664829</v>
      </c>
      <c r="BG25" s="21" t="s">
        <v>40</v>
      </c>
      <c r="BS25" s="21">
        <v>8990.49249049586</v>
      </c>
    </row>
    <row r="26" spans="59:71">
      <c r="BG26" s="21" t="s">
        <v>44</v>
      </c>
      <c r="BS26" s="21">
        <v>1606.68644422835</v>
      </c>
    </row>
    <row r="27" spans="59:71">
      <c r="BG27" s="21" t="s">
        <v>46</v>
      </c>
      <c r="BS27" s="21">
        <v>-1211.54471890156</v>
      </c>
    </row>
    <row r="41" spans="74:86">
      <c r="BV41" s="21" t="s">
        <v>36</v>
      </c>
      <c r="CH41" s="21">
        <v>10129.739748838</v>
      </c>
    </row>
    <row r="42" spans="74:86">
      <c r="BV42" s="21" t="s">
        <v>40</v>
      </c>
      <c r="CH42" s="21">
        <v>25003.5575890764</v>
      </c>
    </row>
    <row r="43" spans="74:86">
      <c r="BV43" s="21" t="s">
        <v>44</v>
      </c>
      <c r="CH43" s="21">
        <v>4355.19726375432</v>
      </c>
    </row>
    <row r="44" spans="74:86">
      <c r="BV44" s="21" t="s">
        <v>46</v>
      </c>
      <c r="CH44" s="21">
        <v>-2240.75262606145</v>
      </c>
    </row>
  </sheetData>
  <mergeCells count="2">
    <mergeCell ref="D2:E2"/>
    <mergeCell ref="D3:E3"/>
  </mergeCells>
  <pageMargins left="0.25" right="0.25" top="0.75" bottom="0.75" header="0.3" footer="0.3"/>
  <pageSetup paperSize="1" fitToHeight="0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6"/>
  <sheetViews>
    <sheetView topLeftCell="A13" workbookViewId="0">
      <selection activeCell="D30" sqref="D30"/>
    </sheetView>
  </sheetViews>
  <sheetFormatPr defaultColWidth="9" defaultRowHeight="14" outlineLevelCol="2"/>
  <cols>
    <col min="1" max="1" width="17.1818181818182" customWidth="1"/>
  </cols>
  <sheetData>
    <row r="3" spans="1:1">
      <c r="A3" t="s">
        <v>1437</v>
      </c>
    </row>
    <row r="5" spans="1:1">
      <c r="A5" t="s">
        <v>1438</v>
      </c>
    </row>
    <row r="6" spans="1:1">
      <c r="A6" t="s">
        <v>95</v>
      </c>
    </row>
    <row r="7" spans="1:1">
      <c r="A7" t="s">
        <v>1439</v>
      </c>
    </row>
    <row r="8" spans="1:1">
      <c r="A8" t="s">
        <v>42</v>
      </c>
    </row>
    <row r="9" spans="1:1">
      <c r="A9" t="s">
        <v>1440</v>
      </c>
    </row>
    <row r="10" spans="1:1">
      <c r="A10" t="s">
        <v>1441</v>
      </c>
    </row>
    <row r="11" spans="1:1">
      <c r="A11" t="s">
        <v>65</v>
      </c>
    </row>
    <row r="12" spans="1:1">
      <c r="A12" t="s">
        <v>1442</v>
      </c>
    </row>
    <row r="15" spans="1:1">
      <c r="A15" t="s">
        <v>1443</v>
      </c>
    </row>
    <row r="17" spans="1:1">
      <c r="A17" t="s">
        <v>1444</v>
      </c>
    </row>
    <row r="19" spans="1:1">
      <c r="A19" t="s">
        <v>1445</v>
      </c>
    </row>
    <row r="20" spans="1:1">
      <c r="A20" t="s">
        <v>1446</v>
      </c>
    </row>
    <row r="21" spans="1:1">
      <c r="A21" t="s">
        <v>1447</v>
      </c>
    </row>
    <row r="22" spans="1:1">
      <c r="A22" t="s">
        <v>173</v>
      </c>
    </row>
    <row r="23" spans="1:1">
      <c r="A23" t="s">
        <v>309</v>
      </c>
    </row>
    <row r="25" spans="1:1">
      <c r="A25" t="s">
        <v>1448</v>
      </c>
    </row>
    <row r="26" spans="1:1">
      <c r="A26" t="s">
        <v>361</v>
      </c>
    </row>
    <row r="27" spans="1:1">
      <c r="A27" t="s">
        <v>32</v>
      </c>
    </row>
    <row r="30" spans="1:1">
      <c r="A30" t="s">
        <v>1449</v>
      </c>
    </row>
    <row r="31" spans="1:1">
      <c r="A31" t="s">
        <v>361</v>
      </c>
    </row>
    <row r="32" spans="1:1">
      <c r="A32" t="s">
        <v>1450</v>
      </c>
    </row>
    <row r="33" spans="1:3">
      <c r="A33" t="s">
        <v>1451</v>
      </c>
      <c r="C33" t="s">
        <v>1452</v>
      </c>
    </row>
    <row r="34" spans="1:3">
      <c r="A34" t="s">
        <v>1453</v>
      </c>
      <c r="C34" t="s">
        <v>1454</v>
      </c>
    </row>
    <row r="35" spans="1:1">
      <c r="A35" t="s">
        <v>1455</v>
      </c>
    </row>
    <row r="36" spans="1:1">
      <c r="A36" t="s">
        <v>1456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7"/>
  <sheetViews>
    <sheetView topLeftCell="A234" workbookViewId="0">
      <selection activeCell="C210" sqref="C210"/>
    </sheetView>
  </sheetViews>
  <sheetFormatPr defaultColWidth="9" defaultRowHeight="15.5" customHeight="1"/>
  <cols>
    <col min="1" max="1" width="32.6363636363636" customWidth="1"/>
    <col min="2" max="2" width="25.8181818181818" customWidth="1"/>
    <col min="3" max="3" width="49.8181818181818" customWidth="1"/>
    <col min="4" max="4" width="33.4545454545455" customWidth="1"/>
    <col min="5" max="5" width="14.1818181818182" customWidth="1"/>
    <col min="6" max="6" width="17.0909090909091" customWidth="1"/>
    <col min="7" max="8" width="18.3636363636364" customWidth="1"/>
    <col min="9" max="9" width="13.4545454545455" customWidth="1"/>
    <col min="10" max="10" width="11.9090909090909" customWidth="1"/>
  </cols>
  <sheetData>
    <row r="1" customHeight="1" spans="1:1">
      <c r="A1" t="s">
        <v>1437</v>
      </c>
    </row>
    <row r="3" customHeight="1" spans="1:11">
      <c r="A3" s="1" t="s">
        <v>361</v>
      </c>
      <c r="B3" s="1" t="s">
        <v>32</v>
      </c>
      <c r="C3" s="1" t="s">
        <v>154</v>
      </c>
      <c r="D3" s="1" t="s">
        <v>1457</v>
      </c>
      <c r="E3" s="1" t="s">
        <v>1458</v>
      </c>
      <c r="F3" s="1" t="s">
        <v>1459</v>
      </c>
      <c r="G3" s="1" t="s">
        <v>1460</v>
      </c>
      <c r="H3" s="1" t="s">
        <v>1461</v>
      </c>
      <c r="I3" s="1" t="s">
        <v>1462</v>
      </c>
      <c r="J3" s="1" t="s">
        <v>635</v>
      </c>
      <c r="K3" s="8"/>
    </row>
    <row r="4" customHeight="1" spans="1:11">
      <c r="A4" s="2" t="s">
        <v>158</v>
      </c>
      <c r="B4" s="2" t="s">
        <v>10</v>
      </c>
      <c r="C4" s="2" t="s">
        <v>1463</v>
      </c>
      <c r="D4" s="2">
        <v>2025</v>
      </c>
      <c r="E4" s="2">
        <v>500</v>
      </c>
      <c r="F4" s="2">
        <v>450000</v>
      </c>
      <c r="G4" s="2" t="s">
        <v>309</v>
      </c>
      <c r="H4" s="2" t="s">
        <v>1464</v>
      </c>
      <c r="I4" s="2" t="s">
        <v>138</v>
      </c>
      <c r="J4" s="2">
        <v>22500</v>
      </c>
      <c r="K4" s="8"/>
    </row>
    <row r="5" customHeight="1" spans="1:11">
      <c r="A5" s="2" t="s">
        <v>1465</v>
      </c>
      <c r="B5" s="2" t="s">
        <v>1466</v>
      </c>
      <c r="C5" s="2" t="s">
        <v>1463</v>
      </c>
      <c r="D5" s="2">
        <v>2025</v>
      </c>
      <c r="E5" s="2">
        <v>300</v>
      </c>
      <c r="F5" s="2">
        <v>270000</v>
      </c>
      <c r="G5" s="2" t="s">
        <v>173</v>
      </c>
      <c r="H5" s="2" t="s">
        <v>1467</v>
      </c>
      <c r="I5" s="2" t="s">
        <v>137</v>
      </c>
      <c r="J5" s="2">
        <v>0</v>
      </c>
      <c r="K5" s="8"/>
    </row>
    <row r="6" customHeight="1" spans="1:11">
      <c r="A6" s="2" t="s">
        <v>1468</v>
      </c>
      <c r="B6" s="2" t="s">
        <v>3</v>
      </c>
      <c r="C6" s="2" t="s">
        <v>1463</v>
      </c>
      <c r="D6" s="2">
        <v>2025</v>
      </c>
      <c r="E6" s="2">
        <v>700</v>
      </c>
      <c r="F6" s="2">
        <v>630000</v>
      </c>
      <c r="G6" s="2" t="s">
        <v>309</v>
      </c>
      <c r="H6" s="2" t="s">
        <v>1464</v>
      </c>
      <c r="I6" s="2" t="s">
        <v>138</v>
      </c>
      <c r="J6" s="2">
        <v>31500</v>
      </c>
      <c r="K6" s="8"/>
    </row>
    <row r="7" customHeight="1" spans="1:11">
      <c r="A7" s="2" t="s">
        <v>60</v>
      </c>
      <c r="B7" s="2" t="s">
        <v>3</v>
      </c>
      <c r="C7" s="2" t="s">
        <v>1463</v>
      </c>
      <c r="D7" s="2">
        <v>2025</v>
      </c>
      <c r="E7" s="2">
        <v>450</v>
      </c>
      <c r="F7" s="2">
        <v>405000</v>
      </c>
      <c r="G7" s="2" t="s">
        <v>173</v>
      </c>
      <c r="H7" s="2" t="s">
        <v>1469</v>
      </c>
      <c r="I7" s="2" t="s">
        <v>137</v>
      </c>
      <c r="J7" s="2">
        <v>0</v>
      </c>
      <c r="K7" s="8"/>
    </row>
    <row r="8" customHeight="1" spans="1:11">
      <c r="A8" s="2" t="s">
        <v>158</v>
      </c>
      <c r="B8" s="2" t="s">
        <v>1466</v>
      </c>
      <c r="C8" s="2" t="s">
        <v>1463</v>
      </c>
      <c r="D8" s="2">
        <v>2025</v>
      </c>
      <c r="E8" s="2">
        <v>1000</v>
      </c>
      <c r="F8" s="2">
        <v>900000</v>
      </c>
      <c r="G8" s="2" t="s">
        <v>309</v>
      </c>
      <c r="H8" s="2" t="s">
        <v>1464</v>
      </c>
      <c r="I8" s="2" t="s">
        <v>138</v>
      </c>
      <c r="J8" s="2">
        <v>45000</v>
      </c>
      <c r="K8" s="8"/>
    </row>
    <row r="10" customHeight="1" spans="1:1">
      <c r="A10" s="3" t="s">
        <v>1470</v>
      </c>
    </row>
    <row r="12" customHeight="1" spans="1:4">
      <c r="A12" s="4" t="s">
        <v>1471</v>
      </c>
      <c r="B12" s="4" t="s">
        <v>154</v>
      </c>
      <c r="C12" s="4" t="s">
        <v>1457</v>
      </c>
      <c r="D12" s="4" t="s">
        <v>1472</v>
      </c>
    </row>
    <row r="13" customHeight="1" spans="1:4">
      <c r="A13" s="5" t="s">
        <v>1005</v>
      </c>
      <c r="B13" s="4" t="s">
        <v>1463</v>
      </c>
      <c r="C13" s="4">
        <v>2025</v>
      </c>
      <c r="D13" s="4">
        <v>10000</v>
      </c>
    </row>
    <row r="14" customHeight="1" spans="1:4">
      <c r="A14" s="5" t="s">
        <v>843</v>
      </c>
      <c r="B14" s="4" t="s">
        <v>1463</v>
      </c>
      <c r="C14" s="4">
        <v>2025</v>
      </c>
      <c r="D14" s="4">
        <v>2000</v>
      </c>
    </row>
    <row r="15" customHeight="1" spans="1:4">
      <c r="A15" s="5" t="s">
        <v>871</v>
      </c>
      <c r="B15" s="4" t="s">
        <v>1463</v>
      </c>
      <c r="C15" s="4">
        <v>2025</v>
      </c>
      <c r="D15" s="4">
        <v>3000</v>
      </c>
    </row>
    <row r="16" customHeight="1" spans="1:4">
      <c r="A16" s="5" t="s">
        <v>873</v>
      </c>
      <c r="B16" s="4" t="s">
        <v>1463</v>
      </c>
      <c r="C16" s="4">
        <v>2025</v>
      </c>
      <c r="D16" s="4">
        <v>400000</v>
      </c>
    </row>
    <row r="18" customHeight="1" spans="1:1">
      <c r="A18" s="6" t="s">
        <v>110</v>
      </c>
    </row>
    <row r="20" customHeight="1" spans="1:4">
      <c r="A20" s="7" t="s">
        <v>1473</v>
      </c>
      <c r="B20" s="8" t="s">
        <v>154</v>
      </c>
      <c r="C20" s="8" t="s">
        <v>1457</v>
      </c>
      <c r="D20" s="8" t="s">
        <v>1472</v>
      </c>
    </row>
    <row r="21" customHeight="1" spans="1:4">
      <c r="A21" s="8"/>
      <c r="B21" s="8"/>
      <c r="C21" s="8"/>
      <c r="D21" s="8"/>
    </row>
    <row r="22" customHeight="1" spans="1:4">
      <c r="A22" s="8"/>
      <c r="B22" s="8"/>
      <c r="C22" s="8"/>
      <c r="D22" s="8"/>
    </row>
    <row r="23" customHeight="1" spans="1:4">
      <c r="A23" s="8"/>
      <c r="B23" s="8"/>
      <c r="C23" s="8"/>
      <c r="D23" s="8"/>
    </row>
    <row r="25" customHeight="1" spans="1:1">
      <c r="A25" s="6" t="s">
        <v>583</v>
      </c>
    </row>
    <row r="27" customHeight="1" spans="1:4">
      <c r="A27" s="7" t="s">
        <v>1474</v>
      </c>
      <c r="B27" s="8" t="s">
        <v>154</v>
      </c>
      <c r="C27" s="8" t="s">
        <v>1457</v>
      </c>
      <c r="D27" s="8" t="s">
        <v>1472</v>
      </c>
    </row>
    <row r="28" customHeight="1" spans="1:4">
      <c r="A28" s="8"/>
      <c r="B28" s="8"/>
      <c r="C28" s="8"/>
      <c r="D28" s="8"/>
    </row>
    <row r="29" customHeight="1" spans="1:4">
      <c r="A29" s="8"/>
      <c r="B29" s="8"/>
      <c r="C29" s="8"/>
      <c r="D29" s="8"/>
    </row>
    <row r="30" customHeight="1" spans="1:4">
      <c r="A30" s="8"/>
      <c r="B30" s="8"/>
      <c r="C30" s="8"/>
      <c r="D30" s="8"/>
    </row>
    <row r="32" customHeight="1" spans="1:1">
      <c r="A32" t="s">
        <v>166</v>
      </c>
    </row>
    <row r="34" customHeight="1" spans="1:3">
      <c r="A34" s="8" t="s">
        <v>92</v>
      </c>
      <c r="B34" s="8" t="s">
        <v>154</v>
      </c>
      <c r="C34" s="8" t="s">
        <v>166</v>
      </c>
    </row>
    <row r="35" customHeight="1" spans="1:3">
      <c r="A35" s="8" t="s">
        <v>1475</v>
      </c>
      <c r="B35" s="8"/>
      <c r="C35" s="8"/>
    </row>
    <row r="36" customHeight="1" spans="1:3">
      <c r="A36" s="8"/>
      <c r="B36" s="8"/>
      <c r="C36" s="8"/>
    </row>
    <row r="37" customHeight="1" spans="1:3">
      <c r="A37" s="8"/>
      <c r="B37" s="8"/>
      <c r="C37" s="8"/>
    </row>
    <row r="38" customHeight="1" spans="1:3">
      <c r="A38" s="8"/>
      <c r="B38" s="8"/>
      <c r="C38" s="8"/>
    </row>
    <row r="39" customHeight="1" spans="1:3">
      <c r="A39" s="8"/>
      <c r="B39" s="8"/>
      <c r="C39" s="8"/>
    </row>
    <row r="41" customHeight="1" spans="1:1">
      <c r="A41" t="s">
        <v>396</v>
      </c>
    </row>
    <row r="43" customHeight="1" spans="1:2">
      <c r="A43" s="8" t="s">
        <v>1476</v>
      </c>
      <c r="B43" s="8" t="s">
        <v>1477</v>
      </c>
    </row>
    <row r="44" customHeight="1" spans="1:2">
      <c r="A44" s="8"/>
      <c r="B44" s="8"/>
    </row>
    <row r="45" customHeight="1" spans="1:2">
      <c r="A45" s="8"/>
      <c r="B45" s="8"/>
    </row>
    <row r="46" customHeight="1" spans="1:2">
      <c r="A46" s="8"/>
      <c r="B46" s="8"/>
    </row>
    <row r="47" customHeight="1" spans="1:2">
      <c r="A47" s="8"/>
      <c r="B47" s="8"/>
    </row>
    <row r="49" customHeight="1" spans="1:1">
      <c r="A49" t="s">
        <v>1478</v>
      </c>
    </row>
    <row r="51" customHeight="1" spans="1:1">
      <c r="A51" t="s">
        <v>1479</v>
      </c>
    </row>
    <row r="52" customHeight="1" spans="1:3">
      <c r="A52" t="s">
        <v>154</v>
      </c>
      <c r="C52" s="9" t="s">
        <v>1480</v>
      </c>
    </row>
    <row r="53" customHeight="1" spans="1:3">
      <c r="A53" t="s">
        <v>1481</v>
      </c>
      <c r="C53" s="9"/>
    </row>
    <row r="54" customHeight="1" spans="2:3">
      <c r="B54" t="s">
        <v>1482</v>
      </c>
      <c r="C54" s="9"/>
    </row>
    <row r="55" customHeight="1" spans="2:3">
      <c r="B55" t="s">
        <v>1483</v>
      </c>
      <c r="C55" s="9"/>
    </row>
    <row r="56" customHeight="1" spans="2:3">
      <c r="B56" t="s">
        <v>1484</v>
      </c>
      <c r="C56" s="9"/>
    </row>
    <row r="57" customHeight="1" spans="3:3">
      <c r="C57" s="9"/>
    </row>
    <row r="58" customHeight="1" spans="3:3">
      <c r="C58" s="9"/>
    </row>
    <row r="59" customHeight="1" spans="1:3">
      <c r="A59" t="s">
        <v>261</v>
      </c>
      <c r="C59" s="9"/>
    </row>
    <row r="60" customHeight="1" spans="2:4">
      <c r="B60" t="s">
        <v>1482</v>
      </c>
      <c r="C60" s="9"/>
      <c r="D60" t="s">
        <v>1485</v>
      </c>
    </row>
    <row r="61" customHeight="1" spans="2:3">
      <c r="B61" t="s">
        <v>1483</v>
      </c>
      <c r="C61" s="9"/>
    </row>
    <row r="62" customHeight="1" spans="2:3">
      <c r="B62" t="s">
        <v>1484</v>
      </c>
      <c r="C62" s="9"/>
    </row>
    <row r="63" customHeight="1" spans="3:3">
      <c r="C63" s="9"/>
    </row>
    <row r="64" customHeight="1" spans="1:3">
      <c r="A64" t="s">
        <v>59</v>
      </c>
      <c r="C64" s="9"/>
    </row>
    <row r="65" customHeight="1" spans="2:3">
      <c r="B65" t="s">
        <v>1482</v>
      </c>
      <c r="C65" s="9"/>
    </row>
    <row r="66" customHeight="1" spans="2:3">
      <c r="B66" t="s">
        <v>1483</v>
      </c>
      <c r="C66" s="9"/>
    </row>
    <row r="67" customHeight="1" spans="2:3">
      <c r="B67" t="s">
        <v>1484</v>
      </c>
      <c r="C67" s="9"/>
    </row>
    <row r="70" customHeight="1" spans="1:1">
      <c r="A70" t="s">
        <v>1486</v>
      </c>
    </row>
    <row r="83" customHeight="1" spans="1:1">
      <c r="A83" t="s">
        <v>1487</v>
      </c>
    </row>
    <row r="85" customHeight="1" spans="1:1">
      <c r="A85" t="s">
        <v>1488</v>
      </c>
    </row>
    <row r="86" customHeight="1" spans="1:1">
      <c r="A86" t="s">
        <v>1456</v>
      </c>
    </row>
    <row r="87" customHeight="1" spans="1:1">
      <c r="A87" t="s">
        <v>583</v>
      </c>
    </row>
    <row r="90" customHeight="1" spans="1:1">
      <c r="A90" t="s">
        <v>1489</v>
      </c>
    </row>
    <row r="91" customHeight="1" spans="1:1">
      <c r="A91" t="s">
        <v>1490</v>
      </c>
    </row>
    <row r="92" customHeight="1" spans="1:1">
      <c r="A92" t="s">
        <v>361</v>
      </c>
    </row>
    <row r="93" customHeight="1" spans="1:1">
      <c r="A93" t="s">
        <v>1453</v>
      </c>
    </row>
    <row r="94" customHeight="1" spans="1:1">
      <c r="A94" t="s">
        <v>1451</v>
      </c>
    </row>
    <row r="95" customHeight="1" spans="1:1">
      <c r="A95" t="s">
        <v>1455</v>
      </c>
    </row>
    <row r="96" customHeight="1" spans="1:1">
      <c r="A96" t="s">
        <v>1491</v>
      </c>
    </row>
    <row r="97" customHeight="1" spans="1:1">
      <c r="A97" t="s">
        <v>1456</v>
      </c>
    </row>
    <row r="98" customHeight="1" spans="1:1">
      <c r="A98" t="s">
        <v>1492</v>
      </c>
    </row>
    <row r="102" customHeight="1" spans="1:1">
      <c r="A102" t="s">
        <v>1493</v>
      </c>
    </row>
    <row r="104" customHeight="1" spans="1:1">
      <c r="A104" t="s">
        <v>1453</v>
      </c>
    </row>
    <row r="106" customHeight="1" spans="1:3">
      <c r="A106" s="4" t="s">
        <v>1453</v>
      </c>
      <c r="B106" s="4" t="s">
        <v>1494</v>
      </c>
      <c r="C106" s="8" t="s">
        <v>1495</v>
      </c>
    </row>
    <row r="107" customHeight="1" spans="1:3">
      <c r="A107" s="4"/>
      <c r="B107" s="4"/>
      <c r="C107" s="8"/>
    </row>
    <row r="108" customHeight="1" spans="1:3">
      <c r="A108" s="4"/>
      <c r="B108" s="4"/>
      <c r="C108" s="8"/>
    </row>
    <row r="111" customHeight="1" spans="1:1">
      <c r="A111" t="s">
        <v>1451</v>
      </c>
    </row>
    <row r="113" customHeight="1" spans="1:1">
      <c r="A113" s="4" t="s">
        <v>1496</v>
      </c>
    </row>
    <row r="114" customHeight="1" spans="1:1">
      <c r="A114" s="4"/>
    </row>
    <row r="115" customHeight="1" spans="1:1">
      <c r="A115" s="4"/>
    </row>
    <row r="117" customHeight="1" spans="1:1">
      <c r="A117" t="s">
        <v>1455</v>
      </c>
    </row>
    <row r="119" customHeight="1" spans="1:2">
      <c r="A119" s="4" t="s">
        <v>169</v>
      </c>
      <c r="B119" s="8" t="s">
        <v>1451</v>
      </c>
    </row>
    <row r="120" customHeight="1" spans="1:2">
      <c r="A120" s="4"/>
      <c r="B120" s="8"/>
    </row>
    <row r="121" customHeight="1" spans="1:2">
      <c r="A121" s="4"/>
      <c r="B121" s="8"/>
    </row>
    <row r="123" customHeight="1" spans="1:1">
      <c r="A123" t="s">
        <v>1497</v>
      </c>
    </row>
    <row r="125" customHeight="1" spans="1:4">
      <c r="A125" s="8" t="s">
        <v>1496</v>
      </c>
      <c r="B125" s="8" t="s">
        <v>1453</v>
      </c>
      <c r="C125" s="8" t="s">
        <v>1451</v>
      </c>
      <c r="D125" s="8" t="s">
        <v>1455</v>
      </c>
    </row>
    <row r="126" customHeight="1" spans="1:4">
      <c r="A126" s="10"/>
      <c r="B126" s="10"/>
      <c r="C126" s="10"/>
      <c r="D126" s="10"/>
    </row>
    <row r="127" customHeight="1" spans="1:4">
      <c r="A127" s="10"/>
      <c r="B127" s="10"/>
      <c r="C127" s="10"/>
      <c r="D127" s="10"/>
    </row>
    <row r="128" customHeight="1" spans="1:4">
      <c r="A128" s="10"/>
      <c r="B128" s="10"/>
      <c r="C128" s="10"/>
      <c r="D128" s="10"/>
    </row>
    <row r="130" customHeight="1" spans="1:1">
      <c r="A130" t="s">
        <v>1498</v>
      </c>
    </row>
    <row r="132" customHeight="1" spans="1:1">
      <c r="A132" s="4" t="s">
        <v>169</v>
      </c>
    </row>
    <row r="133" customHeight="1" spans="1:1">
      <c r="A133" s="4"/>
    </row>
    <row r="134" customHeight="1" spans="1:1">
      <c r="A134" s="4"/>
    </row>
    <row r="135" customHeight="1" spans="1:1">
      <c r="A135" s="4"/>
    </row>
    <row r="137" customHeight="1" spans="1:1">
      <c r="A137" t="s">
        <v>1499</v>
      </c>
    </row>
    <row r="139" customHeight="1" spans="1:1">
      <c r="A139" s="8" t="s">
        <v>169</v>
      </c>
    </row>
    <row r="140" customHeight="1" spans="1:1">
      <c r="A140" s="8"/>
    </row>
    <row r="141" customHeight="1" spans="1:4">
      <c r="A141" s="8"/>
      <c r="D141" s="11" t="s">
        <v>1500</v>
      </c>
    </row>
    <row r="142" customHeight="1" spans="1:4">
      <c r="A142" s="8"/>
      <c r="D142" s="10"/>
    </row>
    <row r="143" customHeight="1" spans="1:4">
      <c r="A143" s="8"/>
      <c r="D143" s="10"/>
    </row>
    <row r="144" customHeight="1" spans="4:4">
      <c r="D144" s="10"/>
    </row>
    <row r="146" customHeight="1" spans="1:1">
      <c r="A146" t="s">
        <v>1501</v>
      </c>
    </row>
    <row r="148" customHeight="1" spans="1:3">
      <c r="A148" s="4" t="s">
        <v>169</v>
      </c>
      <c r="B148" s="4" t="s">
        <v>1502</v>
      </c>
      <c r="C148" s="4" t="s">
        <v>1503</v>
      </c>
    </row>
    <row r="149" customHeight="1" spans="1:5">
      <c r="A149" s="4"/>
      <c r="B149" s="4"/>
      <c r="C149" s="4"/>
      <c r="E149" s="12"/>
    </row>
    <row r="150" customHeight="1" spans="1:5">
      <c r="A150" s="4"/>
      <c r="B150" s="4"/>
      <c r="C150" s="4"/>
      <c r="E150" s="13"/>
    </row>
    <row r="151" customHeight="1" spans="1:5">
      <c r="A151" s="4"/>
      <c r="B151" s="4"/>
      <c r="C151" s="4"/>
      <c r="E151" s="13"/>
    </row>
    <row r="152" customHeight="1" spans="5:5">
      <c r="E152" s="13"/>
    </row>
    <row r="154" customHeight="1" spans="1:1">
      <c r="A154" t="s">
        <v>107</v>
      </c>
    </row>
    <row r="156" customHeight="1" spans="1:4">
      <c r="A156" s="4" t="s">
        <v>361</v>
      </c>
      <c r="B156" s="14" t="s">
        <v>1494</v>
      </c>
      <c r="C156" s="4" t="s">
        <v>1504</v>
      </c>
      <c r="D156" s="4" t="s">
        <v>1505</v>
      </c>
    </row>
    <row r="157" customHeight="1" spans="1:4">
      <c r="A157" s="10"/>
      <c r="B157" s="15"/>
      <c r="C157" s="10"/>
      <c r="D157" s="10"/>
    </row>
    <row r="158" customHeight="1" spans="1:4">
      <c r="A158" s="10"/>
      <c r="B158" s="15"/>
      <c r="C158" s="10"/>
      <c r="D158" s="10"/>
    </row>
    <row r="159" customHeight="1" spans="1:4">
      <c r="A159" s="10"/>
      <c r="B159" s="15"/>
      <c r="C159" s="10"/>
      <c r="D159" s="10"/>
    </row>
    <row r="162" customHeight="1" spans="1:1">
      <c r="A162" t="s">
        <v>1506</v>
      </c>
    </row>
    <row r="164" customHeight="1" spans="1:1">
      <c r="A164" t="s">
        <v>1507</v>
      </c>
    </row>
    <row r="166" customHeight="1" spans="1:1">
      <c r="A166" t="s">
        <v>154</v>
      </c>
    </row>
    <row r="167" customHeight="1" spans="1:1">
      <c r="A167" t="s">
        <v>1457</v>
      </c>
    </row>
    <row r="169" customHeight="1" spans="1:3">
      <c r="A169" s="16" t="s">
        <v>1508</v>
      </c>
      <c r="B169" s="17" t="s">
        <v>1508</v>
      </c>
      <c r="C169" s="18" t="s">
        <v>1508</v>
      </c>
    </row>
    <row r="170" customHeight="1" spans="1:3">
      <c r="A170" s="17" t="s">
        <v>1508</v>
      </c>
      <c r="B170" s="18" t="s">
        <v>1508</v>
      </c>
      <c r="C170" s="16" t="s">
        <v>1508</v>
      </c>
    </row>
    <row r="173" customHeight="1" spans="1:2">
      <c r="A173" s="19" t="s">
        <v>1453</v>
      </c>
      <c r="B173" s="19"/>
    </row>
    <row r="175" customHeight="1" spans="1:1">
      <c r="A175" t="s">
        <v>1455</v>
      </c>
    </row>
    <row r="177" customHeight="1" spans="1:2">
      <c r="A177" t="s">
        <v>1509</v>
      </c>
      <c r="B177">
        <v>500</v>
      </c>
    </row>
    <row r="178" customHeight="1" spans="1:2">
      <c r="A178" t="s">
        <v>1509</v>
      </c>
      <c r="B178">
        <v>500</v>
      </c>
    </row>
    <row r="179" customHeight="1" spans="1:2">
      <c r="A179" t="s">
        <v>1509</v>
      </c>
      <c r="B179">
        <v>500</v>
      </c>
    </row>
    <row r="181" customHeight="1" spans="1:1">
      <c r="A181" t="s">
        <v>1510</v>
      </c>
    </row>
    <row r="182" customHeight="1" spans="1:2">
      <c r="A182" t="s">
        <v>1509</v>
      </c>
      <c r="B182">
        <v>500</v>
      </c>
    </row>
    <row r="183" customHeight="1" spans="1:2">
      <c r="A183" t="s">
        <v>1509</v>
      </c>
      <c r="B183">
        <v>500</v>
      </c>
    </row>
    <row r="184" customHeight="1" spans="1:2">
      <c r="A184" t="s">
        <v>1509</v>
      </c>
      <c r="B184">
        <v>500</v>
      </c>
    </row>
    <row r="187" customHeight="1" spans="1:2">
      <c r="A187" t="s">
        <v>1511</v>
      </c>
      <c r="B187" t="s">
        <v>1512</v>
      </c>
    </row>
    <row r="189" customHeight="1" spans="1:2">
      <c r="A189" s="8" t="s">
        <v>92</v>
      </c>
      <c r="B189" s="8" t="s">
        <v>329</v>
      </c>
    </row>
    <row r="190" customHeight="1" spans="1:2">
      <c r="A190" s="8"/>
      <c r="B190" s="8"/>
    </row>
    <row r="191" customHeight="1" spans="1:2">
      <c r="A191" s="8"/>
      <c r="B191" s="8"/>
    </row>
    <row r="192" customHeight="1" spans="1:2">
      <c r="A192" s="8"/>
      <c r="B192" s="8"/>
    </row>
    <row r="193" customHeight="1" spans="1:3">
      <c r="A193" s="8"/>
      <c r="B193" s="8"/>
      <c r="C193" t="s">
        <v>1513</v>
      </c>
    </row>
    <row r="194" customHeight="1" spans="1:2">
      <c r="A194" s="8"/>
      <c r="B194" s="8"/>
    </row>
    <row r="195" customHeight="1" spans="1:2">
      <c r="A195" s="8"/>
      <c r="B195" s="8"/>
    </row>
    <row r="196" customHeight="1" spans="1:2">
      <c r="A196" s="8"/>
      <c r="B196" s="8"/>
    </row>
    <row r="199" customHeight="1" spans="1:2">
      <c r="A199" t="s">
        <v>1514</v>
      </c>
      <c r="B199" t="s">
        <v>1515</v>
      </c>
    </row>
    <row r="201" customHeight="1" spans="1:2">
      <c r="A201" s="8" t="s">
        <v>92</v>
      </c>
      <c r="B201" s="8" t="s">
        <v>358</v>
      </c>
    </row>
    <row r="202" customHeight="1" spans="1:2">
      <c r="A202" s="8"/>
      <c r="B202" s="8"/>
    </row>
    <row r="203" customHeight="1" spans="1:3">
      <c r="A203" s="8"/>
      <c r="B203" s="8"/>
      <c r="C203" t="s">
        <v>1516</v>
      </c>
    </row>
    <row r="204" customHeight="1" spans="1:3">
      <c r="A204" s="8"/>
      <c r="B204" s="8"/>
      <c r="C204" t="s">
        <v>1517</v>
      </c>
    </row>
    <row r="205" customHeight="1" spans="1:3">
      <c r="A205" s="8"/>
      <c r="B205" s="8"/>
      <c r="C205" t="s">
        <v>1518</v>
      </c>
    </row>
    <row r="206" customHeight="1" spans="1:3">
      <c r="A206" s="8"/>
      <c r="B206" s="8"/>
      <c r="C206" t="s">
        <v>1519</v>
      </c>
    </row>
    <row r="207" customHeight="1" spans="1:3">
      <c r="A207" s="8"/>
      <c r="B207" s="8"/>
      <c r="C207" t="s">
        <v>1520</v>
      </c>
    </row>
    <row r="208" customHeight="1" spans="1:3">
      <c r="A208" s="8"/>
      <c r="B208" s="8"/>
      <c r="C208" t="s">
        <v>1521</v>
      </c>
    </row>
    <row r="210" customHeight="1" spans="3:3">
      <c r="C210" t="s">
        <v>1522</v>
      </c>
    </row>
    <row r="211" customHeight="1" spans="3:3">
      <c r="C211" t="s">
        <v>1523</v>
      </c>
    </row>
    <row r="213" customHeight="1" spans="3:3">
      <c r="C213" t="s">
        <v>1524</v>
      </c>
    </row>
    <row r="215" customHeight="1" spans="1:2">
      <c r="A215" t="s">
        <v>1525</v>
      </c>
      <c r="B215" t="s">
        <v>154</v>
      </c>
    </row>
    <row r="217" customHeight="1" spans="1:2">
      <c r="A217" s="8" t="s">
        <v>92</v>
      </c>
      <c r="B217" s="8" t="s">
        <v>358</v>
      </c>
    </row>
    <row r="218" customHeight="1" spans="1:2">
      <c r="A218" s="8"/>
      <c r="B218" s="8"/>
    </row>
    <row r="219" customHeight="1" spans="1:3">
      <c r="A219" s="8"/>
      <c r="B219" s="8"/>
      <c r="C219" t="s">
        <v>1526</v>
      </c>
    </row>
    <row r="220" customHeight="1" spans="1:2">
      <c r="A220" s="8"/>
      <c r="B220" s="8"/>
    </row>
    <row r="221" customHeight="1" spans="1:2">
      <c r="A221" s="8"/>
      <c r="B221" s="8"/>
    </row>
    <row r="222" customHeight="1" spans="1:2">
      <c r="A222" s="8"/>
      <c r="B222" s="8"/>
    </row>
    <row r="223" customHeight="1" spans="1:2">
      <c r="A223" s="8"/>
      <c r="B223" s="8"/>
    </row>
    <row r="224" customHeight="1" spans="1:2">
      <c r="A224" s="8"/>
      <c r="B224" s="8"/>
    </row>
    <row r="227" customHeight="1" spans="1:1">
      <c r="A227" t="s">
        <v>1527</v>
      </c>
    </row>
    <row r="229" customHeight="1" spans="1:2">
      <c r="A229" s="20" t="s">
        <v>92</v>
      </c>
      <c r="B229" s="20"/>
    </row>
    <row r="230" customHeight="1" spans="1:2">
      <c r="A230" s="20"/>
      <c r="B230" s="20"/>
    </row>
    <row r="231" customHeight="1" spans="1:3">
      <c r="A231" s="20" t="s">
        <v>1528</v>
      </c>
      <c r="B231" s="20">
        <v>500</v>
      </c>
      <c r="C231" t="s">
        <v>1529</v>
      </c>
    </row>
    <row r="232" customHeight="1" spans="1:3">
      <c r="A232" s="20" t="s">
        <v>107</v>
      </c>
      <c r="B232" s="20">
        <v>2000</v>
      </c>
      <c r="C232" t="s">
        <v>146</v>
      </c>
    </row>
    <row r="233" customHeight="1" spans="1:3">
      <c r="A233" s="20" t="s">
        <v>1530</v>
      </c>
      <c r="B233" s="20">
        <v>1000</v>
      </c>
      <c r="C233" t="s">
        <v>1531</v>
      </c>
    </row>
    <row r="234" customHeight="1" spans="1:2">
      <c r="A234" s="20"/>
      <c r="B234" s="20"/>
    </row>
    <row r="235" customHeight="1" spans="1:3">
      <c r="A235" s="20" t="s">
        <v>309</v>
      </c>
      <c r="B235" s="20">
        <v>1500</v>
      </c>
      <c r="C235" t="s">
        <v>1532</v>
      </c>
    </row>
    <row r="239" customHeight="1" spans="1:3">
      <c r="A239" t="s">
        <v>1533</v>
      </c>
      <c r="B239" t="s">
        <v>154</v>
      </c>
      <c r="C239" t="s">
        <v>32</v>
      </c>
    </row>
    <row r="241" customHeight="1" spans="1:3">
      <c r="A241" s="10" t="s">
        <v>92</v>
      </c>
      <c r="B241" s="10" t="s">
        <v>139</v>
      </c>
      <c r="C241" s="10" t="s">
        <v>1472</v>
      </c>
    </row>
    <row r="242" customHeight="1" spans="1:3">
      <c r="A242" s="10"/>
      <c r="B242" s="10"/>
      <c r="C242" s="10"/>
    </row>
    <row r="243" customHeight="1" spans="1:4">
      <c r="A243" s="10"/>
      <c r="B243" s="10"/>
      <c r="C243" s="10"/>
      <c r="D243" t="s">
        <v>1534</v>
      </c>
    </row>
    <row r="244" customHeight="1" spans="1:3">
      <c r="A244" s="10"/>
      <c r="B244" s="10"/>
      <c r="C244" s="10"/>
    </row>
    <row r="245" customHeight="1" spans="1:3">
      <c r="A245" s="10"/>
      <c r="B245" s="10"/>
      <c r="C245" s="10"/>
    </row>
    <row r="247" customHeight="1" spans="1:1">
      <c r="A247" t="s">
        <v>1535</v>
      </c>
    </row>
  </sheetData>
  <mergeCells count="2">
    <mergeCell ref="A173:B173"/>
    <mergeCell ref="C52:C6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3:BC86"/>
  <sheetViews>
    <sheetView showGridLines="0" zoomScale="80" zoomScaleNormal="80" workbookViewId="0">
      <selection activeCell="E31" sqref="E31"/>
    </sheetView>
  </sheetViews>
  <sheetFormatPr defaultColWidth="9.81818181818182" defaultRowHeight="14" customHeight="1"/>
  <cols>
    <col min="1" max="1" width="12.9090909090909" style="657" customWidth="1"/>
    <col min="2" max="2" width="14" style="657" customWidth="1"/>
    <col min="3" max="3" width="41" style="657" customWidth="1"/>
    <col min="4" max="6" width="13.9090909090909" style="657" customWidth="1"/>
    <col min="7" max="7" width="2.81818181818182" style="657" customWidth="1"/>
    <col min="8" max="8" width="26.9090909090909" style="657" customWidth="1"/>
    <col min="9" max="9" width="11.1818181818182" style="657" customWidth="1"/>
    <col min="10" max="16384" width="9.81818181818182" style="657"/>
  </cols>
  <sheetData>
    <row r="3" customHeight="1" spans="3:3">
      <c r="C3" s="658" t="s">
        <v>84</v>
      </c>
    </row>
    <row r="4" customHeight="1" spans="3:3">
      <c r="C4" s="658" t="s">
        <v>85</v>
      </c>
    </row>
    <row r="5" customHeight="1" spans="3:3">
      <c r="C5" s="658"/>
    </row>
    <row r="6" customHeight="1" spans="3:4">
      <c r="C6" s="659" t="s">
        <v>86</v>
      </c>
      <c r="D6" s="660">
        <v>45658</v>
      </c>
    </row>
    <row r="7" customHeight="1" spans="3:8">
      <c r="C7" s="661" t="s">
        <v>87</v>
      </c>
      <c r="D7" s="662">
        <f>'Product &amp; stock detail -Jan-25'!C16</f>
        <v>24848.18</v>
      </c>
      <c r="H7" s="663"/>
    </row>
    <row r="8" customHeight="1" spans="3:8">
      <c r="C8" s="661" t="s">
        <v>88</v>
      </c>
      <c r="D8" s="662">
        <f>'Product &amp; stock detail -Jan-25'!D16</f>
        <v>0</v>
      </c>
      <c r="H8" s="663"/>
    </row>
    <row r="9" customHeight="1" spans="3:4">
      <c r="C9" s="661" t="s">
        <v>89</v>
      </c>
      <c r="D9" s="662">
        <f>'Product &amp; stock detail -Jan-25'!E16</f>
        <v>22397.56</v>
      </c>
    </row>
    <row r="10" customHeight="1" spans="3:8">
      <c r="C10" s="661"/>
      <c r="D10" s="662"/>
      <c r="H10" s="664"/>
    </row>
    <row r="11" customHeight="1" spans="3:4">
      <c r="C11" s="665" t="s">
        <v>58</v>
      </c>
      <c r="D11" s="666">
        <f t="shared" ref="D11" si="0">SUM(D7:D10)</f>
        <v>47245.74</v>
      </c>
    </row>
    <row r="12" customHeight="1" spans="3:4">
      <c r="C12" s="667"/>
      <c r="D12" s="667"/>
    </row>
    <row r="13" customHeight="1" spans="3:4">
      <c r="C13" s="659" t="s">
        <v>90</v>
      </c>
      <c r="D13" s="660">
        <f t="shared" ref="D13" si="1">D6</f>
        <v>45658</v>
      </c>
    </row>
    <row r="14" customHeight="1" spans="3:8">
      <c r="C14" s="668" t="s">
        <v>87</v>
      </c>
      <c r="D14" s="669">
        <f>'Product &amp; stock detail -Jan-25'!C11</f>
        <v>27948.18</v>
      </c>
      <c r="H14" s="664"/>
    </row>
    <row r="15" customHeight="1" spans="3:8">
      <c r="C15" s="668" t="s">
        <v>88</v>
      </c>
      <c r="D15" s="669">
        <f>'Product &amp; stock detail -Jan-25'!D11</f>
        <v>0</v>
      </c>
      <c r="H15" s="670"/>
    </row>
    <row r="16" customHeight="1" spans="3:8">
      <c r="C16" s="668" t="s">
        <v>89</v>
      </c>
      <c r="D16" s="669">
        <f>'Product &amp; stock detail -Jan-25'!E11</f>
        <v>19397.56</v>
      </c>
      <c r="H16" s="670"/>
    </row>
    <row r="17" customHeight="1" spans="3:8">
      <c r="C17" s="668"/>
      <c r="D17" s="669"/>
      <c r="H17" s="671" t="s">
        <v>91</v>
      </c>
    </row>
    <row r="18" customHeight="1" spans="3:9">
      <c r="C18" s="672" t="s">
        <v>58</v>
      </c>
      <c r="D18" s="673">
        <f>SUM(D14:D17)</f>
        <v>47345.74</v>
      </c>
      <c r="H18" s="674" t="s">
        <v>92</v>
      </c>
      <c r="I18" s="674" t="s">
        <v>93</v>
      </c>
    </row>
    <row r="19" customHeight="1" spans="3:9">
      <c r="C19" s="675"/>
      <c r="D19" s="676"/>
      <c r="H19" s="677" t="s">
        <v>94</v>
      </c>
      <c r="I19" s="715">
        <f>SUM('[4]Product &amp; stock detail - Oct-24'!I18:M18)</f>
        <v>50473.0275870173</v>
      </c>
    </row>
    <row r="20" customHeight="1" spans="3:9">
      <c r="C20" s="659" t="s">
        <v>95</v>
      </c>
      <c r="D20" s="660">
        <f t="shared" ref="D20" si="2">D13</f>
        <v>45658</v>
      </c>
      <c r="H20" s="677" t="s">
        <v>96</v>
      </c>
      <c r="I20" s="715">
        <f>'[4]Product &amp; stock detail - Oct-24'!N18</f>
        <v>0</v>
      </c>
    </row>
    <row r="21" customHeight="1" spans="3:9">
      <c r="C21" s="678" t="s">
        <v>87</v>
      </c>
      <c r="D21" s="679">
        <f>SUMIF('Profit computation-Jan-25'!$C$7:$C$40,"White",'Profit computation-Jan-25'!$F$7:$F$40)</f>
        <v>15927.918</v>
      </c>
      <c r="H21" s="677" t="s">
        <v>97</v>
      </c>
      <c r="I21" s="715">
        <v>1000</v>
      </c>
    </row>
    <row r="22" customHeight="1" spans="3:9">
      <c r="C22" s="678" t="s">
        <v>88</v>
      </c>
      <c r="D22" s="679">
        <f>SUMIF('Profit computation-Jan-25'!$C$7:$C$40,"Brown",'Profit computation-Jan-25'!$F$7:$F$40)</f>
        <v>1137.617</v>
      </c>
      <c r="H22" s="677" t="s">
        <v>98</v>
      </c>
      <c r="I22" s="715">
        <v>3760</v>
      </c>
    </row>
    <row r="23" customHeight="1" spans="3:10">
      <c r="C23" s="678" t="s">
        <v>89</v>
      </c>
      <c r="D23" s="679">
        <f>SUMIF('Profit computation-Jan-25'!$C$7:$C$40,"Black",'Profit computation-Jan-25'!$F$7:$F$40)</f>
        <v>17874.54</v>
      </c>
      <c r="F23" s="663"/>
      <c r="H23" s="677" t="s">
        <v>99</v>
      </c>
      <c r="I23" s="715">
        <v>4500</v>
      </c>
      <c r="J23" s="657">
        <v>757.409295699907</v>
      </c>
    </row>
    <row r="24" customHeight="1" spans="1:10">
      <c r="A24" s="680"/>
      <c r="C24" s="678"/>
      <c r="D24" s="679"/>
      <c r="H24" s="677" t="s">
        <v>100</v>
      </c>
      <c r="I24" s="715">
        <v>550</v>
      </c>
      <c r="J24" s="657">
        <v>1678.89672327339</v>
      </c>
    </row>
    <row r="25" customHeight="1" spans="1:40">
      <c r="A25" s="664"/>
      <c r="C25" s="681" t="s">
        <v>58</v>
      </c>
      <c r="D25" s="682">
        <f t="shared" ref="D25" si="3">SUM(D21:D24)</f>
        <v>34940.075</v>
      </c>
      <c r="H25" s="683" t="s">
        <v>101</v>
      </c>
      <c r="I25" s="715">
        <v>2420</v>
      </c>
      <c r="J25" s="657">
        <v>370.431673801715</v>
      </c>
      <c r="AB25" s="657" t="s">
        <v>36</v>
      </c>
      <c r="AN25" s="657">
        <v>3302.12560038217</v>
      </c>
    </row>
    <row r="26" customHeight="1" spans="3:40">
      <c r="C26" s="684"/>
      <c r="D26" s="684"/>
      <c r="H26" s="683" t="s">
        <v>102</v>
      </c>
      <c r="I26" s="715">
        <v>357</v>
      </c>
      <c r="J26" s="657">
        <v>-280.225683664829</v>
      </c>
      <c r="AB26" s="657" t="s">
        <v>40</v>
      </c>
      <c r="AN26" s="657">
        <v>8990.49249049586</v>
      </c>
    </row>
    <row r="27" customHeight="1" spans="1:40">
      <c r="A27" s="664"/>
      <c r="C27" s="685" t="s">
        <v>103</v>
      </c>
      <c r="D27" s="660">
        <f t="shared" ref="D27" si="4">D20</f>
        <v>45658</v>
      </c>
      <c r="H27" s="677" t="s">
        <v>104</v>
      </c>
      <c r="I27" s="715">
        <v>2721.68</v>
      </c>
      <c r="AB27" s="657" t="s">
        <v>44</v>
      </c>
      <c r="AN27" s="657">
        <v>1606.68644422835</v>
      </c>
    </row>
    <row r="28" customHeight="1" spans="3:40">
      <c r="C28" s="686"/>
      <c r="D28" s="687" t="s">
        <v>105</v>
      </c>
      <c r="H28" s="677" t="s">
        <v>106</v>
      </c>
      <c r="I28" s="715">
        <v>1250</v>
      </c>
      <c r="AB28" s="657" t="s">
        <v>46</v>
      </c>
      <c r="AN28" s="657">
        <v>-1211.54471890156</v>
      </c>
    </row>
    <row r="29" customHeight="1" spans="1:9">
      <c r="A29" s="663"/>
      <c r="B29" s="663"/>
      <c r="C29" s="688" t="s">
        <v>107</v>
      </c>
      <c r="D29" s="689">
        <f>'Input Sheet'!AI39-'Input Sheet'!AI29</f>
        <v>25995831.18</v>
      </c>
      <c r="F29" s="690"/>
      <c r="H29" s="677" t="s">
        <v>50</v>
      </c>
      <c r="I29" s="715">
        <v>3640</v>
      </c>
    </row>
    <row r="30" customHeight="1" spans="1:9">
      <c r="A30" s="663"/>
      <c r="B30" s="663"/>
      <c r="C30" s="688" t="s">
        <v>108</v>
      </c>
      <c r="D30" s="689">
        <f>'Input Sheet'!AI29</f>
        <v>614485.98</v>
      </c>
      <c r="E30" s="690"/>
      <c r="F30" s="690"/>
      <c r="H30" s="677" t="str">
        <f>'[4]Product &amp; stock detail -Apr-24'!U27</f>
        <v>12mm Black</v>
      </c>
      <c r="I30" s="715">
        <v>1278</v>
      </c>
    </row>
    <row r="31" customHeight="1" spans="1:9">
      <c r="A31" s="663"/>
      <c r="B31" s="663"/>
      <c r="C31" s="688" t="s">
        <v>109</v>
      </c>
      <c r="D31" s="691">
        <f ca="1">'Product &amp; stock detail -Jan-25'!AB30</f>
        <v>12278894.5176787</v>
      </c>
      <c r="E31" s="692"/>
      <c r="F31" s="692"/>
      <c r="H31" s="677" t="str">
        <f>'[4]Product &amp; stock detail -Apr-24'!V27</f>
        <v>20mm Black</v>
      </c>
      <c r="I31" s="715">
        <v>1167</v>
      </c>
    </row>
    <row r="32" customHeight="1" spans="1:9">
      <c r="A32" s="663"/>
      <c r="B32" s="663"/>
      <c r="C32" s="688" t="s">
        <v>110</v>
      </c>
      <c r="D32" s="689">
        <f>'Profit computation-Jan-25'!J54+'Profit computation-Jan-25'!J55</f>
        <v>1193915.945</v>
      </c>
      <c r="E32" s="690"/>
      <c r="F32" s="690"/>
      <c r="H32" s="677" t="s">
        <v>52</v>
      </c>
      <c r="I32" s="715">
        <v>650</v>
      </c>
    </row>
    <row r="33" customHeight="1" spans="1:9">
      <c r="A33" s="663"/>
      <c r="B33" s="663"/>
      <c r="C33" s="693" t="s">
        <v>58</v>
      </c>
      <c r="D33" s="694">
        <f ca="1">SUM(D29:D32)</f>
        <v>40083127.6226787</v>
      </c>
      <c r="E33" s="690"/>
      <c r="F33" s="690"/>
      <c r="H33" s="677" t="str">
        <f>'[4]Product &amp; stock detail -Apr-24'!W27</f>
        <v>Filter Chakkai-Black</v>
      </c>
      <c r="I33" s="715">
        <v>700</v>
      </c>
    </row>
    <row r="34" customHeight="1" spans="2:9">
      <c r="B34" s="663"/>
      <c r="C34" s="693"/>
      <c r="D34" s="695"/>
      <c r="E34" s="690"/>
      <c r="F34" s="690"/>
      <c r="H34" s="696" t="s">
        <v>58</v>
      </c>
      <c r="I34" s="716">
        <f t="shared" ref="I34" si="5">SUM(I19:I33)</f>
        <v>74466.7075870173</v>
      </c>
    </row>
    <row r="35" customHeight="1" spans="3:9">
      <c r="C35" s="697" t="s">
        <v>111</v>
      </c>
      <c r="D35" s="695"/>
      <c r="E35" s="690"/>
      <c r="F35" s="690"/>
      <c r="I35" s="663"/>
    </row>
    <row r="36" customHeight="1" spans="2:8">
      <c r="B36" s="663"/>
      <c r="C36" s="693"/>
      <c r="D36" s="695"/>
      <c r="E36" s="690"/>
      <c r="F36" s="690"/>
      <c r="H36" s="671" t="s">
        <v>112</v>
      </c>
    </row>
    <row r="37" customHeight="1" spans="1:9">
      <c r="A37" s="663"/>
      <c r="B37" s="663"/>
      <c r="C37" s="693" t="s">
        <v>113</v>
      </c>
      <c r="D37" s="695">
        <v>10170085.4308763</v>
      </c>
      <c r="E37" s="690" t="str">
        <f>C31</f>
        <v>Closing stock</v>
      </c>
      <c r="F37" s="690"/>
      <c r="H37" s="674" t="s">
        <v>92</v>
      </c>
      <c r="I37" s="674" t="s">
        <v>93</v>
      </c>
    </row>
    <row r="38" customHeight="1" spans="1:9">
      <c r="A38" s="663"/>
      <c r="B38" s="663"/>
      <c r="C38" s="688" t="s">
        <v>114</v>
      </c>
      <c r="D38" s="689">
        <f ca="1">'Expenses Category'!F5</f>
        <v>1661554.54</v>
      </c>
      <c r="E38" s="690"/>
      <c r="F38" s="690"/>
      <c r="H38" s="677" t="s">
        <v>94</v>
      </c>
      <c r="I38" s="715">
        <f>SUM('[4]Product &amp; stock detail - Oct-24'!I20:M20)</f>
        <v>46844.1175870174</v>
      </c>
    </row>
    <row r="39" customHeight="1" spans="1:9">
      <c r="A39" s="663"/>
      <c r="B39" s="663"/>
      <c r="C39" s="688" t="s">
        <v>115</v>
      </c>
      <c r="D39" s="689">
        <f ca="1">'Expenses Category'!F6</f>
        <v>37534.54</v>
      </c>
      <c r="E39" s="690"/>
      <c r="F39" s="690"/>
      <c r="H39" s="677" t="s">
        <v>96</v>
      </c>
      <c r="I39" s="677">
        <f>'[4]Product &amp; stock detail - Oct-24'!N20</f>
        <v>0</v>
      </c>
    </row>
    <row r="40" customHeight="1" spans="1:9">
      <c r="A40" s="663"/>
      <c r="B40" s="663"/>
      <c r="C40" s="688" t="s">
        <v>116</v>
      </c>
      <c r="D40" s="689">
        <f ca="1">'Expenses Category'!F7</f>
        <v>5161807.2</v>
      </c>
      <c r="E40" s="690"/>
      <c r="F40" s="690"/>
      <c r="H40" s="677" t="s">
        <v>97</v>
      </c>
      <c r="I40" s="677">
        <v>0</v>
      </c>
    </row>
    <row r="41" customHeight="1" spans="1:9">
      <c r="A41" s="663"/>
      <c r="B41" s="663"/>
      <c r="C41" s="688" t="s">
        <v>117</v>
      </c>
      <c r="D41" s="689">
        <f ca="1">'Expenses Category'!F8</f>
        <v>0</v>
      </c>
      <c r="E41" s="690"/>
      <c r="F41" s="690"/>
      <c r="H41" s="677" t="s">
        <v>98</v>
      </c>
      <c r="I41" s="677">
        <v>2600</v>
      </c>
    </row>
    <row r="42" customHeight="1" spans="1:55">
      <c r="A42" s="663"/>
      <c r="B42" s="663"/>
      <c r="C42" s="688" t="s">
        <v>118</v>
      </c>
      <c r="D42" s="689">
        <f ca="1">'Expenses Category'!F9</f>
        <v>2496874.71</v>
      </c>
      <c r="E42" s="690"/>
      <c r="F42" s="690"/>
      <c r="H42" s="677" t="s">
        <v>99</v>
      </c>
      <c r="I42" s="677">
        <v>0</v>
      </c>
      <c r="AQ42" s="657" t="s">
        <v>36</v>
      </c>
      <c r="BC42" s="657">
        <v>10129.739748838</v>
      </c>
    </row>
    <row r="43" customHeight="1" spans="1:55">
      <c r="A43" s="663"/>
      <c r="B43" s="663"/>
      <c r="C43" s="688" t="s">
        <v>119</v>
      </c>
      <c r="D43" s="689">
        <f ca="1">'Expenses Category'!F10</f>
        <v>942261.38</v>
      </c>
      <c r="E43" s="690"/>
      <c r="F43" s="690"/>
      <c r="H43" s="677" t="s">
        <v>100</v>
      </c>
      <c r="I43" s="677">
        <v>0</v>
      </c>
      <c r="AQ43" s="657" t="s">
        <v>40</v>
      </c>
      <c r="BC43" s="657">
        <v>25003.5575890764</v>
      </c>
    </row>
    <row r="44" customHeight="1" spans="1:55">
      <c r="A44" s="663"/>
      <c r="B44" s="663"/>
      <c r="C44" s="688" t="s">
        <v>33</v>
      </c>
      <c r="D44" s="689">
        <f ca="1">'Expenses Category'!F11</f>
        <v>5759959.91</v>
      </c>
      <c r="E44" s="690"/>
      <c r="F44" s="690"/>
      <c r="H44" s="683" t="s">
        <v>101</v>
      </c>
      <c r="I44" s="677">
        <v>5038.19</v>
      </c>
      <c r="AQ44" s="657" t="s">
        <v>44</v>
      </c>
      <c r="BC44" s="657">
        <v>4355.19726375432</v>
      </c>
    </row>
    <row r="45" customHeight="1" spans="1:55">
      <c r="A45" s="663"/>
      <c r="B45" s="663"/>
      <c r="C45" s="688" t="s">
        <v>120</v>
      </c>
      <c r="D45" s="689">
        <f ca="1">'Expenses Category'!F12</f>
        <v>8581606.64</v>
      </c>
      <c r="E45" s="690"/>
      <c r="F45" s="690"/>
      <c r="G45" s="690"/>
      <c r="H45" s="683" t="s">
        <v>102</v>
      </c>
      <c r="I45" s="677">
        <v>694.74</v>
      </c>
      <c r="AQ45" s="657" t="s">
        <v>46</v>
      </c>
      <c r="BC45" s="657">
        <v>-2240.75262606145</v>
      </c>
    </row>
    <row r="46" customHeight="1" spans="1:9">
      <c r="A46" s="663"/>
      <c r="B46" s="663"/>
      <c r="C46" s="688" t="s">
        <v>121</v>
      </c>
      <c r="D46" s="689">
        <f ca="1">'Expenses Category'!F13</f>
        <v>1542790.91</v>
      </c>
      <c r="E46" s="690"/>
      <c r="F46" s="690"/>
      <c r="G46" s="690"/>
      <c r="H46" s="677" t="s">
        <v>104</v>
      </c>
      <c r="I46" s="677">
        <v>0</v>
      </c>
    </row>
    <row r="47" customHeight="1" spans="1:9">
      <c r="A47" s="663"/>
      <c r="B47" s="663"/>
      <c r="C47" s="698" t="s">
        <v>122</v>
      </c>
      <c r="D47" s="699">
        <f>'Profit computation-Jan-25'!J65</f>
        <v>1247700.3</v>
      </c>
      <c r="E47" s="690"/>
      <c r="F47" s="670"/>
      <c r="G47" s="690"/>
      <c r="H47" s="677" t="s">
        <v>106</v>
      </c>
      <c r="I47" s="677">
        <v>0</v>
      </c>
    </row>
    <row r="48" customHeight="1" spans="1:9">
      <c r="A48" s="663"/>
      <c r="B48" s="663"/>
      <c r="C48" s="698" t="s">
        <v>123</v>
      </c>
      <c r="D48" s="700">
        <f>'[1]Profit computation-Dec-24'!$J$71</f>
        <v>0</v>
      </c>
      <c r="E48" s="701"/>
      <c r="F48" s="701"/>
      <c r="G48" s="690"/>
      <c r="H48" s="677" t="s">
        <v>50</v>
      </c>
      <c r="I48" s="677">
        <v>4300</v>
      </c>
    </row>
    <row r="49" customHeight="1" spans="1:9">
      <c r="A49" s="663"/>
      <c r="B49" s="663"/>
      <c r="C49" s="688" t="s">
        <v>124</v>
      </c>
      <c r="D49" s="702">
        <f ca="1">'Profit computation-Jan-25'!$J$69</f>
        <v>1706333.72</v>
      </c>
      <c r="E49" s="690"/>
      <c r="F49" s="670"/>
      <c r="G49" s="690"/>
      <c r="H49" s="677" t="s">
        <v>125</v>
      </c>
      <c r="I49" s="677">
        <v>2250</v>
      </c>
    </row>
    <row r="50" customHeight="1" spans="1:9">
      <c r="A50" s="663"/>
      <c r="B50" s="663"/>
      <c r="C50" s="698" t="str">
        <f>'[4]Input Sheet'!CW165</f>
        <v>FC work - Development expenses</v>
      </c>
      <c r="D50" s="703">
        <f>'[1]Profit computation-Dec-24'!L72</f>
        <v>0</v>
      </c>
      <c r="E50" s="670"/>
      <c r="F50" s="670"/>
      <c r="G50" s="690"/>
      <c r="H50" s="677" t="s">
        <v>126</v>
      </c>
      <c r="I50" s="677">
        <v>1555.85</v>
      </c>
    </row>
    <row r="51" customHeight="1" spans="1:9">
      <c r="A51" s="663"/>
      <c r="C51" s="693" t="s">
        <v>127</v>
      </c>
      <c r="D51" s="694">
        <f ca="1">SUM(D37:D50)</f>
        <v>39308509.2808763</v>
      </c>
      <c r="E51" s="690"/>
      <c r="F51" s="690"/>
      <c r="G51" s="690"/>
      <c r="H51" s="677" t="s">
        <v>52</v>
      </c>
      <c r="I51" s="677">
        <v>1300</v>
      </c>
    </row>
    <row r="52" customHeight="1" spans="3:9">
      <c r="C52" s="693"/>
      <c r="D52" s="695"/>
      <c r="E52" s="690"/>
      <c r="F52" s="690"/>
      <c r="G52" s="690"/>
      <c r="H52" s="677" t="s">
        <v>128</v>
      </c>
      <c r="I52" s="677">
        <v>2000</v>
      </c>
    </row>
    <row r="53" customHeight="1" spans="2:9">
      <c r="B53" s="663"/>
      <c r="C53" s="697" t="s">
        <v>129</v>
      </c>
      <c r="D53" s="704">
        <f ca="1">+D33-D51</f>
        <v>774618.341802411</v>
      </c>
      <c r="E53" s="701"/>
      <c r="F53" s="701"/>
      <c r="G53" s="690"/>
      <c r="H53" s="696" t="s">
        <v>58</v>
      </c>
      <c r="I53" s="696">
        <f>SUM(I38:I52)</f>
        <v>66582.8975870174</v>
      </c>
    </row>
    <row r="54" customHeight="1" spans="3:8">
      <c r="C54" s="693"/>
      <c r="D54" s="693"/>
      <c r="E54" s="705"/>
      <c r="F54" s="670"/>
      <c r="G54" s="690"/>
      <c r="H54" s="690"/>
    </row>
    <row r="55" ht="17" customHeight="1" spans="3:8">
      <c r="C55" s="693" t="s">
        <v>130</v>
      </c>
      <c r="D55" s="693"/>
      <c r="E55" s="706"/>
      <c r="F55" s="706"/>
      <c r="G55" s="690"/>
      <c r="H55" s="690" t="e">
        <f>19471337.5641827-#REF!</f>
        <v>#REF!</v>
      </c>
    </row>
    <row r="56" ht="17" customHeight="1" spans="3:8">
      <c r="C56" s="693" t="s">
        <v>131</v>
      </c>
      <c r="D56" s="693"/>
      <c r="E56" s="706"/>
      <c r="F56" s="706"/>
      <c r="G56" s="690"/>
      <c r="H56" s="690"/>
    </row>
    <row r="57" customHeight="1" spans="3:8">
      <c r="C57" s="693"/>
      <c r="D57" s="707"/>
      <c r="E57" s="708"/>
      <c r="F57" s="708"/>
      <c r="G57" s="690"/>
      <c r="H57" s="690" t="e">
        <f>SUM(#REF!)</f>
        <v>#REF!</v>
      </c>
    </row>
    <row r="58" customHeight="1" spans="3:8">
      <c r="C58" s="693" t="s">
        <v>132</v>
      </c>
      <c r="D58" s="709"/>
      <c r="E58" s="708"/>
      <c r="F58" s="708"/>
      <c r="G58" s="690"/>
      <c r="H58" s="690"/>
    </row>
    <row r="59" ht="17" customHeight="1" spans="3:8">
      <c r="C59" s="693" t="s">
        <v>133</v>
      </c>
      <c r="D59" s="693"/>
      <c r="E59" s="663"/>
      <c r="F59" s="663"/>
      <c r="G59" s="690"/>
      <c r="H59" s="690" t="e">
        <f>SUM(#REF!)-#REF!</f>
        <v>#REF!</v>
      </c>
    </row>
    <row r="60" ht="17" customHeight="1" spans="3:8">
      <c r="C60" s="693"/>
      <c r="D60" s="693"/>
      <c r="E60" s="663"/>
      <c r="F60" s="663"/>
      <c r="G60" s="690"/>
      <c r="H60" s="690"/>
    </row>
    <row r="61" ht="17" customHeight="1" spans="3:8">
      <c r="C61" s="693" t="s">
        <v>134</v>
      </c>
      <c r="D61" s="707"/>
      <c r="E61" s="663"/>
      <c r="F61" s="663"/>
      <c r="G61" s="690"/>
      <c r="H61" s="690"/>
    </row>
    <row r="62" ht="17" customHeight="1" spans="3:8">
      <c r="C62" s="693" t="s">
        <v>135</v>
      </c>
      <c r="D62" s="710"/>
      <c r="E62" s="711"/>
      <c r="F62" s="711"/>
      <c r="G62" s="670"/>
      <c r="H62" s="690" t="e">
        <f>#REF!-#REF!</f>
        <v>#REF!</v>
      </c>
    </row>
    <row r="63" customHeight="1" spans="3:8">
      <c r="C63" s="712" t="s">
        <v>136</v>
      </c>
      <c r="D63" s="704">
        <f ca="1" t="shared" ref="D63" si="6">+D33-D51</f>
        <v>774618.341802411</v>
      </c>
      <c r="E63" s="713"/>
      <c r="F63" s="711"/>
      <c r="G63" s="714"/>
      <c r="H63" s="690" t="e">
        <f>+#REF!+#REF!</f>
        <v>#REF!</v>
      </c>
    </row>
    <row r="64" customHeight="1" spans="4:8">
      <c r="D64" s="711"/>
      <c r="E64" s="711"/>
      <c r="F64" s="711"/>
      <c r="G64" s="711"/>
      <c r="H64" s="670"/>
    </row>
    <row r="65" customHeight="1" spans="4:7">
      <c r="D65" s="711"/>
      <c r="E65" s="711"/>
      <c r="F65" s="711"/>
      <c r="G65" s="711"/>
    </row>
    <row r="66" customHeight="1" spans="4:8">
      <c r="D66" s="717"/>
      <c r="E66" s="711"/>
      <c r="F66" s="711"/>
      <c r="G66" s="711"/>
      <c r="H66" s="708" t="e">
        <f>SUM(#REF!)-#REF!</f>
        <v>#REF!</v>
      </c>
    </row>
    <row r="67" customHeight="1" spans="3:8">
      <c r="C67" s="658"/>
      <c r="D67" s="671"/>
      <c r="E67" s="711"/>
      <c r="F67" s="711"/>
      <c r="G67" s="711"/>
      <c r="H67" s="711"/>
    </row>
    <row r="68" customHeight="1" spans="3:8">
      <c r="C68" s="718"/>
      <c r="D68" s="690"/>
      <c r="E68" s="717"/>
      <c r="F68" s="717"/>
      <c r="G68" s="711"/>
      <c r="H68" s="711"/>
    </row>
    <row r="69" customHeight="1" spans="3:8">
      <c r="C69" s="719"/>
      <c r="D69" s="690"/>
      <c r="E69" s="671"/>
      <c r="F69" s="671"/>
      <c r="G69" s="711"/>
      <c r="H69" s="711"/>
    </row>
    <row r="70" customHeight="1" spans="3:8">
      <c r="C70" s="719"/>
      <c r="D70" s="690"/>
      <c r="E70" s="690"/>
      <c r="F70" s="690"/>
      <c r="G70" s="711"/>
      <c r="H70" s="711"/>
    </row>
    <row r="71" customHeight="1" spans="3:8">
      <c r="C71" s="719"/>
      <c r="D71" s="690"/>
      <c r="E71" s="690"/>
      <c r="F71" s="690"/>
      <c r="G71" s="720"/>
      <c r="H71" s="711"/>
    </row>
    <row r="72" customHeight="1" spans="3:8">
      <c r="C72" s="719"/>
      <c r="D72" s="690"/>
      <c r="E72" s="690"/>
      <c r="F72" s="690"/>
      <c r="G72" s="690"/>
      <c r="H72" s="711"/>
    </row>
    <row r="73" customHeight="1" spans="3:8">
      <c r="C73" s="719"/>
      <c r="D73" s="690"/>
      <c r="E73" s="690"/>
      <c r="F73" s="690"/>
      <c r="G73" s="690"/>
      <c r="H73" s="711"/>
    </row>
    <row r="74" customHeight="1" spans="3:8">
      <c r="C74" s="719"/>
      <c r="D74" s="721"/>
      <c r="E74" s="690"/>
      <c r="F74" s="690"/>
      <c r="G74" s="690"/>
      <c r="H74" s="720"/>
    </row>
    <row r="75" customHeight="1" spans="3:8">
      <c r="C75" s="719"/>
      <c r="D75" s="711"/>
      <c r="E75" s="690"/>
      <c r="F75" s="690"/>
      <c r="G75" s="690"/>
      <c r="H75" s="690"/>
    </row>
    <row r="76" customHeight="1" spans="3:8">
      <c r="C76" s="722"/>
      <c r="D76" s="711"/>
      <c r="E76" s="721"/>
      <c r="F76" s="721"/>
      <c r="G76" s="690"/>
      <c r="H76" s="690"/>
    </row>
    <row r="77" customHeight="1" spans="4:8">
      <c r="D77" s="711"/>
      <c r="E77" s="711"/>
      <c r="F77" s="711"/>
      <c r="G77" s="690"/>
      <c r="H77" s="690"/>
    </row>
    <row r="78" customHeight="1" spans="4:8">
      <c r="D78" s="711"/>
      <c r="E78" s="711"/>
      <c r="F78" s="711"/>
      <c r="G78" s="690"/>
      <c r="H78" s="690"/>
    </row>
    <row r="79" customHeight="1" spans="5:8">
      <c r="E79" s="711"/>
      <c r="F79" s="711"/>
      <c r="G79" s="721"/>
      <c r="H79" s="690"/>
    </row>
    <row r="80" customHeight="1" spans="5:8">
      <c r="E80" s="711"/>
      <c r="F80" s="711"/>
      <c r="G80" s="711"/>
      <c r="H80" s="690"/>
    </row>
    <row r="81" customHeight="1" spans="7:8">
      <c r="G81" s="711"/>
      <c r="H81" s="690"/>
    </row>
    <row r="82" customHeight="1" spans="7:8">
      <c r="G82" s="711"/>
      <c r="H82" s="721"/>
    </row>
    <row r="83" customHeight="1" spans="7:8">
      <c r="G83" s="711"/>
      <c r="H83" s="711"/>
    </row>
    <row r="84" customHeight="1" spans="8:8">
      <c r="H84" s="711"/>
    </row>
    <row r="85" customHeight="1" spans="8:8">
      <c r="H85" s="711"/>
    </row>
    <row r="86" customHeight="1" spans="8:8">
      <c r="H86" s="711"/>
    </row>
  </sheetData>
  <mergeCells count="1">
    <mergeCell ref="C27:C28"/>
  </mergeCells>
  <printOptions horizontalCentered="1"/>
  <pageMargins left="0.236220472440945" right="0.236220472440945" top="0.393700787401575" bottom="0.393700787401575" header="0.31496062992126" footer="0.31496062992126"/>
  <pageSetup paperSize="9" scale="48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79"/>
  <sheetViews>
    <sheetView showGridLines="0" zoomScale="63" zoomScaleNormal="63" topLeftCell="AA89" workbookViewId="0">
      <selection activeCell="AC101" sqref="AC101:AG101"/>
    </sheetView>
  </sheetViews>
  <sheetFormatPr defaultColWidth="8.81818181818182" defaultRowHeight="14"/>
  <cols>
    <col min="1" max="2" width="8.81818181818182" style="35" hidden="1" customWidth="1"/>
    <col min="3" max="3" width="35.0909090909091" style="35" hidden="1" customWidth="1"/>
    <col min="4" max="9" width="12.6363636363636" style="35" hidden="1" customWidth="1"/>
    <col min="10" max="10" width="8.81818181818182" style="35" hidden="1" customWidth="1"/>
    <col min="11" max="11" width="12.8181818181818" style="35" hidden="1" customWidth="1"/>
    <col min="12" max="12" width="10" style="35" hidden="1" customWidth="1"/>
    <col min="13" max="14" width="8.81818181818182" style="35" hidden="1" customWidth="1"/>
    <col min="15" max="15" width="9.81818181818182" style="35" hidden="1" customWidth="1"/>
    <col min="16" max="18" width="8.81818181818182" style="35" hidden="1" customWidth="1"/>
    <col min="19" max="19" width="10.1818181818182" style="35" hidden="1" customWidth="1"/>
    <col min="20" max="20" width="9.90909090909091" style="35" hidden="1" customWidth="1"/>
    <col min="21" max="21" width="10.1818181818182" style="35" hidden="1" customWidth="1"/>
    <col min="22" max="22" width="9.90909090909091" style="35" hidden="1" customWidth="1"/>
    <col min="23" max="26" width="8.81818181818182" style="35" hidden="1" customWidth="1"/>
    <col min="27" max="27" width="8.81818181818182" style="35"/>
    <col min="28" max="28" width="19.0909090909091" style="35" customWidth="1"/>
    <col min="29" max="29" width="24.3636363636364" style="35" customWidth="1"/>
    <col min="30" max="34" width="12.6363636363636" style="35" customWidth="1"/>
    <col min="35" max="35" width="22.6363636363636" style="35" customWidth="1"/>
    <col min="36" max="36" width="10.0909090909091" style="35" customWidth="1"/>
    <col min="37" max="37" width="8.90909090909091" style="35" customWidth="1"/>
    <col min="38" max="38" width="12.6363636363636" style="35" customWidth="1"/>
    <col min="39" max="39" width="13.9090909090909" style="35" customWidth="1"/>
    <col min="40" max="40" width="15.6363636363636" style="35" customWidth="1"/>
    <col min="41" max="41" width="17.3636363636364" style="35" customWidth="1"/>
    <col min="42" max="42" width="15.6363636363636" style="35" customWidth="1"/>
    <col min="43" max="43" width="16.5454545454545" style="35" customWidth="1"/>
    <col min="44" max="45" width="13.9090909090909" style="35" customWidth="1"/>
    <col min="46" max="46" width="10.0909090909091" style="35" customWidth="1"/>
    <col min="47" max="48" width="8.90909090909091" style="35" customWidth="1"/>
    <col min="49" max="49" width="19.5454545454545" style="35" customWidth="1"/>
    <col min="50" max="16384" width="8.81818181818182" style="35"/>
  </cols>
  <sheetData>
    <row r="1" spans="1:52">
      <c r="A1" s="49"/>
      <c r="B1" s="548"/>
      <c r="C1" s="549"/>
      <c r="D1" s="549"/>
      <c r="E1" s="549"/>
      <c r="F1" s="549"/>
      <c r="G1" s="549"/>
      <c r="H1" s="549"/>
      <c r="I1" s="5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48" t="s">
        <v>107</v>
      </c>
      <c r="AC1" s="549">
        <v>45658</v>
      </c>
      <c r="AD1" s="562"/>
      <c r="AE1" s="562"/>
      <c r="AF1" s="562"/>
      <c r="AG1" s="562"/>
      <c r="AH1" s="562"/>
      <c r="AI1" s="562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</row>
    <row r="2" spans="1:27">
      <c r="A2" s="49"/>
      <c r="AA2" s="49"/>
    </row>
    <row r="3" spans="1:37">
      <c r="A3" s="49"/>
      <c r="C3" s="490"/>
      <c r="D3" s="491"/>
      <c r="E3" s="492"/>
      <c r="F3" s="493"/>
      <c r="G3" s="525"/>
      <c r="H3" s="493"/>
      <c r="I3" s="525"/>
      <c r="AA3" s="49"/>
      <c r="AC3" s="490" t="s">
        <v>4</v>
      </c>
      <c r="AD3" s="491" t="s">
        <v>137</v>
      </c>
      <c r="AE3" s="492"/>
      <c r="AF3" s="493" t="s">
        <v>138</v>
      </c>
      <c r="AG3" s="525"/>
      <c r="AH3" s="498" t="s">
        <v>58</v>
      </c>
      <c r="AI3" s="498"/>
      <c r="AK3" s="35" t="s">
        <v>65</v>
      </c>
    </row>
    <row r="4" spans="1:35">
      <c r="A4" s="49"/>
      <c r="C4" s="496"/>
      <c r="D4" s="497"/>
      <c r="E4" s="497"/>
      <c r="F4" s="498"/>
      <c r="G4" s="498"/>
      <c r="H4" s="498"/>
      <c r="I4" s="498"/>
      <c r="AA4" s="49"/>
      <c r="AC4" s="496"/>
      <c r="AD4" s="497" t="s">
        <v>139</v>
      </c>
      <c r="AE4" s="497" t="s">
        <v>9</v>
      </c>
      <c r="AF4" s="498" t="s">
        <v>139</v>
      </c>
      <c r="AG4" s="498" t="s">
        <v>9</v>
      </c>
      <c r="AH4" s="498" t="s">
        <v>139</v>
      </c>
      <c r="AI4" s="498" t="s">
        <v>9</v>
      </c>
    </row>
    <row r="5" spans="1:38">
      <c r="A5" s="49"/>
      <c r="C5" s="482"/>
      <c r="D5" s="501"/>
      <c r="E5" s="502"/>
      <c r="F5" s="503"/>
      <c r="G5" s="523"/>
      <c r="H5" s="503"/>
      <c r="I5" s="527"/>
      <c r="K5" s="561"/>
      <c r="AA5" s="49"/>
      <c r="AC5" s="482" t="s">
        <v>140</v>
      </c>
      <c r="AD5" s="501">
        <v>0</v>
      </c>
      <c r="AE5" s="502">
        <v>0</v>
      </c>
      <c r="AF5" s="503">
        <v>0</v>
      </c>
      <c r="AG5" s="523">
        <v>0</v>
      </c>
      <c r="AH5" s="503">
        <f t="shared" ref="AH5:AI17" si="0">+AD5+AF5</f>
        <v>0</v>
      </c>
      <c r="AI5" s="527">
        <f t="shared" si="0"/>
        <v>0</v>
      </c>
      <c r="AK5" s="561" t="s">
        <v>141</v>
      </c>
      <c r="AL5" s="79">
        <v>565171.195000001</v>
      </c>
    </row>
    <row r="6" spans="1:38">
      <c r="A6" s="49"/>
      <c r="C6" s="482"/>
      <c r="D6" s="501"/>
      <c r="E6" s="502"/>
      <c r="F6" s="503"/>
      <c r="G6" s="523"/>
      <c r="H6" s="503"/>
      <c r="I6" s="527"/>
      <c r="K6" s="561"/>
      <c r="AA6" s="49"/>
      <c r="AC6" s="482" t="s">
        <v>142</v>
      </c>
      <c r="AD6" s="501">
        <v>8.01</v>
      </c>
      <c r="AE6" s="502">
        <v>3604.5</v>
      </c>
      <c r="AF6" s="503">
        <v>0</v>
      </c>
      <c r="AG6" s="523">
        <v>0</v>
      </c>
      <c r="AH6" s="503">
        <f t="shared" si="0"/>
        <v>8.01</v>
      </c>
      <c r="AI6" s="527">
        <f t="shared" si="0"/>
        <v>3604.5</v>
      </c>
      <c r="AK6" s="561" t="s">
        <v>143</v>
      </c>
      <c r="AL6" s="79">
        <v>617180.75</v>
      </c>
    </row>
    <row r="7" spans="1:38">
      <c r="A7" s="49"/>
      <c r="C7" s="482"/>
      <c r="D7" s="501"/>
      <c r="E7" s="508"/>
      <c r="F7" s="503"/>
      <c r="G7" s="530"/>
      <c r="H7" s="503"/>
      <c r="I7" s="527"/>
      <c r="AA7" s="49"/>
      <c r="AC7" s="482" t="s">
        <v>47</v>
      </c>
      <c r="AD7" s="501">
        <f>2970.01-1641.58</f>
        <v>1328.43</v>
      </c>
      <c r="AE7" s="502">
        <f>1494008-861830</f>
        <v>632178</v>
      </c>
      <c r="AF7" s="503">
        <f>186.08+5919.27-3582.33</f>
        <v>2523.02</v>
      </c>
      <c r="AG7" s="530">
        <f>130256+4873632.15-685607.2-2955287.55</f>
        <v>1362993.4</v>
      </c>
      <c r="AH7" s="503">
        <f t="shared" si="0"/>
        <v>3851.45</v>
      </c>
      <c r="AI7" s="527">
        <f t="shared" si="0"/>
        <v>1995171.4</v>
      </c>
      <c r="AL7" s="79">
        <f>SUM(AL5:AL6)</f>
        <v>1182351.945</v>
      </c>
    </row>
    <row r="8" spans="1:35">
      <c r="A8" s="49"/>
      <c r="C8" s="482"/>
      <c r="D8" s="501"/>
      <c r="E8" s="508"/>
      <c r="F8" s="503"/>
      <c r="G8" s="530"/>
      <c r="H8" s="503"/>
      <c r="I8" s="527"/>
      <c r="AA8" s="49"/>
      <c r="AC8" s="482" t="s">
        <v>144</v>
      </c>
      <c r="AD8" s="501">
        <f>915.78-414.37</f>
        <v>501.41</v>
      </c>
      <c r="AE8" s="502">
        <f>476594.5-217544</f>
        <v>259050.5</v>
      </c>
      <c r="AF8" s="503">
        <v>0</v>
      </c>
      <c r="AG8" s="530">
        <v>0</v>
      </c>
      <c r="AH8" s="503">
        <f t="shared" si="0"/>
        <v>501.41</v>
      </c>
      <c r="AI8" s="527">
        <f>+AE8+AG8</f>
        <v>259050.5</v>
      </c>
    </row>
    <row r="9" spans="1:35">
      <c r="A9" s="49"/>
      <c r="C9" s="482"/>
      <c r="D9" s="501"/>
      <c r="E9" s="508"/>
      <c r="F9" s="503"/>
      <c r="G9" s="530"/>
      <c r="H9" s="503"/>
      <c r="I9" s="527"/>
      <c r="AA9" s="49"/>
      <c r="AC9" s="482" t="s">
        <v>50</v>
      </c>
      <c r="AD9" s="501">
        <v>138.68</v>
      </c>
      <c r="AE9" s="502">
        <v>52070.7</v>
      </c>
      <c r="AF9" s="503">
        <v>2577.05</v>
      </c>
      <c r="AG9" s="530">
        <f>1610390-467160.8</f>
        <v>1143229.2</v>
      </c>
      <c r="AH9" s="503">
        <f t="shared" si="0"/>
        <v>2715.73</v>
      </c>
      <c r="AI9" s="527">
        <f t="shared" si="0"/>
        <v>1195299.9</v>
      </c>
    </row>
    <row r="10" spans="1:38">
      <c r="A10" s="49"/>
      <c r="C10" s="482"/>
      <c r="D10" s="501"/>
      <c r="E10" s="502"/>
      <c r="F10" s="503"/>
      <c r="G10" s="523"/>
      <c r="H10" s="503"/>
      <c r="I10" s="527"/>
      <c r="AA10" s="49"/>
      <c r="AC10" s="482" t="s">
        <v>145</v>
      </c>
      <c r="AD10" s="501">
        <v>327.94</v>
      </c>
      <c r="AE10" s="502">
        <v>180367</v>
      </c>
      <c r="AF10" s="503">
        <v>230.22</v>
      </c>
      <c r="AG10" s="530">
        <f>141584-12661</f>
        <v>128923</v>
      </c>
      <c r="AH10" s="503">
        <f>+AD10+AF10</f>
        <v>558.16</v>
      </c>
      <c r="AI10" s="527">
        <f>+AE10+AG10</f>
        <v>309290</v>
      </c>
      <c r="AJ10" s="35" t="s">
        <v>146</v>
      </c>
      <c r="AL10" s="35" t="s">
        <v>147</v>
      </c>
    </row>
    <row r="11" spans="1:35">
      <c r="A11" s="49"/>
      <c r="C11" s="482"/>
      <c r="D11" s="501"/>
      <c r="E11" s="502"/>
      <c r="F11" s="503"/>
      <c r="G11" s="523"/>
      <c r="H11" s="503"/>
      <c r="I11" s="527"/>
      <c r="AA11" s="49"/>
      <c r="AC11" s="482" t="s">
        <v>148</v>
      </c>
      <c r="AD11" s="501">
        <v>104.03</v>
      </c>
      <c r="AE11" s="502">
        <v>62418</v>
      </c>
      <c r="AF11" s="503">
        <v>28.08</v>
      </c>
      <c r="AG11" s="523">
        <v>16848</v>
      </c>
      <c r="AH11" s="503">
        <f t="shared" ref="AH11:AI14" si="1">+AD11+AF11</f>
        <v>132.11</v>
      </c>
      <c r="AI11" s="527">
        <f t="shared" si="1"/>
        <v>79266</v>
      </c>
    </row>
    <row r="12" spans="1:43">
      <c r="A12" s="49"/>
      <c r="C12" s="482"/>
      <c r="D12" s="501"/>
      <c r="E12" s="508"/>
      <c r="F12" s="503"/>
      <c r="G12" s="530"/>
      <c r="H12" s="503"/>
      <c r="I12" s="527"/>
      <c r="AA12" s="49"/>
      <c r="AC12" s="482" t="s">
        <v>149</v>
      </c>
      <c r="AD12" s="501">
        <v>2867.86</v>
      </c>
      <c r="AE12" s="502">
        <v>1728972.5</v>
      </c>
      <c r="AF12" s="503">
        <v>0</v>
      </c>
      <c r="AG12" s="530">
        <v>0</v>
      </c>
      <c r="AH12" s="503">
        <f t="shared" si="1"/>
        <v>2867.86</v>
      </c>
      <c r="AI12" s="527">
        <f t="shared" si="1"/>
        <v>1728972.5</v>
      </c>
      <c r="AJ12" s="35" t="s">
        <v>150</v>
      </c>
      <c r="AK12" s="35" t="s">
        <v>139</v>
      </c>
      <c r="AL12" s="35" t="s">
        <v>151</v>
      </c>
      <c r="AM12" s="35" t="s">
        <v>152</v>
      </c>
      <c r="AN12" s="35" t="s">
        <v>153</v>
      </c>
      <c r="AO12" s="35" t="s">
        <v>9</v>
      </c>
      <c r="AP12" s="35" t="s">
        <v>154</v>
      </c>
      <c r="AQ12" s="35" t="s">
        <v>155</v>
      </c>
    </row>
    <row r="13" spans="1:36">
      <c r="A13" s="49"/>
      <c r="C13" s="482"/>
      <c r="D13" s="501"/>
      <c r="E13" s="508"/>
      <c r="F13" s="503"/>
      <c r="G13" s="530"/>
      <c r="H13" s="503"/>
      <c r="I13" s="527"/>
      <c r="AA13" s="49"/>
      <c r="AC13" s="482" t="s">
        <v>156</v>
      </c>
      <c r="AD13" s="501">
        <f>470.08-55.87</f>
        <v>414.21</v>
      </c>
      <c r="AE13" s="502">
        <f>368356-39109</f>
        <v>329247</v>
      </c>
      <c r="AF13" s="503">
        <f>535.57</f>
        <v>535.57</v>
      </c>
      <c r="AG13" s="530">
        <f>486976.28-77816.75</f>
        <v>409159.53</v>
      </c>
      <c r="AH13" s="503">
        <f t="shared" si="1"/>
        <v>949.78</v>
      </c>
      <c r="AI13" s="527">
        <f t="shared" si="1"/>
        <v>738406.53</v>
      </c>
      <c r="AJ13" s="35" t="s">
        <v>157</v>
      </c>
    </row>
    <row r="14" spans="1:35">
      <c r="A14" s="49"/>
      <c r="C14" s="482"/>
      <c r="D14" s="501"/>
      <c r="E14" s="502"/>
      <c r="F14" s="503"/>
      <c r="G14" s="530"/>
      <c r="H14" s="503"/>
      <c r="I14" s="527"/>
      <c r="AA14" s="49"/>
      <c r="AC14" s="482" t="s">
        <v>158</v>
      </c>
      <c r="AD14" s="501">
        <v>0</v>
      </c>
      <c r="AE14" s="508">
        <v>0</v>
      </c>
      <c r="AF14" s="503">
        <v>14857.358</v>
      </c>
      <c r="AG14" s="530">
        <f>12045450.4-14895</f>
        <v>12030555.4</v>
      </c>
      <c r="AH14" s="503">
        <f t="shared" si="1"/>
        <v>14857.358</v>
      </c>
      <c r="AI14" s="527">
        <f>+AE14+AG14</f>
        <v>12030555.4</v>
      </c>
    </row>
    <row r="15" spans="1:35">
      <c r="A15" s="49"/>
      <c r="C15" s="482"/>
      <c r="D15" s="501"/>
      <c r="E15" s="508"/>
      <c r="F15" s="503"/>
      <c r="G15" s="530"/>
      <c r="H15" s="503"/>
      <c r="I15" s="527"/>
      <c r="AA15" s="49"/>
      <c r="AC15" s="482" t="s">
        <v>159</v>
      </c>
      <c r="AD15" s="501">
        <v>1070.56</v>
      </c>
      <c r="AE15" s="502">
        <v>1075560</v>
      </c>
      <c r="AF15" s="503">
        <v>0</v>
      </c>
      <c r="AG15" s="523">
        <v>0</v>
      </c>
      <c r="AH15" s="503">
        <f t="shared" si="0"/>
        <v>1070.56</v>
      </c>
      <c r="AI15" s="527">
        <f t="shared" si="0"/>
        <v>1075560</v>
      </c>
    </row>
    <row r="16" spans="1:35">
      <c r="A16" s="49"/>
      <c r="C16" s="482"/>
      <c r="D16" s="501"/>
      <c r="E16" s="502"/>
      <c r="F16" s="503"/>
      <c r="G16" s="530"/>
      <c r="H16" s="503"/>
      <c r="I16" s="527"/>
      <c r="AA16" s="49"/>
      <c r="AC16" s="482" t="s">
        <v>52</v>
      </c>
      <c r="AD16" s="501">
        <v>137.13</v>
      </c>
      <c r="AE16" s="502">
        <v>69810</v>
      </c>
      <c r="AF16" s="503">
        <f>449.987-147.78</f>
        <v>302.207</v>
      </c>
      <c r="AG16" s="530">
        <f>333178.5-88927.8-99630</f>
        <v>144620.7</v>
      </c>
      <c r="AH16" s="503">
        <f t="shared" si="0"/>
        <v>439.337</v>
      </c>
      <c r="AI16" s="527">
        <f t="shared" si="0"/>
        <v>214430.7</v>
      </c>
    </row>
    <row r="17" spans="1:35">
      <c r="A17" s="49"/>
      <c r="C17" s="482"/>
      <c r="D17" s="501"/>
      <c r="E17" s="508"/>
      <c r="F17" s="503"/>
      <c r="G17" s="523"/>
      <c r="H17" s="503"/>
      <c r="I17" s="527"/>
      <c r="AA17" s="49"/>
      <c r="AC17" s="482" t="s">
        <v>53</v>
      </c>
      <c r="AD17" s="501">
        <v>191.05</v>
      </c>
      <c r="AE17" s="502">
        <v>79286.25</v>
      </c>
      <c r="AF17" s="503">
        <v>0</v>
      </c>
      <c r="AG17" s="523">
        <v>0</v>
      </c>
      <c r="AH17" s="503">
        <f t="shared" si="0"/>
        <v>191.05</v>
      </c>
      <c r="AI17" s="527">
        <f t="shared" si="0"/>
        <v>79286.25</v>
      </c>
    </row>
    <row r="18" spans="1:35">
      <c r="A18" s="49"/>
      <c r="C18" s="482"/>
      <c r="D18" s="501"/>
      <c r="E18" s="502"/>
      <c r="F18" s="503"/>
      <c r="G18" s="523"/>
      <c r="H18" s="503"/>
      <c r="I18" s="527"/>
      <c r="AA18" s="49"/>
      <c r="AC18" s="482"/>
      <c r="AD18" s="501"/>
      <c r="AE18" s="502"/>
      <c r="AF18" s="503"/>
      <c r="AG18" s="523"/>
      <c r="AH18" s="503"/>
      <c r="AI18" s="527"/>
    </row>
    <row r="19" spans="1:35">
      <c r="A19" s="49"/>
      <c r="C19" s="510"/>
      <c r="D19" s="511"/>
      <c r="E19" s="512"/>
      <c r="F19" s="511"/>
      <c r="G19" s="512"/>
      <c r="H19" s="511"/>
      <c r="I19" s="512"/>
      <c r="AA19" s="49"/>
      <c r="AC19" s="510" t="s">
        <v>160</v>
      </c>
      <c r="AD19" s="511">
        <f t="shared" ref="AD19:AI19" si="2">SUM(AD5:AD18)</f>
        <v>7089.31</v>
      </c>
      <c r="AE19" s="512">
        <f t="shared" si="2"/>
        <v>4472564.45</v>
      </c>
      <c r="AF19" s="511">
        <f t="shared" si="2"/>
        <v>21053.505</v>
      </c>
      <c r="AG19" s="512">
        <f t="shared" si="2"/>
        <v>15236329.23</v>
      </c>
      <c r="AH19" s="511">
        <f t="shared" si="2"/>
        <v>28142.815</v>
      </c>
      <c r="AI19" s="512">
        <f t="shared" si="2"/>
        <v>19708893.68</v>
      </c>
    </row>
    <row r="20" spans="1:35">
      <c r="A20" s="49"/>
      <c r="C20" s="510"/>
      <c r="D20" s="501"/>
      <c r="E20" s="502"/>
      <c r="F20" s="503"/>
      <c r="G20" s="523"/>
      <c r="H20" s="503"/>
      <c r="I20" s="527"/>
      <c r="AA20" s="49"/>
      <c r="AC20" s="510" t="s">
        <v>161</v>
      </c>
      <c r="AD20" s="501"/>
      <c r="AE20" s="502"/>
      <c r="AF20" s="503"/>
      <c r="AG20" s="523"/>
      <c r="AH20" s="503"/>
      <c r="AI20" s="527"/>
    </row>
    <row r="21" spans="1:35">
      <c r="A21" s="49"/>
      <c r="C21" s="482"/>
      <c r="D21" s="501"/>
      <c r="E21" s="502"/>
      <c r="F21" s="503"/>
      <c r="G21" s="523"/>
      <c r="H21" s="503"/>
      <c r="I21" s="527"/>
      <c r="AA21" s="49"/>
      <c r="AC21" s="482" t="s">
        <v>162</v>
      </c>
      <c r="AD21" s="501"/>
      <c r="AE21" s="502">
        <v>0</v>
      </c>
      <c r="AF21" s="503"/>
      <c r="AG21" s="523">
        <f>-AE21/1.05</f>
        <v>0</v>
      </c>
      <c r="AH21" s="503"/>
      <c r="AI21" s="527">
        <f>+AE21+AG21</f>
        <v>0</v>
      </c>
    </row>
    <row r="22" spans="1:35">
      <c r="A22" s="49"/>
      <c r="C22" s="482"/>
      <c r="D22" s="501"/>
      <c r="E22" s="502"/>
      <c r="F22" s="503"/>
      <c r="G22" s="523"/>
      <c r="H22" s="503"/>
      <c r="I22" s="527"/>
      <c r="AA22" s="49"/>
      <c r="AC22" s="482" t="s">
        <v>47</v>
      </c>
      <c r="AD22" s="501">
        <v>0</v>
      </c>
      <c r="AE22" s="502">
        <v>0</v>
      </c>
      <c r="AF22" s="503">
        <v>697.01</v>
      </c>
      <c r="AG22" s="523">
        <v>428661.15</v>
      </c>
      <c r="AH22" s="503">
        <f t="shared" ref="AH22:AI24" si="3">+AD22+AF22</f>
        <v>697.01</v>
      </c>
      <c r="AI22" s="527">
        <f t="shared" si="3"/>
        <v>428661.15</v>
      </c>
    </row>
    <row r="23" spans="1:35">
      <c r="A23" s="49"/>
      <c r="C23" s="482"/>
      <c r="D23" s="501"/>
      <c r="E23" s="502"/>
      <c r="F23" s="503"/>
      <c r="G23" s="523"/>
      <c r="H23" s="503"/>
      <c r="I23" s="527"/>
      <c r="AA23" s="49"/>
      <c r="AC23" s="482" t="s">
        <v>144</v>
      </c>
      <c r="AD23" s="501">
        <v>0</v>
      </c>
      <c r="AE23" s="502">
        <v>0</v>
      </c>
      <c r="AF23" s="503">
        <v>1488.52</v>
      </c>
      <c r="AG23" s="523">
        <v>915439.8</v>
      </c>
      <c r="AH23" s="503">
        <f t="shared" si="3"/>
        <v>1488.52</v>
      </c>
      <c r="AI23" s="527">
        <f t="shared" si="3"/>
        <v>915439.8</v>
      </c>
    </row>
    <row r="24" spans="1:35">
      <c r="A24" s="49"/>
      <c r="C24" s="482"/>
      <c r="D24" s="501"/>
      <c r="E24" s="502"/>
      <c r="F24" s="503"/>
      <c r="G24" s="523"/>
      <c r="H24" s="503"/>
      <c r="I24" s="527"/>
      <c r="AA24" s="49"/>
      <c r="AC24" s="482" t="s">
        <v>149</v>
      </c>
      <c r="AD24" s="501">
        <v>0</v>
      </c>
      <c r="AE24" s="502">
        <v>0</v>
      </c>
      <c r="AF24" s="503">
        <v>4611.73</v>
      </c>
      <c r="AG24" s="523">
        <v>3297386.95</v>
      </c>
      <c r="AH24" s="503">
        <f t="shared" si="3"/>
        <v>4611.73</v>
      </c>
      <c r="AI24" s="527">
        <f t="shared" si="3"/>
        <v>3297386.95</v>
      </c>
    </row>
    <row r="25" spans="1:35">
      <c r="A25" s="49"/>
      <c r="C25" s="482"/>
      <c r="D25" s="501"/>
      <c r="E25" s="502"/>
      <c r="F25" s="503"/>
      <c r="G25" s="523"/>
      <c r="H25" s="503"/>
      <c r="I25" s="527"/>
      <c r="AA25" s="49"/>
      <c r="AC25" s="482"/>
      <c r="AD25" s="501"/>
      <c r="AE25" s="502"/>
      <c r="AF25" s="503"/>
      <c r="AG25" s="523"/>
      <c r="AH25" s="503"/>
      <c r="AI25" s="527"/>
    </row>
    <row r="26" spans="1:35">
      <c r="A26" s="49"/>
      <c r="C26" s="510"/>
      <c r="D26" s="511"/>
      <c r="E26" s="511"/>
      <c r="F26" s="512"/>
      <c r="G26" s="512"/>
      <c r="H26" s="512"/>
      <c r="I26" s="512"/>
      <c r="AA26" s="49"/>
      <c r="AC26" s="510" t="s">
        <v>160</v>
      </c>
      <c r="AD26" s="511">
        <f t="shared" ref="AD26:AI26" si="4">SUM(AD22:AD25)</f>
        <v>0</v>
      </c>
      <c r="AE26" s="511">
        <f t="shared" si="4"/>
        <v>0</v>
      </c>
      <c r="AF26" s="512">
        <f t="shared" si="4"/>
        <v>6797.26</v>
      </c>
      <c r="AG26" s="512">
        <f t="shared" si="4"/>
        <v>4641487.9</v>
      </c>
      <c r="AH26" s="512">
        <f t="shared" si="4"/>
        <v>6797.26</v>
      </c>
      <c r="AI26" s="512">
        <f t="shared" si="4"/>
        <v>4641487.9</v>
      </c>
    </row>
    <row r="27" spans="1:35">
      <c r="A27" s="49"/>
      <c r="C27" s="482"/>
      <c r="D27" s="501"/>
      <c r="E27" s="502"/>
      <c r="F27" s="503"/>
      <c r="G27" s="523"/>
      <c r="H27" s="503"/>
      <c r="I27" s="527"/>
      <c r="AA27" s="49"/>
      <c r="AC27" s="482"/>
      <c r="AD27" s="501"/>
      <c r="AE27" s="502"/>
      <c r="AF27" s="503"/>
      <c r="AG27" s="523"/>
      <c r="AH27" s="503"/>
      <c r="AI27" s="527"/>
    </row>
    <row r="28" spans="1:35">
      <c r="A28" s="49"/>
      <c r="C28" s="510"/>
      <c r="D28" s="511"/>
      <c r="E28" s="512"/>
      <c r="F28" s="511"/>
      <c r="G28" s="512"/>
      <c r="H28" s="512"/>
      <c r="I28" s="512"/>
      <c r="AA28" s="49"/>
      <c r="AC28" s="510" t="s">
        <v>163</v>
      </c>
      <c r="AD28" s="511">
        <f t="shared" ref="AD28:AI28" si="5">+AD19+AD26</f>
        <v>7089.31</v>
      </c>
      <c r="AE28" s="512">
        <f t="shared" si="5"/>
        <v>4472564.45</v>
      </c>
      <c r="AF28" s="511">
        <f t="shared" si="5"/>
        <v>27850.765</v>
      </c>
      <c r="AG28" s="512">
        <f t="shared" si="5"/>
        <v>19877817.13</v>
      </c>
      <c r="AH28" s="512">
        <f t="shared" si="5"/>
        <v>34940.075</v>
      </c>
      <c r="AI28" s="512">
        <f t="shared" si="5"/>
        <v>24350381.58</v>
      </c>
    </row>
    <row r="29" spans="1:35">
      <c r="A29" s="49"/>
      <c r="C29" s="482"/>
      <c r="D29" s="503"/>
      <c r="E29" s="508"/>
      <c r="F29" s="503"/>
      <c r="G29" s="530"/>
      <c r="H29" s="503"/>
      <c r="I29" s="527"/>
      <c r="AA29" s="49"/>
      <c r="AC29" s="482" t="s">
        <v>60</v>
      </c>
      <c r="AD29" s="503">
        <v>3169.71</v>
      </c>
      <c r="AE29" s="508">
        <f>613418.98-26506</f>
        <v>586912.98</v>
      </c>
      <c r="AF29" s="503">
        <v>183.82</v>
      </c>
      <c r="AG29" s="530">
        <v>27573</v>
      </c>
      <c r="AH29" s="503">
        <f t="shared" ref="AH29:AI31" si="6">+AD29+AF29</f>
        <v>3353.53</v>
      </c>
      <c r="AI29" s="527">
        <f t="shared" si="6"/>
        <v>614485.98</v>
      </c>
    </row>
    <row r="30" spans="1:35">
      <c r="A30" s="49"/>
      <c r="C30" s="482"/>
      <c r="D30" s="503"/>
      <c r="E30" s="502"/>
      <c r="F30" s="503"/>
      <c r="G30" s="523"/>
      <c r="H30" s="503"/>
      <c r="I30" s="527"/>
      <c r="J30" s="48"/>
      <c r="AA30" s="49"/>
      <c r="AC30" s="482" t="s">
        <v>59</v>
      </c>
      <c r="AD30" s="503">
        <v>41.45</v>
      </c>
      <c r="AE30" s="502">
        <v>10362.5</v>
      </c>
      <c r="AF30" s="503">
        <v>8.56</v>
      </c>
      <c r="AG30" s="523">
        <v>2140</v>
      </c>
      <c r="AH30" s="503">
        <f t="shared" si="6"/>
        <v>50.01</v>
      </c>
      <c r="AI30" s="527">
        <f t="shared" si="6"/>
        <v>12502.5</v>
      </c>
    </row>
    <row r="31" spans="1:35">
      <c r="A31" s="49"/>
      <c r="C31" s="482"/>
      <c r="D31" s="503"/>
      <c r="E31" s="502"/>
      <c r="F31" s="503"/>
      <c r="G31" s="523"/>
      <c r="H31" s="503"/>
      <c r="I31" s="527"/>
      <c r="AA31" s="49"/>
      <c r="AC31" s="482" t="s">
        <v>62</v>
      </c>
      <c r="AD31" s="503">
        <v>0</v>
      </c>
      <c r="AE31" s="502">
        <v>7500</v>
      </c>
      <c r="AF31" s="503">
        <v>0</v>
      </c>
      <c r="AG31" s="522">
        <v>0</v>
      </c>
      <c r="AH31" s="503">
        <f t="shared" si="6"/>
        <v>0</v>
      </c>
      <c r="AI31" s="527">
        <f t="shared" si="6"/>
        <v>7500</v>
      </c>
    </row>
    <row r="32" spans="1:35">
      <c r="A32" s="49"/>
      <c r="C32" s="10"/>
      <c r="D32" s="513"/>
      <c r="E32" s="513"/>
      <c r="F32" s="514"/>
      <c r="G32" s="514"/>
      <c r="H32" s="514"/>
      <c r="I32" s="514"/>
      <c r="AA32" s="49"/>
      <c r="AC32" s="10"/>
      <c r="AD32" s="513"/>
      <c r="AE32" s="513"/>
      <c r="AF32" s="514"/>
      <c r="AG32" s="514"/>
      <c r="AH32" s="514"/>
      <c r="AI32" s="514"/>
    </row>
    <row r="33" spans="1:35">
      <c r="A33" s="49"/>
      <c r="C33" s="515"/>
      <c r="D33" s="516"/>
      <c r="E33" s="517"/>
      <c r="F33" s="518"/>
      <c r="G33" s="524"/>
      <c r="H33" s="518"/>
      <c r="I33" s="524"/>
      <c r="AA33" s="49"/>
      <c r="AC33" s="515"/>
      <c r="AD33" s="516">
        <f>+SUM(AD28:AD32)</f>
        <v>10300.47</v>
      </c>
      <c r="AE33" s="517">
        <f>SUM(AE28:AE32)</f>
        <v>5077339.93</v>
      </c>
      <c r="AF33" s="518">
        <f>+SUM(AF28:AF32)</f>
        <v>28043.145</v>
      </c>
      <c r="AG33" s="524">
        <f>SUM(AG28:AG32)</f>
        <v>19907530.13</v>
      </c>
      <c r="AH33" s="518">
        <f>+SUM(AH28:AH32)</f>
        <v>38343.615</v>
      </c>
      <c r="AI33" s="524">
        <f>SUM(AI28:AI32)</f>
        <v>24984870.06</v>
      </c>
    </row>
    <row r="34" spans="1:35">
      <c r="A34" s="49"/>
      <c r="C34" s="10"/>
      <c r="D34" s="519"/>
      <c r="E34" s="520"/>
      <c r="F34" s="521"/>
      <c r="G34" s="532"/>
      <c r="H34" s="532"/>
      <c r="I34" s="532"/>
      <c r="AA34" s="49"/>
      <c r="AC34" s="10" t="s">
        <v>68</v>
      </c>
      <c r="AD34" s="519"/>
      <c r="AE34" s="520">
        <v>0</v>
      </c>
      <c r="AF34" s="521"/>
      <c r="AG34" s="532">
        <v>0</v>
      </c>
      <c r="AH34" s="532"/>
      <c r="AI34" s="532">
        <v>0</v>
      </c>
    </row>
    <row r="35" spans="1:35">
      <c r="A35" s="49"/>
      <c r="C35" s="515"/>
      <c r="D35" s="519"/>
      <c r="E35" s="517"/>
      <c r="F35" s="521"/>
      <c r="G35" s="524"/>
      <c r="H35" s="524"/>
      <c r="I35" s="524"/>
      <c r="AA35" s="49"/>
      <c r="AC35" s="515"/>
      <c r="AD35" s="519"/>
      <c r="AE35" s="517">
        <f>+AE33-AE34</f>
        <v>5077339.93</v>
      </c>
      <c r="AF35" s="521"/>
      <c r="AG35" s="524">
        <f>+AG33-AG34</f>
        <v>19907530.13</v>
      </c>
      <c r="AH35" s="524"/>
      <c r="AI35" s="524">
        <f>+AI33-AI34</f>
        <v>24984870.06</v>
      </c>
    </row>
    <row r="36" spans="1:35">
      <c r="A36" s="49"/>
      <c r="C36" s="482"/>
      <c r="D36" s="501"/>
      <c r="E36" s="502"/>
      <c r="F36" s="503"/>
      <c r="G36" s="523"/>
      <c r="H36" s="503"/>
      <c r="I36" s="532"/>
      <c r="AA36" s="49"/>
      <c r="AC36" s="482" t="s">
        <v>164</v>
      </c>
      <c r="AD36" s="501"/>
      <c r="AE36" s="502">
        <v>0</v>
      </c>
      <c r="AF36" s="503"/>
      <c r="AG36" s="523">
        <f>-AE36/1.05</f>
        <v>0</v>
      </c>
      <c r="AH36" s="503"/>
      <c r="AI36" s="532">
        <f>+AE36+AG36</f>
        <v>0</v>
      </c>
    </row>
    <row r="37" spans="1:35">
      <c r="A37" s="49"/>
      <c r="C37" s="510"/>
      <c r="D37" s="511"/>
      <c r="E37" s="512"/>
      <c r="F37" s="522"/>
      <c r="G37" s="522"/>
      <c r="H37" s="522"/>
      <c r="I37" s="524"/>
      <c r="AA37" s="49"/>
      <c r="AC37" s="510" t="s">
        <v>71</v>
      </c>
      <c r="AD37" s="511"/>
      <c r="AE37" s="512">
        <f>+AE35+AE36</f>
        <v>5077339.93</v>
      </c>
      <c r="AF37" s="522"/>
      <c r="AG37" s="522">
        <f>+AG35+AG36</f>
        <v>19907530.13</v>
      </c>
      <c r="AH37" s="522"/>
      <c r="AI37" s="524">
        <f>+AE37+AG37</f>
        <v>24984870.06</v>
      </c>
    </row>
    <row r="38" spans="1:35">
      <c r="A38" s="49"/>
      <c r="C38" s="482"/>
      <c r="D38" s="501"/>
      <c r="E38" s="502"/>
      <c r="F38" s="523"/>
      <c r="G38" s="523"/>
      <c r="H38" s="523"/>
      <c r="I38" s="532"/>
      <c r="AA38" s="49"/>
      <c r="AC38" s="482" t="s">
        <v>165</v>
      </c>
      <c r="AD38" s="501"/>
      <c r="AE38" s="502"/>
      <c r="AF38" s="523"/>
      <c r="AG38" s="523">
        <f>+(999958.44+116037.2-3277.12-204904.28-95090.69)*2</f>
        <v>1625447.1</v>
      </c>
      <c r="AH38" s="523"/>
      <c r="AI38" s="532">
        <f>+AE38+AG38</f>
        <v>1625447.1</v>
      </c>
    </row>
    <row r="39" spans="1:35">
      <c r="A39" s="49"/>
      <c r="C39" s="515"/>
      <c r="D39" s="516"/>
      <c r="E39" s="517"/>
      <c r="F39" s="524"/>
      <c r="G39" s="524"/>
      <c r="H39" s="524"/>
      <c r="I39" s="524"/>
      <c r="AA39" s="49"/>
      <c r="AC39" s="515" t="s">
        <v>73</v>
      </c>
      <c r="AD39" s="516"/>
      <c r="AE39" s="517">
        <f t="shared" ref="AE39:AG39" si="7">+AE37+AE38</f>
        <v>5077339.93</v>
      </c>
      <c r="AF39" s="524"/>
      <c r="AG39" s="524">
        <f t="shared" si="7"/>
        <v>21532977.23</v>
      </c>
      <c r="AH39" s="524"/>
      <c r="AI39" s="524">
        <f>+AI37+AI38</f>
        <v>26610317.16</v>
      </c>
    </row>
    <row r="40" spans="1:27">
      <c r="A40" s="49"/>
      <c r="AA40" s="49"/>
    </row>
    <row r="41" spans="1:27">
      <c r="A41" s="49"/>
      <c r="AA41" s="49"/>
    </row>
    <row r="42" s="49" customFormat="1" spans="28:28">
      <c r="AB42" s="451" t="s">
        <v>166</v>
      </c>
    </row>
    <row r="43" spans="1:29">
      <c r="A43" s="49"/>
      <c r="B43" s="550"/>
      <c r="AA43" s="49"/>
      <c r="AB43" s="550" t="s">
        <v>167</v>
      </c>
      <c r="AC43" s="563"/>
    </row>
    <row r="44" spans="1:29">
      <c r="A44" s="49"/>
      <c r="AA44" s="49"/>
      <c r="AB44" s="554" t="s">
        <v>168</v>
      </c>
      <c r="AC44" s="554" t="s">
        <v>169</v>
      </c>
    </row>
    <row r="45" spans="1:34">
      <c r="A45" s="49"/>
      <c r="C45" s="550"/>
      <c r="D45" s="551"/>
      <c r="G45" s="552"/>
      <c r="H45" s="553"/>
      <c r="AA45" s="49"/>
      <c r="AB45" s="555" t="s">
        <v>170</v>
      </c>
      <c r="AC45" s="556">
        <v>2791.09</v>
      </c>
      <c r="AE45" s="552" t="s">
        <v>171</v>
      </c>
      <c r="AF45" s="552" t="s">
        <v>172</v>
      </c>
      <c r="AH45" s="35" t="s">
        <v>173</v>
      </c>
    </row>
    <row r="46" spans="1:32">
      <c r="A46" s="49"/>
      <c r="C46" s="554"/>
      <c r="D46" s="554"/>
      <c r="G46" s="554"/>
      <c r="H46" s="554"/>
      <c r="AA46" s="49"/>
      <c r="AB46" s="555" t="s">
        <v>174</v>
      </c>
      <c r="AC46" s="556">
        <v>709.37</v>
      </c>
      <c r="AE46" s="554" t="s">
        <v>168</v>
      </c>
      <c r="AF46" s="554" t="s">
        <v>175</v>
      </c>
    </row>
    <row r="47" spans="1:37">
      <c r="A47" s="49"/>
      <c r="C47" s="555"/>
      <c r="D47" s="556"/>
      <c r="G47" s="553"/>
      <c r="H47" s="557"/>
      <c r="AA47" s="49"/>
      <c r="AB47" s="555" t="s">
        <v>149</v>
      </c>
      <c r="AC47" s="556">
        <v>4920.73</v>
      </c>
      <c r="AE47" s="553" t="s">
        <v>176</v>
      </c>
      <c r="AF47" s="553">
        <v>1569.346875</v>
      </c>
      <c r="AH47" s="35" t="s">
        <v>168</v>
      </c>
      <c r="AI47" s="35" t="s">
        <v>177</v>
      </c>
      <c r="AJ47" s="35" t="s">
        <v>139</v>
      </c>
      <c r="AK47" s="35" t="s">
        <v>178</v>
      </c>
    </row>
    <row r="48" spans="1:32">
      <c r="A48" s="49"/>
      <c r="C48" s="555"/>
      <c r="D48" s="556"/>
      <c r="G48" s="553"/>
      <c r="H48" s="557"/>
      <c r="AA48" s="49"/>
      <c r="AB48" s="555" t="s">
        <v>156</v>
      </c>
      <c r="AC48" s="556">
        <v>1090</v>
      </c>
      <c r="AE48" s="553" t="s">
        <v>179</v>
      </c>
      <c r="AF48" s="553">
        <v>5026</v>
      </c>
    </row>
    <row r="49" spans="1:32">
      <c r="A49" s="49"/>
      <c r="C49" s="555"/>
      <c r="D49" s="556"/>
      <c r="G49" s="553"/>
      <c r="H49" s="557"/>
      <c r="AA49" s="49"/>
      <c r="AB49" s="555" t="s">
        <v>145</v>
      </c>
      <c r="AC49" s="556">
        <v>3215</v>
      </c>
      <c r="AE49" s="553" t="s">
        <v>180</v>
      </c>
      <c r="AF49" s="553">
        <v>17928.1</v>
      </c>
    </row>
    <row r="50" spans="1:32">
      <c r="A50" s="49"/>
      <c r="C50" s="555"/>
      <c r="D50" s="556"/>
      <c r="G50" s="553"/>
      <c r="H50" s="557"/>
      <c r="AA50" s="49"/>
      <c r="AB50" s="555" t="s">
        <v>148</v>
      </c>
      <c r="AC50" s="556">
        <v>153</v>
      </c>
      <c r="AE50" s="553" t="s">
        <v>58</v>
      </c>
      <c r="AF50" s="553">
        <f>SUM(AF47:AF49)</f>
        <v>24523.446875</v>
      </c>
    </row>
    <row r="51" spans="1:29">
      <c r="A51" s="49"/>
      <c r="C51" s="555"/>
      <c r="D51" s="556"/>
      <c r="AA51" s="49"/>
      <c r="AB51" s="555" t="s">
        <v>181</v>
      </c>
      <c r="AC51" s="556">
        <v>450</v>
      </c>
    </row>
    <row r="52" spans="1:29">
      <c r="A52" s="49"/>
      <c r="C52" s="555"/>
      <c r="D52" s="556"/>
      <c r="AA52" s="49"/>
      <c r="AB52" s="555" t="s">
        <v>182</v>
      </c>
      <c r="AC52" s="556">
        <v>3632</v>
      </c>
    </row>
    <row r="53" spans="1:29">
      <c r="A53" s="49"/>
      <c r="C53" s="555"/>
      <c r="D53" s="556"/>
      <c r="AA53" s="49"/>
      <c r="AB53" s="555" t="s">
        <v>125</v>
      </c>
      <c r="AC53" s="556">
        <v>0</v>
      </c>
    </row>
    <row r="54" spans="1:29">
      <c r="A54" s="49"/>
      <c r="C54" s="555"/>
      <c r="D54" s="556"/>
      <c r="AA54" s="49"/>
      <c r="AB54" s="555" t="s">
        <v>126</v>
      </c>
      <c r="AC54" s="556">
        <v>60</v>
      </c>
    </row>
    <row r="55" spans="1:29">
      <c r="A55" s="49"/>
      <c r="C55" s="555"/>
      <c r="D55" s="556"/>
      <c r="AA55" s="49"/>
      <c r="AB55" s="555" t="s">
        <v>50</v>
      </c>
      <c r="AC55" s="556">
        <v>22447.45</v>
      </c>
    </row>
    <row r="56" spans="1:29">
      <c r="A56" s="49"/>
      <c r="C56" s="555"/>
      <c r="D56" s="556"/>
      <c r="AA56" s="49"/>
      <c r="AB56" s="555" t="s">
        <v>183</v>
      </c>
      <c r="AC56" s="556">
        <v>3100</v>
      </c>
    </row>
    <row r="57" spans="1:29">
      <c r="A57" s="49"/>
      <c r="C57" s="555"/>
      <c r="D57" s="556"/>
      <c r="AA57" s="49"/>
      <c r="AB57" s="555" t="s">
        <v>128</v>
      </c>
      <c r="AC57" s="556">
        <v>0</v>
      </c>
    </row>
    <row r="58" spans="1:29">
      <c r="A58" s="49"/>
      <c r="C58" s="555"/>
      <c r="D58" s="556"/>
      <c r="AA58" s="49"/>
      <c r="AB58" s="555" t="s">
        <v>184</v>
      </c>
      <c r="AC58" s="556">
        <v>5501.40758701734</v>
      </c>
    </row>
    <row r="59" spans="1:29">
      <c r="A59" s="49"/>
      <c r="C59" s="555"/>
      <c r="D59" s="556"/>
      <c r="AA59" s="49"/>
      <c r="AB59" s="555" t="s">
        <v>52</v>
      </c>
      <c r="AC59" s="556">
        <v>0</v>
      </c>
    </row>
    <row r="60" spans="1:29">
      <c r="A60" s="49"/>
      <c r="C60" s="555"/>
      <c r="D60" s="556"/>
      <c r="AA60" s="49"/>
      <c r="AB60" s="558" t="s">
        <v>58</v>
      </c>
      <c r="AC60" s="559">
        <f>SUM(AC45:AC59)</f>
        <v>48070.0475870173</v>
      </c>
    </row>
    <row r="61" spans="1:27">
      <c r="A61" s="49"/>
      <c r="C61" s="555"/>
      <c r="D61" s="556"/>
      <c r="AA61" s="49"/>
    </row>
    <row r="62" spans="1:27">
      <c r="A62" s="49"/>
      <c r="C62" s="558"/>
      <c r="D62" s="559"/>
      <c r="E62" s="560"/>
      <c r="G62" s="560"/>
      <c r="AA62" s="49"/>
    </row>
    <row r="63" s="49" customFormat="1"/>
    <row r="64" spans="1:27">
      <c r="A64" s="49"/>
      <c r="AA64" s="49"/>
    </row>
    <row r="65" ht="24" spans="1:50">
      <c r="A65" s="49"/>
      <c r="C65" s="564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90"/>
      <c r="P65" s="590"/>
      <c r="Q65" s="590"/>
      <c r="R65" s="590"/>
      <c r="S65" s="565"/>
      <c r="T65" s="565"/>
      <c r="U65" s="565"/>
      <c r="V65" s="565"/>
      <c r="W65" s="565"/>
      <c r="X65" s="590"/>
      <c r="Y65" s="565"/>
      <c r="AA65" s="49"/>
      <c r="AB65" s="567" t="s">
        <v>185</v>
      </c>
      <c r="AC65" s="567" t="s">
        <v>186</v>
      </c>
      <c r="AD65" s="567" t="s">
        <v>187</v>
      </c>
      <c r="AE65" s="567" t="s">
        <v>188</v>
      </c>
      <c r="AF65" s="567" t="s">
        <v>189</v>
      </c>
      <c r="AG65" s="567" t="s">
        <v>190</v>
      </c>
      <c r="AH65" s="567" t="s">
        <v>191</v>
      </c>
      <c r="AI65" s="567" t="s">
        <v>192</v>
      </c>
      <c r="AJ65" s="567" t="s">
        <v>193</v>
      </c>
      <c r="AK65" s="567" t="s">
        <v>194</v>
      </c>
      <c r="AL65" s="567" t="s">
        <v>195</v>
      </c>
      <c r="AM65" s="567" t="s">
        <v>196</v>
      </c>
      <c r="AN65" s="591" t="s">
        <v>197</v>
      </c>
      <c r="AO65" s="592" t="s">
        <v>42</v>
      </c>
      <c r="AP65" s="591" t="s">
        <v>198</v>
      </c>
      <c r="AQ65" s="591" t="s">
        <v>199</v>
      </c>
      <c r="AR65" s="615" t="s">
        <v>200</v>
      </c>
      <c r="AS65" s="615" t="s">
        <v>201</v>
      </c>
      <c r="AT65" s="615" t="s">
        <v>202</v>
      </c>
      <c r="AU65" s="615" t="s">
        <v>203</v>
      </c>
      <c r="AV65" s="615" t="s">
        <v>204</v>
      </c>
      <c r="AW65" s="591" t="s">
        <v>205</v>
      </c>
      <c r="AX65" s="615" t="s">
        <v>206</v>
      </c>
    </row>
    <row r="66" ht="14.5" spans="1:50">
      <c r="A66" s="49"/>
      <c r="C66" s="566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90"/>
      <c r="P66" s="590"/>
      <c r="Q66" s="590"/>
      <c r="R66" s="590"/>
      <c r="S66" s="565"/>
      <c r="T66" s="565"/>
      <c r="U66" s="565"/>
      <c r="V66" s="565"/>
      <c r="W66" s="565"/>
      <c r="X66" s="590"/>
      <c r="Y66" s="565"/>
      <c r="AA66" s="49"/>
      <c r="AB66" s="568">
        <v>1</v>
      </c>
      <c r="AC66" s="569" t="s">
        <v>207</v>
      </c>
      <c r="AD66" s="569" t="s">
        <v>208</v>
      </c>
      <c r="AE66" s="570" t="s">
        <v>209</v>
      </c>
      <c r="AF66" s="570" t="s">
        <v>210</v>
      </c>
      <c r="AG66" s="569" t="s">
        <v>211</v>
      </c>
      <c r="AH66" s="569" t="s">
        <v>212</v>
      </c>
      <c r="AI66" s="569" t="s">
        <v>213</v>
      </c>
      <c r="AJ66" s="570">
        <v>2021</v>
      </c>
      <c r="AK66" s="593">
        <v>44317</v>
      </c>
      <c r="AL66" s="570" t="s">
        <v>214</v>
      </c>
      <c r="AM66" s="594">
        <v>44302</v>
      </c>
      <c r="AN66" s="595">
        <v>6430177.42</v>
      </c>
      <c r="AO66" s="596"/>
      <c r="AP66" s="616">
        <v>6430177.42</v>
      </c>
      <c r="AQ66" s="616">
        <f>(AO66*AU66)-AP66-10</f>
        <v>-6430187.42</v>
      </c>
      <c r="AR66" s="594">
        <v>44331</v>
      </c>
      <c r="AS66" s="594">
        <v>45397</v>
      </c>
      <c r="AT66" s="570">
        <v>36</v>
      </c>
      <c r="AU66" s="570">
        <v>36</v>
      </c>
      <c r="AV66" s="617">
        <f>+AT66-AU66</f>
        <v>0</v>
      </c>
      <c r="AW66" s="618">
        <v>0</v>
      </c>
      <c r="AX66" s="598" t="s">
        <v>215</v>
      </c>
    </row>
    <row r="67" ht="24" spans="1:50">
      <c r="A67" s="49"/>
      <c r="C67" s="567"/>
      <c r="D67" s="567"/>
      <c r="E67" s="567"/>
      <c r="F67" s="567"/>
      <c r="G67" s="567"/>
      <c r="H67" s="567"/>
      <c r="I67" s="567"/>
      <c r="J67" s="567"/>
      <c r="K67" s="567"/>
      <c r="L67" s="567"/>
      <c r="M67" s="567"/>
      <c r="N67" s="567"/>
      <c r="O67" s="591"/>
      <c r="P67" s="592"/>
      <c r="Q67" s="591"/>
      <c r="R67" s="591"/>
      <c r="S67" s="615"/>
      <c r="T67" s="615"/>
      <c r="U67" s="615"/>
      <c r="V67" s="615"/>
      <c r="W67" s="615"/>
      <c r="X67" s="591"/>
      <c r="Y67" s="615"/>
      <c r="AA67" s="636"/>
      <c r="AB67" s="568">
        <f t="shared" ref="AB67:AB80" si="8">+AB66+1</f>
        <v>2</v>
      </c>
      <c r="AC67" s="569" t="s">
        <v>207</v>
      </c>
      <c r="AD67" s="569" t="s">
        <v>208</v>
      </c>
      <c r="AE67" s="570" t="s">
        <v>209</v>
      </c>
      <c r="AF67" s="570" t="s">
        <v>216</v>
      </c>
      <c r="AG67" s="569" t="s">
        <v>217</v>
      </c>
      <c r="AH67" s="569" t="s">
        <v>218</v>
      </c>
      <c r="AI67" s="569" t="s">
        <v>218</v>
      </c>
      <c r="AJ67" s="570">
        <v>2021</v>
      </c>
      <c r="AK67" s="593">
        <v>44013</v>
      </c>
      <c r="AL67" s="570" t="s">
        <v>219</v>
      </c>
      <c r="AM67" s="594">
        <v>44021</v>
      </c>
      <c r="AN67" s="595">
        <v>4999219</v>
      </c>
      <c r="AO67" s="596"/>
      <c r="AP67" s="616">
        <f>AN67-AW67</f>
        <v>4999219</v>
      </c>
      <c r="AQ67" s="616">
        <f>(AO67*AU67)-AP67</f>
        <v>-4999219</v>
      </c>
      <c r="AR67" s="594">
        <v>44065</v>
      </c>
      <c r="AS67" s="594">
        <v>45434</v>
      </c>
      <c r="AT67" s="570">
        <v>46</v>
      </c>
      <c r="AU67" s="570">
        <v>46</v>
      </c>
      <c r="AV67" s="617">
        <f t="shared" ref="AV67:AV81" si="9">+AT67-AU67</f>
        <v>0</v>
      </c>
      <c r="AW67" s="618">
        <v>0</v>
      </c>
      <c r="AX67" s="598" t="s">
        <v>215</v>
      </c>
    </row>
    <row r="68" ht="24" spans="1:50">
      <c r="A68" s="49"/>
      <c r="C68" s="568"/>
      <c r="D68" s="569"/>
      <c r="E68" s="569"/>
      <c r="F68" s="570"/>
      <c r="G68" s="570"/>
      <c r="H68" s="569"/>
      <c r="I68" s="569"/>
      <c r="J68" s="569"/>
      <c r="K68" s="570"/>
      <c r="L68" s="593"/>
      <c r="M68" s="570"/>
      <c r="N68" s="594"/>
      <c r="O68" s="595"/>
      <c r="P68" s="596"/>
      <c r="Q68" s="616"/>
      <c r="R68" s="616"/>
      <c r="S68" s="594"/>
      <c r="T68" s="594"/>
      <c r="U68" s="570"/>
      <c r="V68" s="570"/>
      <c r="W68" s="617"/>
      <c r="X68" s="618"/>
      <c r="Y68" s="598"/>
      <c r="AA68" s="49"/>
      <c r="AB68" s="568">
        <f t="shared" si="8"/>
        <v>3</v>
      </c>
      <c r="AC68" s="569" t="s">
        <v>207</v>
      </c>
      <c r="AD68" s="569" t="s">
        <v>220</v>
      </c>
      <c r="AE68" s="570" t="s">
        <v>209</v>
      </c>
      <c r="AF68" s="570" t="s">
        <v>221</v>
      </c>
      <c r="AG68" s="569" t="s">
        <v>220</v>
      </c>
      <c r="AH68" s="569" t="s">
        <v>218</v>
      </c>
      <c r="AI68" s="569" t="s">
        <v>218</v>
      </c>
      <c r="AJ68" s="570" t="s">
        <v>208</v>
      </c>
      <c r="AK68" s="593" t="s">
        <v>208</v>
      </c>
      <c r="AL68" s="570" t="s">
        <v>219</v>
      </c>
      <c r="AM68" s="594">
        <v>44025</v>
      </c>
      <c r="AN68" s="595">
        <v>5335000</v>
      </c>
      <c r="AO68" s="596">
        <f>170273*0</f>
        <v>0</v>
      </c>
      <c r="AP68" s="616">
        <f t="shared" ref="AP68:AP81" si="10">AN68-AW68</f>
        <v>5335000</v>
      </c>
      <c r="AQ68" s="616">
        <f>((AO68*AU68)-AP68)+(41124*11)+(34270)</f>
        <v>-4848366</v>
      </c>
      <c r="AR68" s="594">
        <v>44051</v>
      </c>
      <c r="AS68" s="594">
        <v>45481</v>
      </c>
      <c r="AT68" s="619">
        <f>48-12</f>
        <v>36</v>
      </c>
      <c r="AU68" s="570">
        <v>36</v>
      </c>
      <c r="AV68" s="617">
        <f t="shared" si="9"/>
        <v>0</v>
      </c>
      <c r="AW68" s="618">
        <v>0</v>
      </c>
      <c r="AX68" s="598" t="s">
        <v>215</v>
      </c>
    </row>
    <row r="69" ht="24" spans="1:53">
      <c r="A69" s="49"/>
      <c r="C69" s="568"/>
      <c r="D69" s="569"/>
      <c r="E69" s="569"/>
      <c r="F69" s="570"/>
      <c r="G69" s="570"/>
      <c r="H69" s="569"/>
      <c r="I69" s="569"/>
      <c r="J69" s="569"/>
      <c r="K69" s="570"/>
      <c r="L69" s="593"/>
      <c r="M69" s="570"/>
      <c r="N69" s="594"/>
      <c r="O69" s="595"/>
      <c r="P69" s="596"/>
      <c r="Q69" s="616"/>
      <c r="R69" s="616"/>
      <c r="S69" s="594"/>
      <c r="T69" s="594"/>
      <c r="U69" s="570"/>
      <c r="V69" s="570"/>
      <c r="W69" s="617"/>
      <c r="X69" s="618"/>
      <c r="Y69" s="598"/>
      <c r="AA69" s="49"/>
      <c r="AB69" s="568">
        <f t="shared" si="8"/>
        <v>4</v>
      </c>
      <c r="AC69" s="569" t="s">
        <v>222</v>
      </c>
      <c r="AD69" s="569"/>
      <c r="AE69" s="570"/>
      <c r="AF69" s="570" t="s">
        <v>223</v>
      </c>
      <c r="AG69" s="569" t="s">
        <v>224</v>
      </c>
      <c r="AH69" s="569"/>
      <c r="AI69" s="569"/>
      <c r="AJ69" s="570">
        <v>2020</v>
      </c>
      <c r="AK69" s="593">
        <v>44013</v>
      </c>
      <c r="AL69" s="570" t="s">
        <v>225</v>
      </c>
      <c r="AM69" s="594">
        <v>44041</v>
      </c>
      <c r="AN69" s="595">
        <v>3493560</v>
      </c>
      <c r="AO69" s="596"/>
      <c r="AP69" s="616">
        <f t="shared" si="10"/>
        <v>3493560</v>
      </c>
      <c r="AQ69" s="616">
        <f>(AO69*AU69)-AP69</f>
        <v>-3493560</v>
      </c>
      <c r="AR69" s="594">
        <v>44063</v>
      </c>
      <c r="AS69" s="594">
        <v>45463</v>
      </c>
      <c r="AT69" s="570">
        <v>47</v>
      </c>
      <c r="AU69" s="570">
        <v>47</v>
      </c>
      <c r="AV69" s="617">
        <f t="shared" si="9"/>
        <v>0</v>
      </c>
      <c r="AW69" s="618">
        <v>0</v>
      </c>
      <c r="AX69" s="598" t="s">
        <v>215</v>
      </c>
      <c r="BA69" s="35" t="s">
        <v>226</v>
      </c>
    </row>
    <row r="70" ht="24" spans="1:50">
      <c r="A70" s="49"/>
      <c r="C70" s="568"/>
      <c r="D70" s="569"/>
      <c r="E70" s="569"/>
      <c r="F70" s="570"/>
      <c r="G70" s="570"/>
      <c r="H70" s="569"/>
      <c r="I70" s="569"/>
      <c r="J70" s="569"/>
      <c r="K70" s="570"/>
      <c r="L70" s="593"/>
      <c r="M70" s="570"/>
      <c r="N70" s="594"/>
      <c r="O70" s="595"/>
      <c r="P70" s="596"/>
      <c r="Q70" s="616"/>
      <c r="R70" s="616"/>
      <c r="S70" s="594"/>
      <c r="T70" s="594"/>
      <c r="U70" s="619"/>
      <c r="V70" s="570"/>
      <c r="W70" s="617"/>
      <c r="X70" s="618"/>
      <c r="Y70" s="598"/>
      <c r="AA70" s="49"/>
      <c r="AB70" s="568">
        <f t="shared" si="8"/>
        <v>5</v>
      </c>
      <c r="AC70" s="569" t="s">
        <v>222</v>
      </c>
      <c r="AD70" s="569"/>
      <c r="AE70" s="570"/>
      <c r="AF70" s="570" t="s">
        <v>227</v>
      </c>
      <c r="AG70" s="569" t="s">
        <v>224</v>
      </c>
      <c r="AH70" s="569"/>
      <c r="AI70" s="569"/>
      <c r="AJ70" s="570">
        <v>2020</v>
      </c>
      <c r="AK70" s="593">
        <v>44013</v>
      </c>
      <c r="AL70" s="570" t="s">
        <v>225</v>
      </c>
      <c r="AM70" s="594">
        <v>44041</v>
      </c>
      <c r="AN70" s="595">
        <v>3493560</v>
      </c>
      <c r="AO70" s="596"/>
      <c r="AP70" s="616">
        <f t="shared" si="10"/>
        <v>3493560</v>
      </c>
      <c r="AQ70" s="616">
        <f t="shared" ref="AQ70:AQ77" si="11">(AO70*AU70)-AP70</f>
        <v>-3493560</v>
      </c>
      <c r="AR70" s="594">
        <v>44063</v>
      </c>
      <c r="AS70" s="594">
        <v>45463</v>
      </c>
      <c r="AT70" s="570">
        <v>47</v>
      </c>
      <c r="AU70" s="570">
        <v>47</v>
      </c>
      <c r="AV70" s="617">
        <f t="shared" si="9"/>
        <v>0</v>
      </c>
      <c r="AW70" s="618">
        <v>0</v>
      </c>
      <c r="AX70" s="598" t="s">
        <v>215</v>
      </c>
    </row>
    <row r="71" ht="24" spans="1:50">
      <c r="A71" s="49"/>
      <c r="C71" s="568"/>
      <c r="D71" s="569"/>
      <c r="E71" s="569"/>
      <c r="F71" s="570"/>
      <c r="G71" s="570"/>
      <c r="H71" s="569"/>
      <c r="I71" s="569"/>
      <c r="J71" s="569"/>
      <c r="K71" s="570"/>
      <c r="L71" s="593"/>
      <c r="M71" s="570"/>
      <c r="N71" s="594"/>
      <c r="O71" s="595"/>
      <c r="P71" s="596"/>
      <c r="Q71" s="616"/>
      <c r="R71" s="616"/>
      <c r="S71" s="594"/>
      <c r="T71" s="594"/>
      <c r="U71" s="570"/>
      <c r="V71" s="570"/>
      <c r="W71" s="617"/>
      <c r="X71" s="618"/>
      <c r="Y71" s="598"/>
      <c r="AA71" s="49"/>
      <c r="AB71" s="568">
        <f t="shared" si="8"/>
        <v>6</v>
      </c>
      <c r="AC71" s="571" t="s">
        <v>207</v>
      </c>
      <c r="AD71" s="571" t="s">
        <v>208</v>
      </c>
      <c r="AE71" s="572" t="s">
        <v>209</v>
      </c>
      <c r="AF71" s="572" t="s">
        <v>228</v>
      </c>
      <c r="AG71" s="571" t="s">
        <v>229</v>
      </c>
      <c r="AH71" s="571" t="s">
        <v>218</v>
      </c>
      <c r="AI71" s="571" t="s">
        <v>218</v>
      </c>
      <c r="AJ71" s="572">
        <v>2019</v>
      </c>
      <c r="AK71" s="597">
        <v>43922</v>
      </c>
      <c r="AL71" s="572" t="s">
        <v>219</v>
      </c>
      <c r="AM71" s="598">
        <v>43818</v>
      </c>
      <c r="AN71" s="599">
        <v>33262953</v>
      </c>
      <c r="AO71" s="600">
        <f>887350*0</f>
        <v>0</v>
      </c>
      <c r="AP71" s="620">
        <f t="shared" si="10"/>
        <v>33262953</v>
      </c>
      <c r="AQ71" s="620">
        <f t="shared" si="11"/>
        <v>-33262953</v>
      </c>
      <c r="AR71" s="598">
        <v>43905</v>
      </c>
      <c r="AS71" s="598">
        <v>45519</v>
      </c>
      <c r="AT71" s="572">
        <v>54</v>
      </c>
      <c r="AU71" s="572">
        <v>54</v>
      </c>
      <c r="AV71" s="621">
        <f t="shared" si="9"/>
        <v>0</v>
      </c>
      <c r="AW71" s="622">
        <v>0</v>
      </c>
      <c r="AX71" s="598" t="s">
        <v>215</v>
      </c>
    </row>
    <row r="72" ht="24" spans="1:50">
      <c r="A72" s="49"/>
      <c r="C72" s="568"/>
      <c r="D72" s="569"/>
      <c r="E72" s="569"/>
      <c r="F72" s="570"/>
      <c r="G72" s="570"/>
      <c r="H72" s="569"/>
      <c r="I72" s="569"/>
      <c r="J72" s="569"/>
      <c r="K72" s="570"/>
      <c r="L72" s="593"/>
      <c r="M72" s="570"/>
      <c r="N72" s="594"/>
      <c r="O72" s="595"/>
      <c r="P72" s="596"/>
      <c r="Q72" s="616"/>
      <c r="R72" s="616"/>
      <c r="S72" s="594"/>
      <c r="T72" s="594"/>
      <c r="U72" s="570"/>
      <c r="V72" s="570"/>
      <c r="W72" s="617"/>
      <c r="X72" s="618"/>
      <c r="Y72" s="598"/>
      <c r="AA72" s="49"/>
      <c r="AB72" s="568">
        <f t="shared" si="8"/>
        <v>7</v>
      </c>
      <c r="AC72" s="569" t="s">
        <v>207</v>
      </c>
      <c r="AD72" s="569" t="s">
        <v>208</v>
      </c>
      <c r="AE72" s="570" t="s">
        <v>209</v>
      </c>
      <c r="AF72" s="570" t="s">
        <v>230</v>
      </c>
      <c r="AG72" s="569" t="s">
        <v>229</v>
      </c>
      <c r="AH72" s="569" t="s">
        <v>218</v>
      </c>
      <c r="AI72" s="569" t="s">
        <v>218</v>
      </c>
      <c r="AJ72" s="570">
        <v>2019</v>
      </c>
      <c r="AK72" s="593">
        <v>43922</v>
      </c>
      <c r="AL72" s="570" t="s">
        <v>219</v>
      </c>
      <c r="AM72" s="594">
        <v>43818</v>
      </c>
      <c r="AN72" s="595">
        <v>19315940</v>
      </c>
      <c r="AO72" s="596">
        <v>0</v>
      </c>
      <c r="AP72" s="616">
        <f t="shared" si="10"/>
        <v>19315940</v>
      </c>
      <c r="AQ72" s="616">
        <f>(53*514350+247025)-AP72</f>
        <v>8191635</v>
      </c>
      <c r="AR72" s="594">
        <v>43923</v>
      </c>
      <c r="AS72" s="594">
        <v>45537</v>
      </c>
      <c r="AT72" s="570">
        <v>54</v>
      </c>
      <c r="AU72" s="570">
        <v>54</v>
      </c>
      <c r="AV72" s="617">
        <f t="shared" si="9"/>
        <v>0</v>
      </c>
      <c r="AW72" s="618">
        <v>0</v>
      </c>
      <c r="AX72" s="570" t="s">
        <v>215</v>
      </c>
    </row>
    <row r="73" spans="1:50">
      <c r="A73" s="49"/>
      <c r="C73" s="568"/>
      <c r="D73" s="571"/>
      <c r="E73" s="571"/>
      <c r="F73" s="572"/>
      <c r="G73" s="572"/>
      <c r="H73" s="571"/>
      <c r="I73" s="571"/>
      <c r="J73" s="571"/>
      <c r="K73" s="572"/>
      <c r="L73" s="597"/>
      <c r="M73" s="572"/>
      <c r="N73" s="598"/>
      <c r="O73" s="599"/>
      <c r="P73" s="600"/>
      <c r="Q73" s="620"/>
      <c r="R73" s="620"/>
      <c r="S73" s="598"/>
      <c r="T73" s="598"/>
      <c r="U73" s="572"/>
      <c r="V73" s="572"/>
      <c r="W73" s="621"/>
      <c r="X73" s="622"/>
      <c r="Y73" s="598"/>
      <c r="AA73" s="49"/>
      <c r="AB73" s="568">
        <v>1</v>
      </c>
      <c r="AC73" s="569" t="s">
        <v>207</v>
      </c>
      <c r="AD73" s="569" t="s">
        <v>208</v>
      </c>
      <c r="AE73" s="570" t="s">
        <v>209</v>
      </c>
      <c r="AF73" s="790" t="s">
        <v>231</v>
      </c>
      <c r="AG73" s="569" t="s">
        <v>232</v>
      </c>
      <c r="AH73" s="569" t="s">
        <v>218</v>
      </c>
      <c r="AI73" s="569" t="s">
        <v>218</v>
      </c>
      <c r="AJ73" s="570">
        <v>2022</v>
      </c>
      <c r="AK73" s="593">
        <v>44562</v>
      </c>
      <c r="AL73" s="570" t="s">
        <v>219</v>
      </c>
      <c r="AM73" s="594">
        <v>44586</v>
      </c>
      <c r="AN73" s="595">
        <v>4965840</v>
      </c>
      <c r="AO73" s="596">
        <f>163750*0</f>
        <v>0</v>
      </c>
      <c r="AP73" s="616">
        <f t="shared" si="10"/>
        <v>4965840</v>
      </c>
      <c r="AQ73" s="616">
        <f t="shared" si="11"/>
        <v>-4965840</v>
      </c>
      <c r="AR73" s="594">
        <v>44600</v>
      </c>
      <c r="AS73" s="594">
        <v>45634</v>
      </c>
      <c r="AT73" s="570">
        <v>35</v>
      </c>
      <c r="AU73" s="570">
        <v>35</v>
      </c>
      <c r="AV73" s="617">
        <f t="shared" si="9"/>
        <v>0</v>
      </c>
      <c r="AW73" s="618">
        <v>0</v>
      </c>
      <c r="AX73" s="570"/>
    </row>
    <row r="74" ht="27.5" customHeight="1" spans="1:50">
      <c r="A74" s="49"/>
      <c r="C74" s="568"/>
      <c r="D74" s="569"/>
      <c r="E74" s="569"/>
      <c r="F74" s="570"/>
      <c r="G74" s="570"/>
      <c r="H74" s="569"/>
      <c r="I74" s="569"/>
      <c r="J74" s="569"/>
      <c r="K74" s="570"/>
      <c r="L74" s="593"/>
      <c r="M74" s="570"/>
      <c r="N74" s="594"/>
      <c r="O74" s="595"/>
      <c r="P74" s="596"/>
      <c r="Q74" s="616"/>
      <c r="R74" s="616"/>
      <c r="S74" s="594"/>
      <c r="T74" s="594"/>
      <c r="U74" s="570"/>
      <c r="V74" s="570"/>
      <c r="W74" s="617"/>
      <c r="X74" s="618"/>
      <c r="Y74" s="570"/>
      <c r="AA74" s="49"/>
      <c r="AB74" s="568">
        <f t="shared" si="8"/>
        <v>2</v>
      </c>
      <c r="AC74" s="569" t="s">
        <v>207</v>
      </c>
      <c r="AD74" s="569" t="s">
        <v>208</v>
      </c>
      <c r="AE74" s="570" t="s">
        <v>209</v>
      </c>
      <c r="AF74" s="570" t="s">
        <v>233</v>
      </c>
      <c r="AG74" s="569" t="s">
        <v>211</v>
      </c>
      <c r="AH74" s="569" t="s">
        <v>212</v>
      </c>
      <c r="AI74" s="569" t="s">
        <v>213</v>
      </c>
      <c r="AJ74" s="570">
        <v>2022</v>
      </c>
      <c r="AK74" s="593">
        <v>44805</v>
      </c>
      <c r="AL74" s="570" t="s">
        <v>214</v>
      </c>
      <c r="AM74" s="594">
        <v>44820</v>
      </c>
      <c r="AN74" s="595">
        <f>13576423.21/2</f>
        <v>6788211.605</v>
      </c>
      <c r="AO74" s="596">
        <f>431556/2</f>
        <v>215778</v>
      </c>
      <c r="AP74" s="616">
        <f t="shared" si="10"/>
        <v>5118750.34</v>
      </c>
      <c r="AQ74" s="616">
        <f t="shared" si="11"/>
        <v>923033.659999999</v>
      </c>
      <c r="AR74" s="594">
        <v>44849</v>
      </c>
      <c r="AS74" s="594">
        <v>45915</v>
      </c>
      <c r="AT74" s="570">
        <v>36</v>
      </c>
      <c r="AU74" s="570">
        <v>28</v>
      </c>
      <c r="AV74" s="617">
        <f t="shared" si="9"/>
        <v>8</v>
      </c>
      <c r="AW74" s="618">
        <f>3338922.53/2</f>
        <v>1669461.265</v>
      </c>
      <c r="AX74" s="570"/>
    </row>
    <row r="75" spans="1:50">
      <c r="A75" s="49"/>
      <c r="C75" s="568"/>
      <c r="D75" s="569"/>
      <c r="E75" s="569"/>
      <c r="F75" s="570"/>
      <c r="G75" s="570"/>
      <c r="H75" s="569"/>
      <c r="I75" s="569"/>
      <c r="J75" s="569"/>
      <c r="K75" s="570"/>
      <c r="L75" s="593"/>
      <c r="M75" s="570"/>
      <c r="N75" s="594"/>
      <c r="O75" s="595"/>
      <c r="P75" s="596"/>
      <c r="Q75" s="616"/>
      <c r="R75" s="616"/>
      <c r="S75" s="594"/>
      <c r="T75" s="594"/>
      <c r="U75" s="570"/>
      <c r="V75" s="570"/>
      <c r="W75" s="617"/>
      <c r="X75" s="618"/>
      <c r="Y75" s="570"/>
      <c r="AA75" s="49"/>
      <c r="AB75" s="568">
        <f t="shared" si="8"/>
        <v>3</v>
      </c>
      <c r="AC75" s="569" t="s">
        <v>207</v>
      </c>
      <c r="AD75" s="569" t="s">
        <v>208</v>
      </c>
      <c r="AE75" s="570" t="s">
        <v>209</v>
      </c>
      <c r="AF75" s="570" t="s">
        <v>233</v>
      </c>
      <c r="AG75" s="569" t="s">
        <v>211</v>
      </c>
      <c r="AH75" s="569" t="s">
        <v>212</v>
      </c>
      <c r="AI75" s="569" t="s">
        <v>213</v>
      </c>
      <c r="AJ75" s="570">
        <v>2022</v>
      </c>
      <c r="AK75" s="593">
        <v>44805</v>
      </c>
      <c r="AL75" s="570" t="s">
        <v>214</v>
      </c>
      <c r="AM75" s="594">
        <v>44820</v>
      </c>
      <c r="AN75" s="595">
        <f>13576423.21/2</f>
        <v>6788211.605</v>
      </c>
      <c r="AO75" s="596">
        <f>431556/2</f>
        <v>215778</v>
      </c>
      <c r="AP75" s="616">
        <f t="shared" si="10"/>
        <v>5118750.34</v>
      </c>
      <c r="AQ75" s="616">
        <f t="shared" si="11"/>
        <v>923033.659999999</v>
      </c>
      <c r="AR75" s="594">
        <v>44849</v>
      </c>
      <c r="AS75" s="594">
        <v>45915</v>
      </c>
      <c r="AT75" s="570">
        <v>36</v>
      </c>
      <c r="AU75" s="570">
        <v>28</v>
      </c>
      <c r="AV75" s="617">
        <f t="shared" si="9"/>
        <v>8</v>
      </c>
      <c r="AW75" s="618">
        <f>3338922.53/2</f>
        <v>1669461.265</v>
      </c>
      <c r="AX75" s="570"/>
    </row>
    <row r="76" spans="1:50">
      <c r="A76" s="49"/>
      <c r="C76" s="568"/>
      <c r="D76" s="569"/>
      <c r="E76" s="569"/>
      <c r="F76" s="570"/>
      <c r="G76" s="570"/>
      <c r="H76" s="569"/>
      <c r="I76" s="569"/>
      <c r="J76" s="569"/>
      <c r="K76" s="570"/>
      <c r="L76" s="593"/>
      <c r="M76" s="570"/>
      <c r="N76" s="594"/>
      <c r="O76" s="595"/>
      <c r="P76" s="596"/>
      <c r="Q76" s="616"/>
      <c r="R76" s="616"/>
      <c r="S76" s="594"/>
      <c r="T76" s="594"/>
      <c r="U76" s="570"/>
      <c r="V76" s="570"/>
      <c r="W76" s="617"/>
      <c r="X76" s="618"/>
      <c r="Y76" s="570"/>
      <c r="AA76" s="49"/>
      <c r="AB76" s="568">
        <f t="shared" si="8"/>
        <v>4</v>
      </c>
      <c r="AC76" s="569" t="s">
        <v>207</v>
      </c>
      <c r="AD76" s="569" t="s">
        <v>234</v>
      </c>
      <c r="AE76" s="570" t="s">
        <v>235</v>
      </c>
      <c r="AF76" s="570" t="s">
        <v>236</v>
      </c>
      <c r="AG76" s="569" t="s">
        <v>237</v>
      </c>
      <c r="AH76" s="569" t="s">
        <v>212</v>
      </c>
      <c r="AI76" s="569" t="s">
        <v>238</v>
      </c>
      <c r="AJ76" s="570">
        <v>2022</v>
      </c>
      <c r="AK76" s="593">
        <v>44866</v>
      </c>
      <c r="AL76" s="570" t="s">
        <v>214</v>
      </c>
      <c r="AM76" s="594">
        <v>44861</v>
      </c>
      <c r="AN76" s="595">
        <v>6619800</v>
      </c>
      <c r="AO76" s="596">
        <v>216682</v>
      </c>
      <c r="AP76" s="616">
        <f t="shared" si="10"/>
        <v>4740739.63</v>
      </c>
      <c r="AQ76" s="616">
        <f t="shared" si="11"/>
        <v>892992.37</v>
      </c>
      <c r="AR76" s="594">
        <v>44910</v>
      </c>
      <c r="AS76" s="594">
        <v>45945</v>
      </c>
      <c r="AT76" s="570">
        <v>35</v>
      </c>
      <c r="AU76" s="570">
        <v>26</v>
      </c>
      <c r="AV76" s="617">
        <f t="shared" si="9"/>
        <v>9</v>
      </c>
      <c r="AW76" s="618">
        <v>1879060.37</v>
      </c>
      <c r="AX76" s="570"/>
    </row>
    <row r="77" ht="24" spans="1:50">
      <c r="A77" s="49"/>
      <c r="C77" s="568"/>
      <c r="D77" s="569"/>
      <c r="E77" s="569"/>
      <c r="F77" s="570"/>
      <c r="G77" s="570"/>
      <c r="H77" s="569"/>
      <c r="I77" s="569"/>
      <c r="J77" s="569"/>
      <c r="K77" s="570"/>
      <c r="L77" s="593"/>
      <c r="M77" s="570"/>
      <c r="N77" s="594"/>
      <c r="O77" s="595"/>
      <c r="P77" s="596"/>
      <c r="Q77" s="616"/>
      <c r="R77" s="616"/>
      <c r="S77" s="594"/>
      <c r="T77" s="594"/>
      <c r="U77" s="570"/>
      <c r="V77" s="570"/>
      <c r="W77" s="617"/>
      <c r="X77" s="618"/>
      <c r="Y77" s="570"/>
      <c r="AA77" s="49"/>
      <c r="AB77" s="568">
        <f t="shared" si="8"/>
        <v>5</v>
      </c>
      <c r="AC77" s="569" t="s">
        <v>239</v>
      </c>
      <c r="AD77" s="569"/>
      <c r="AE77" s="570"/>
      <c r="AF77" s="790" t="s">
        <v>240</v>
      </c>
      <c r="AG77" s="569" t="s">
        <v>241</v>
      </c>
      <c r="AH77" s="569"/>
      <c r="AI77" s="569"/>
      <c r="AJ77" s="570">
        <v>2020</v>
      </c>
      <c r="AK77" s="593">
        <v>44166</v>
      </c>
      <c r="AL77" s="570" t="s">
        <v>242</v>
      </c>
      <c r="AM77" s="594">
        <v>44198</v>
      </c>
      <c r="AN77" s="595">
        <v>9632469</v>
      </c>
      <c r="AO77" s="596">
        <v>194161</v>
      </c>
      <c r="AP77" s="616">
        <f t="shared" si="10"/>
        <v>7397478.26</v>
      </c>
      <c r="AQ77" s="616">
        <f t="shared" si="11"/>
        <v>1922249.74</v>
      </c>
      <c r="AR77" s="594">
        <v>44231</v>
      </c>
      <c r="AS77" s="594">
        <v>46026</v>
      </c>
      <c r="AT77" s="570">
        <v>60</v>
      </c>
      <c r="AU77" s="570">
        <v>48</v>
      </c>
      <c r="AV77" s="617">
        <f t="shared" si="9"/>
        <v>12</v>
      </c>
      <c r="AW77" s="618">
        <v>2234990.74</v>
      </c>
      <c r="AX77" s="570"/>
    </row>
    <row r="78" ht="48" spans="1:50">
      <c r="A78" s="49"/>
      <c r="C78" s="568"/>
      <c r="D78" s="569"/>
      <c r="E78" s="569"/>
      <c r="F78" s="570"/>
      <c r="G78" s="570"/>
      <c r="H78" s="569"/>
      <c r="I78" s="569"/>
      <c r="J78" s="569"/>
      <c r="K78" s="570"/>
      <c r="L78" s="593"/>
      <c r="M78" s="570"/>
      <c r="N78" s="594"/>
      <c r="O78" s="595"/>
      <c r="P78" s="596"/>
      <c r="Q78" s="616"/>
      <c r="R78" s="616"/>
      <c r="S78" s="594"/>
      <c r="T78" s="594"/>
      <c r="U78" s="570"/>
      <c r="V78" s="570"/>
      <c r="W78" s="617"/>
      <c r="X78" s="618"/>
      <c r="Y78" s="570"/>
      <c r="AA78" s="49"/>
      <c r="AB78" s="568">
        <f t="shared" si="8"/>
        <v>6</v>
      </c>
      <c r="AC78" s="569" t="s">
        <v>207</v>
      </c>
      <c r="AD78" s="569" t="s">
        <v>220</v>
      </c>
      <c r="AE78" s="570" t="s">
        <v>209</v>
      </c>
      <c r="AF78" s="570" t="s">
        <v>243</v>
      </c>
      <c r="AG78" s="569" t="s">
        <v>220</v>
      </c>
      <c r="AH78" s="569" t="s">
        <v>218</v>
      </c>
      <c r="AI78" s="569" t="s">
        <v>218</v>
      </c>
      <c r="AJ78" s="570" t="s">
        <v>208</v>
      </c>
      <c r="AK78" s="593" t="s">
        <v>208</v>
      </c>
      <c r="AL78" s="570" t="s">
        <v>219</v>
      </c>
      <c r="AM78" s="594">
        <v>44589</v>
      </c>
      <c r="AN78" s="595">
        <v>10438000</v>
      </c>
      <c r="AO78" s="596">
        <v>333141</v>
      </c>
      <c r="AP78" s="616">
        <f>252681+254629</f>
        <v>507310</v>
      </c>
      <c r="AQ78" s="616">
        <f>((AO78*AU78)-AP78)+(80460*23)+(72414)</f>
        <v>5413376</v>
      </c>
      <c r="AR78" s="594">
        <v>44614</v>
      </c>
      <c r="AS78" s="594">
        <v>46409</v>
      </c>
      <c r="AT78" s="619">
        <f>60-24</f>
        <v>36</v>
      </c>
      <c r="AU78" s="570">
        <v>12</v>
      </c>
      <c r="AV78" s="617">
        <f t="shared" si="9"/>
        <v>24</v>
      </c>
      <c r="AW78" s="618">
        <v>7273911</v>
      </c>
      <c r="AX78" s="570" t="s">
        <v>244</v>
      </c>
    </row>
    <row r="79" spans="1:50">
      <c r="A79" s="49"/>
      <c r="C79" s="568"/>
      <c r="D79" s="569"/>
      <c r="E79" s="569"/>
      <c r="F79" s="570"/>
      <c r="G79" s="570"/>
      <c r="H79" s="569"/>
      <c r="I79" s="569"/>
      <c r="J79" s="569"/>
      <c r="K79" s="570"/>
      <c r="L79" s="593"/>
      <c r="M79" s="570"/>
      <c r="N79" s="594"/>
      <c r="O79" s="595"/>
      <c r="P79" s="596"/>
      <c r="Q79" s="616"/>
      <c r="R79" s="616"/>
      <c r="S79" s="594"/>
      <c r="T79" s="594"/>
      <c r="U79" s="570"/>
      <c r="V79" s="570"/>
      <c r="W79" s="617"/>
      <c r="X79" s="618"/>
      <c r="Y79" s="570"/>
      <c r="AA79" s="49"/>
      <c r="AB79" s="573">
        <f t="shared" si="8"/>
        <v>7</v>
      </c>
      <c r="AC79" s="574" t="s">
        <v>207</v>
      </c>
      <c r="AD79" s="574" t="s">
        <v>208</v>
      </c>
      <c r="AE79" s="575" t="s">
        <v>209</v>
      </c>
      <c r="AF79" s="575" t="s">
        <v>245</v>
      </c>
      <c r="AG79" s="574" t="s">
        <v>246</v>
      </c>
      <c r="AH79" s="574" t="s">
        <v>212</v>
      </c>
      <c r="AI79" s="574" t="s">
        <v>213</v>
      </c>
      <c r="AJ79" s="575">
        <v>2020</v>
      </c>
      <c r="AK79" s="601">
        <v>44075</v>
      </c>
      <c r="AL79" s="575" t="s">
        <v>214</v>
      </c>
      <c r="AM79" s="602">
        <v>44083</v>
      </c>
      <c r="AN79" s="595">
        <v>5230769.1</v>
      </c>
      <c r="AO79" s="596">
        <v>0</v>
      </c>
      <c r="AP79" s="623">
        <f t="shared" si="10"/>
        <v>5230769.1</v>
      </c>
      <c r="AQ79" s="623">
        <f>(AO79*AU79)-AP79</f>
        <v>-5230769.1</v>
      </c>
      <c r="AR79" s="602">
        <v>44119</v>
      </c>
      <c r="AS79" s="602">
        <v>45184</v>
      </c>
      <c r="AT79" s="575">
        <v>36</v>
      </c>
      <c r="AU79" s="575">
        <v>36</v>
      </c>
      <c r="AV79" s="624">
        <f t="shared" si="9"/>
        <v>0</v>
      </c>
      <c r="AW79" s="625">
        <v>0</v>
      </c>
      <c r="AX79" s="575" t="s">
        <v>215</v>
      </c>
    </row>
    <row r="80" spans="1:50">
      <c r="A80" s="49"/>
      <c r="C80" s="568"/>
      <c r="D80" s="569"/>
      <c r="E80" s="569"/>
      <c r="F80" s="570"/>
      <c r="G80" s="570"/>
      <c r="H80" s="569"/>
      <c r="I80" s="569"/>
      <c r="J80" s="569"/>
      <c r="K80" s="570"/>
      <c r="L80" s="593"/>
      <c r="M80" s="570"/>
      <c r="N80" s="594"/>
      <c r="O80" s="595"/>
      <c r="P80" s="596"/>
      <c r="Q80" s="616"/>
      <c r="R80" s="616"/>
      <c r="S80" s="594"/>
      <c r="T80" s="594"/>
      <c r="U80" s="619"/>
      <c r="V80" s="570"/>
      <c r="W80" s="617"/>
      <c r="X80" s="618"/>
      <c r="Y80" s="570"/>
      <c r="AA80" s="49"/>
      <c r="AB80" s="573">
        <f t="shared" si="8"/>
        <v>8</v>
      </c>
      <c r="AC80" s="574" t="s">
        <v>207</v>
      </c>
      <c r="AD80" s="574"/>
      <c r="AE80" s="575"/>
      <c r="AF80" s="575" t="s">
        <v>247</v>
      </c>
      <c r="AG80" s="574" t="s">
        <v>211</v>
      </c>
      <c r="AH80" s="574"/>
      <c r="AI80" s="574"/>
      <c r="AJ80" s="575">
        <v>2019</v>
      </c>
      <c r="AK80" s="601">
        <v>43709</v>
      </c>
      <c r="AL80" s="575" t="s">
        <v>214</v>
      </c>
      <c r="AM80" s="602">
        <v>43721</v>
      </c>
      <c r="AN80" s="595">
        <v>5737500</v>
      </c>
      <c r="AO80" s="596">
        <v>0</v>
      </c>
      <c r="AP80" s="623">
        <f t="shared" si="10"/>
        <v>5737500</v>
      </c>
      <c r="AQ80" s="623">
        <f>(AO80*AU80)-AP80+(36655.71+36930.62+37207.59)</f>
        <v>-5626706.08</v>
      </c>
      <c r="AR80" s="602">
        <v>43753</v>
      </c>
      <c r="AS80" s="602">
        <v>44910</v>
      </c>
      <c r="AT80" s="575">
        <v>36</v>
      </c>
      <c r="AU80" s="575">
        <v>36</v>
      </c>
      <c r="AV80" s="624">
        <f t="shared" si="9"/>
        <v>0</v>
      </c>
      <c r="AW80" s="625">
        <v>0</v>
      </c>
      <c r="AX80" s="575" t="s">
        <v>215</v>
      </c>
    </row>
    <row r="81" spans="1:50">
      <c r="A81" s="49"/>
      <c r="C81" s="573"/>
      <c r="D81" s="574"/>
      <c r="E81" s="574"/>
      <c r="F81" s="575"/>
      <c r="G81" s="575"/>
      <c r="H81" s="574"/>
      <c r="I81" s="574"/>
      <c r="J81" s="574"/>
      <c r="K81" s="575"/>
      <c r="L81" s="601"/>
      <c r="M81" s="575"/>
      <c r="N81" s="602"/>
      <c r="O81" s="595"/>
      <c r="P81" s="596"/>
      <c r="Q81" s="623"/>
      <c r="R81" s="623"/>
      <c r="S81" s="602"/>
      <c r="T81" s="602"/>
      <c r="U81" s="575"/>
      <c r="V81" s="575"/>
      <c r="W81" s="624"/>
      <c r="X81" s="625"/>
      <c r="Y81" s="575"/>
      <c r="AA81" s="49"/>
      <c r="AB81" s="568">
        <v>7</v>
      </c>
      <c r="AC81" s="569" t="s">
        <v>207</v>
      </c>
      <c r="AD81" s="569"/>
      <c r="AE81" s="570" t="s">
        <v>209</v>
      </c>
      <c r="AF81" s="570" t="s">
        <v>248</v>
      </c>
      <c r="AG81" s="569" t="s">
        <v>211</v>
      </c>
      <c r="AH81" s="569" t="s">
        <v>218</v>
      </c>
      <c r="AI81" s="569" t="s">
        <v>218</v>
      </c>
      <c r="AJ81" s="570" t="s">
        <v>208</v>
      </c>
      <c r="AK81" s="593" t="s">
        <v>208</v>
      </c>
      <c r="AL81" s="570" t="s">
        <v>219</v>
      </c>
      <c r="AM81" s="594" t="s">
        <v>249</v>
      </c>
      <c r="AN81" s="595">
        <v>7192807.06</v>
      </c>
      <c r="AO81" s="596">
        <v>233363</v>
      </c>
      <c r="AP81" s="616">
        <f t="shared" si="10"/>
        <v>946487.22</v>
      </c>
      <c r="AQ81" s="616">
        <f t="shared" ref="AQ81" si="12">(AO81*AU81)-AP81</f>
        <v>220327.78</v>
      </c>
      <c r="AR81" s="594">
        <v>44614</v>
      </c>
      <c r="AS81" s="594">
        <v>46409</v>
      </c>
      <c r="AT81" s="619">
        <v>35</v>
      </c>
      <c r="AU81" s="570">
        <v>5</v>
      </c>
      <c r="AV81" s="617">
        <f t="shared" si="9"/>
        <v>30</v>
      </c>
      <c r="AW81" s="618">
        <v>6246319.84</v>
      </c>
      <c r="AX81" s="570"/>
    </row>
    <row r="82" spans="1:50">
      <c r="A82" s="49"/>
      <c r="C82" s="573"/>
      <c r="D82" s="574"/>
      <c r="E82" s="574"/>
      <c r="F82" s="575"/>
      <c r="G82" s="575"/>
      <c r="H82" s="574"/>
      <c r="I82" s="574"/>
      <c r="J82" s="574"/>
      <c r="K82" s="575"/>
      <c r="L82" s="601"/>
      <c r="M82" s="575"/>
      <c r="N82" s="602"/>
      <c r="O82" s="595"/>
      <c r="P82" s="596"/>
      <c r="Q82" s="623"/>
      <c r="R82" s="623"/>
      <c r="S82" s="602"/>
      <c r="T82" s="602"/>
      <c r="U82" s="575"/>
      <c r="V82" s="575"/>
      <c r="W82" s="624"/>
      <c r="X82" s="625"/>
      <c r="Y82" s="575"/>
      <c r="AA82" s="49"/>
      <c r="AB82" s="576"/>
      <c r="AC82" s="577"/>
      <c r="AD82" s="577"/>
      <c r="AE82" s="578"/>
      <c r="AF82" s="578"/>
      <c r="AG82" s="577"/>
      <c r="AH82" s="577"/>
      <c r="AI82" s="577"/>
      <c r="AJ82" s="578"/>
      <c r="AK82" s="603"/>
      <c r="AL82" s="578"/>
      <c r="AM82" s="604"/>
      <c r="AN82" s="605"/>
      <c r="AO82" s="596"/>
      <c r="AP82" s="626"/>
      <c r="AQ82" s="626"/>
      <c r="AR82" s="604"/>
      <c r="AS82" s="604"/>
      <c r="AT82" s="578"/>
      <c r="AU82" s="578"/>
      <c r="AV82" s="578"/>
      <c r="AW82" s="626"/>
      <c r="AX82" s="578"/>
    </row>
    <row r="83" spans="1:50">
      <c r="A83" s="49"/>
      <c r="C83" s="568"/>
      <c r="D83" s="569"/>
      <c r="E83" s="569"/>
      <c r="F83" s="570"/>
      <c r="G83" s="570"/>
      <c r="H83" s="569"/>
      <c r="I83" s="569"/>
      <c r="J83" s="569"/>
      <c r="K83" s="570"/>
      <c r="L83" s="593"/>
      <c r="M83" s="570"/>
      <c r="N83" s="594"/>
      <c r="O83" s="595"/>
      <c r="P83" s="596"/>
      <c r="Q83" s="616"/>
      <c r="R83" s="616"/>
      <c r="S83" s="594"/>
      <c r="T83" s="594"/>
      <c r="U83" s="619"/>
      <c r="V83" s="570"/>
      <c r="W83" s="617"/>
      <c r="X83" s="618"/>
      <c r="Y83" s="570"/>
      <c r="AA83" s="49"/>
      <c r="AB83" s="579"/>
      <c r="AC83" s="577" t="s">
        <v>58</v>
      </c>
      <c r="AD83" s="577"/>
      <c r="AE83" s="578"/>
      <c r="AF83" s="578"/>
      <c r="AG83" s="577"/>
      <c r="AH83" s="577"/>
      <c r="AI83" s="577"/>
      <c r="AJ83" s="578"/>
      <c r="AK83" s="603"/>
      <c r="AL83" s="578"/>
      <c r="AM83" s="604"/>
      <c r="AN83" s="596">
        <f>SUBTOTAL(9,AN71:AN82)</f>
        <v>115972501.37</v>
      </c>
      <c r="AO83" s="596">
        <f>SUBTOTAL(9,AO71:AO82)</f>
        <v>1408903</v>
      </c>
      <c r="AP83" s="596">
        <f t="shared" ref="AP83:AW83" si="13">SUBTOTAL(9,AP71:AP82)</f>
        <v>92342517.89</v>
      </c>
      <c r="AQ83" s="596">
        <f t="shared" si="13"/>
        <v>-30599619.97</v>
      </c>
      <c r="AR83" s="596"/>
      <c r="AS83" s="596"/>
      <c r="AT83" s="596"/>
      <c r="AU83" s="596"/>
      <c r="AV83" s="596"/>
      <c r="AW83" s="596">
        <f t="shared" si="13"/>
        <v>20973204.48</v>
      </c>
      <c r="AX83" s="637"/>
    </row>
    <row r="84" spans="1:27">
      <c r="A84" s="49"/>
      <c r="C84" s="576"/>
      <c r="D84" s="577"/>
      <c r="E84" s="577"/>
      <c r="F84" s="578"/>
      <c r="G84" s="578"/>
      <c r="H84" s="577"/>
      <c r="I84" s="577"/>
      <c r="J84" s="577"/>
      <c r="K84" s="578"/>
      <c r="L84" s="603"/>
      <c r="M84" s="578"/>
      <c r="N84" s="604"/>
      <c r="O84" s="605"/>
      <c r="P84" s="596"/>
      <c r="Q84" s="626"/>
      <c r="R84" s="626"/>
      <c r="S84" s="604"/>
      <c r="T84" s="604"/>
      <c r="U84" s="578"/>
      <c r="V84" s="578"/>
      <c r="W84" s="578"/>
      <c r="X84" s="626"/>
      <c r="Y84" s="578"/>
      <c r="AA84" s="49"/>
    </row>
    <row r="85" spans="1:27">
      <c r="A85" s="49"/>
      <c r="C85" s="579"/>
      <c r="D85" s="577"/>
      <c r="E85" s="577"/>
      <c r="F85" s="578"/>
      <c r="G85" s="578"/>
      <c r="H85" s="577"/>
      <c r="I85" s="577"/>
      <c r="J85" s="577"/>
      <c r="K85" s="578"/>
      <c r="L85" s="603"/>
      <c r="M85" s="578"/>
      <c r="N85" s="604"/>
      <c r="O85" s="596"/>
      <c r="P85" s="596"/>
      <c r="Q85" s="596"/>
      <c r="R85" s="596"/>
      <c r="S85" s="596"/>
      <c r="T85" s="596"/>
      <c r="U85" s="596"/>
      <c r="V85" s="596"/>
      <c r="W85" s="596"/>
      <c r="X85" s="596"/>
      <c r="Y85" s="637"/>
      <c r="AA85" s="49"/>
    </row>
    <row r="86" spans="1:27">
      <c r="A86" s="49"/>
      <c r="AA86" s="49"/>
    </row>
    <row r="87" s="49" customFormat="1" spans="2:28">
      <c r="B87" s="451"/>
      <c r="AB87" s="451" t="s">
        <v>250</v>
      </c>
    </row>
    <row r="88" spans="1:27">
      <c r="A88" s="49"/>
      <c r="AA88" s="49"/>
    </row>
    <row r="89" spans="1:27">
      <c r="A89" s="49"/>
      <c r="AA89" s="49"/>
    </row>
    <row r="90" spans="1:38">
      <c r="A90" s="49"/>
      <c r="AA90" s="49"/>
      <c r="AL90" s="35" t="s">
        <v>251</v>
      </c>
    </row>
    <row r="91" spans="1:41">
      <c r="A91" s="49"/>
      <c r="AA91" s="49"/>
      <c r="AL91" s="44"/>
      <c r="AM91" s="44"/>
      <c r="AN91" s="44"/>
      <c r="AO91" s="44"/>
    </row>
    <row r="92" spans="1:27">
      <c r="A92" s="49"/>
      <c r="AA92" s="49"/>
    </row>
    <row r="93" spans="1:27">
      <c r="A93" s="49"/>
      <c r="AA93" s="49"/>
    </row>
    <row r="94" spans="1:27">
      <c r="A94" s="49"/>
      <c r="AA94" s="49"/>
    </row>
    <row r="95" spans="1:27">
      <c r="A95" s="49"/>
      <c r="AA95" s="49"/>
    </row>
    <row r="96" spans="1:27">
      <c r="A96" s="49"/>
      <c r="AA96" s="49"/>
    </row>
    <row r="97" spans="1:27">
      <c r="A97" s="49"/>
      <c r="AA97" s="49"/>
    </row>
    <row r="98" s="49" customFormat="1" spans="2:28">
      <c r="B98" s="451"/>
      <c r="AB98" s="451" t="e">
        <f>#REF!</f>
        <v>#REF!</v>
      </c>
    </row>
    <row r="99" spans="1:27">
      <c r="A99" s="49"/>
      <c r="AA99" s="49"/>
    </row>
    <row r="100" spans="1:48">
      <c r="A100" s="49"/>
      <c r="C100" s="580"/>
      <c r="D100" s="581"/>
      <c r="E100" s="582"/>
      <c r="F100" s="582"/>
      <c r="G100" s="582"/>
      <c r="H100" s="582"/>
      <c r="I100" s="582"/>
      <c r="J100" s="582"/>
      <c r="K100" s="582"/>
      <c r="L100" s="582"/>
      <c r="M100" s="584"/>
      <c r="N100" s="606"/>
      <c r="O100" s="607"/>
      <c r="P100" s="608"/>
      <c r="Q100" s="627"/>
      <c r="R100" s="627"/>
      <c r="S100" s="628"/>
      <c r="T100" s="629"/>
      <c r="U100" s="629"/>
      <c r="V100" s="629"/>
      <c r="W100" s="630"/>
      <c r="AA100" s="49"/>
      <c r="AB100" s="638" t="s">
        <v>252</v>
      </c>
      <c r="AC100" s="639" t="s">
        <v>86</v>
      </c>
      <c r="AD100" s="639"/>
      <c r="AE100" s="639"/>
      <c r="AF100" s="639"/>
      <c r="AG100" s="639"/>
      <c r="AH100" s="639"/>
      <c r="AI100" s="639"/>
      <c r="AJ100" s="639"/>
      <c r="AK100" s="639"/>
      <c r="AL100" s="639"/>
      <c r="AM100" s="641" t="s">
        <v>90</v>
      </c>
      <c r="AN100" s="641"/>
      <c r="AO100" s="641"/>
      <c r="AP100" s="627"/>
      <c r="AQ100" s="627"/>
      <c r="AR100" s="642" t="s">
        <v>90</v>
      </c>
      <c r="AS100" s="642"/>
      <c r="AT100" s="642"/>
      <c r="AU100" s="642"/>
      <c r="AV100" s="642"/>
    </row>
    <row r="101" spans="1:48">
      <c r="A101" s="49"/>
      <c r="C101" s="583"/>
      <c r="D101" s="581"/>
      <c r="E101" s="582"/>
      <c r="F101" s="582"/>
      <c r="G101" s="582"/>
      <c r="H101" s="584"/>
      <c r="I101" s="581"/>
      <c r="J101" s="582"/>
      <c r="K101" s="582"/>
      <c r="L101" s="582"/>
      <c r="M101" s="584"/>
      <c r="N101"/>
      <c r="O101"/>
      <c r="P101"/>
      <c r="Q101"/>
      <c r="R101"/>
      <c r="S101" s="631"/>
      <c r="T101" s="632"/>
      <c r="U101" s="632"/>
      <c r="V101" s="632"/>
      <c r="W101" s="633"/>
      <c r="AA101" s="49"/>
      <c r="AB101" s="638"/>
      <c r="AC101" s="640" t="s">
        <v>253</v>
      </c>
      <c r="AD101" s="640"/>
      <c r="AE101" s="640"/>
      <c r="AF101" s="640"/>
      <c r="AG101" s="640"/>
      <c r="AH101" s="640" t="s">
        <v>254</v>
      </c>
      <c r="AI101" s="640"/>
      <c r="AJ101" s="640"/>
      <c r="AK101" s="640"/>
      <c r="AL101" s="640"/>
      <c r="AM101"/>
      <c r="AN101"/>
      <c r="AO101"/>
      <c r="AP101"/>
      <c r="AQ101"/>
      <c r="AR101" s="643" t="s">
        <v>253</v>
      </c>
      <c r="AS101" s="643"/>
      <c r="AT101" s="643"/>
      <c r="AU101" s="643"/>
      <c r="AV101" s="643"/>
    </row>
    <row r="102" ht="28.75" customHeight="1" spans="1:48">
      <c r="A102" s="49"/>
      <c r="C102" s="585"/>
      <c r="D102" s="586"/>
      <c r="E102" s="586"/>
      <c r="F102" s="586"/>
      <c r="G102" s="587"/>
      <c r="H102" s="586"/>
      <c r="I102" s="586"/>
      <c r="J102" s="586"/>
      <c r="K102" s="586"/>
      <c r="L102" s="587"/>
      <c r="M102" s="586"/>
      <c r="N102" s="609"/>
      <c r="O102" s="610"/>
      <c r="P102" s="610"/>
      <c r="Q102" s="610"/>
      <c r="R102" s="610"/>
      <c r="S102" s="634"/>
      <c r="T102" s="634"/>
      <c r="U102" s="634"/>
      <c r="V102" s="634"/>
      <c r="W102" s="634"/>
      <c r="AA102" s="49"/>
      <c r="AB102" s="638"/>
      <c r="AC102" s="586" t="s">
        <v>255</v>
      </c>
      <c r="AD102" s="586" t="s">
        <v>60</v>
      </c>
      <c r="AE102" s="586" t="s">
        <v>256</v>
      </c>
      <c r="AF102" s="587" t="s">
        <v>257</v>
      </c>
      <c r="AG102" s="586" t="s">
        <v>258</v>
      </c>
      <c r="AH102" s="586" t="s">
        <v>255</v>
      </c>
      <c r="AI102" s="586" t="s">
        <v>60</v>
      </c>
      <c r="AJ102" s="586" t="s">
        <v>256</v>
      </c>
      <c r="AK102" s="587" t="s">
        <v>257</v>
      </c>
      <c r="AL102" s="586" t="s">
        <v>258</v>
      </c>
      <c r="AM102" s="609" t="s">
        <v>252</v>
      </c>
      <c r="AN102" s="610" t="s">
        <v>259</v>
      </c>
      <c r="AO102" s="610" t="s">
        <v>260</v>
      </c>
      <c r="AP102" s="610" t="s">
        <v>261</v>
      </c>
      <c r="AQ102" s="610" t="s">
        <v>109</v>
      </c>
      <c r="AR102" s="634" t="s">
        <v>255</v>
      </c>
      <c r="AS102" s="634" t="s">
        <v>60</v>
      </c>
      <c r="AT102" s="634" t="s">
        <v>256</v>
      </c>
      <c r="AU102" s="634" t="s">
        <v>257</v>
      </c>
      <c r="AV102" s="634" t="s">
        <v>262</v>
      </c>
    </row>
    <row r="103" ht="13.75" customHeight="1" spans="1:48">
      <c r="A103" s="49"/>
      <c r="C103" s="588"/>
      <c r="D103" s="589"/>
      <c r="E103" s="589"/>
      <c r="F103" s="589"/>
      <c r="G103" s="589"/>
      <c r="H103" s="589"/>
      <c r="I103" s="589"/>
      <c r="J103" s="589"/>
      <c r="K103" s="589"/>
      <c r="L103" s="589"/>
      <c r="M103" s="589"/>
      <c r="N103" s="611"/>
      <c r="O103" s="612"/>
      <c r="P103" s="612"/>
      <c r="Q103" s="612"/>
      <c r="R103" s="612"/>
      <c r="S103" s="635"/>
      <c r="T103" s="635"/>
      <c r="U103" s="635"/>
      <c r="V103" s="635"/>
      <c r="W103" s="635"/>
      <c r="AA103" s="49"/>
      <c r="AB103" s="588">
        <v>45658</v>
      </c>
      <c r="AC103" s="589">
        <v>1381.32</v>
      </c>
      <c r="AD103" s="589">
        <v>0</v>
      </c>
      <c r="AE103" s="589">
        <v>0</v>
      </c>
      <c r="AF103" s="589">
        <v>0</v>
      </c>
      <c r="AG103" s="589">
        <v>0</v>
      </c>
      <c r="AH103" s="589">
        <v>1287.85</v>
      </c>
      <c r="AI103" s="589">
        <v>0</v>
      </c>
      <c r="AJ103" s="589">
        <v>1619</v>
      </c>
      <c r="AK103" s="589">
        <v>0</v>
      </c>
      <c r="AL103" s="589">
        <v>0</v>
      </c>
      <c r="AM103" s="611"/>
      <c r="AN103" s="612"/>
      <c r="AO103" s="612"/>
      <c r="AP103" s="612"/>
      <c r="AQ103" s="612"/>
      <c r="AR103" s="635">
        <v>0</v>
      </c>
      <c r="AS103" s="635">
        <v>0</v>
      </c>
      <c r="AT103" s="635">
        <v>0</v>
      </c>
      <c r="AU103" s="635">
        <v>0</v>
      </c>
      <c r="AV103" s="635">
        <v>0</v>
      </c>
    </row>
    <row r="104" spans="1:48">
      <c r="A104" s="49"/>
      <c r="C104" s="588"/>
      <c r="D104" s="589"/>
      <c r="E104" s="589"/>
      <c r="F104" s="589"/>
      <c r="G104" s="589"/>
      <c r="H104" s="589"/>
      <c r="I104" s="589"/>
      <c r="J104" s="589"/>
      <c r="K104" s="589"/>
      <c r="L104" s="589"/>
      <c r="M104" s="589"/>
      <c r="N104" s="588"/>
      <c r="O104" s="613"/>
      <c r="P104" s="613"/>
      <c r="Q104" s="613"/>
      <c r="R104" s="613"/>
      <c r="S104" s="635"/>
      <c r="T104" s="635"/>
      <c r="U104" s="635"/>
      <c r="V104" s="635"/>
      <c r="W104" s="635"/>
      <c r="AA104" s="49"/>
      <c r="AB104" s="588">
        <f>1+AB103</f>
        <v>45659</v>
      </c>
      <c r="AC104" s="589">
        <v>1412.61</v>
      </c>
      <c r="AD104" s="589">
        <v>0</v>
      </c>
      <c r="AE104" s="589">
        <v>0</v>
      </c>
      <c r="AF104" s="589">
        <v>0</v>
      </c>
      <c r="AG104" s="589">
        <v>0</v>
      </c>
      <c r="AH104" s="589">
        <v>1325.34</v>
      </c>
      <c r="AI104" s="589">
        <v>0</v>
      </c>
      <c r="AJ104" s="589">
        <v>0</v>
      </c>
      <c r="AK104" s="589">
        <v>0</v>
      </c>
      <c r="AL104" s="589">
        <v>0</v>
      </c>
      <c r="AM104" s="588"/>
      <c r="AN104" s="613"/>
      <c r="AO104" s="613"/>
      <c r="AP104" s="613"/>
      <c r="AQ104" s="613"/>
      <c r="AR104" s="635">
        <v>4495.72</v>
      </c>
      <c r="AS104" s="635">
        <v>0</v>
      </c>
      <c r="AT104" s="635">
        <v>0</v>
      </c>
      <c r="AU104" s="635">
        <v>0</v>
      </c>
      <c r="AV104" s="635">
        <v>0</v>
      </c>
    </row>
    <row r="105" ht="28.75" customHeight="1" spans="1:48">
      <c r="A105" s="49"/>
      <c r="C105" s="588"/>
      <c r="D105" s="589"/>
      <c r="E105" s="589"/>
      <c r="F105" s="589"/>
      <c r="G105" s="589"/>
      <c r="H105" s="589"/>
      <c r="I105" s="589"/>
      <c r="J105" s="589"/>
      <c r="K105" s="589"/>
      <c r="L105" s="589"/>
      <c r="M105" s="589"/>
      <c r="N105" s="588"/>
      <c r="O105" s="613"/>
      <c r="P105" s="613"/>
      <c r="Q105" s="613"/>
      <c r="R105" s="613"/>
      <c r="S105" s="635"/>
      <c r="T105" s="635"/>
      <c r="U105" s="635"/>
      <c r="V105" s="635"/>
      <c r="W105" s="635"/>
      <c r="AA105" s="49"/>
      <c r="AB105" s="588">
        <f t="shared" ref="AB105:AB133" si="14">1+AB104</f>
        <v>45660</v>
      </c>
      <c r="AC105" s="589">
        <v>2188.53</v>
      </c>
      <c r="AD105" s="589">
        <v>0</v>
      </c>
      <c r="AE105" s="589">
        <v>0</v>
      </c>
      <c r="AF105" s="589">
        <v>0</v>
      </c>
      <c r="AG105" s="589">
        <v>0</v>
      </c>
      <c r="AH105" s="589">
        <v>1697.64</v>
      </c>
      <c r="AI105" s="589">
        <v>0</v>
      </c>
      <c r="AJ105" s="589">
        <v>0</v>
      </c>
      <c r="AK105" s="589">
        <v>0</v>
      </c>
      <c r="AL105" s="589">
        <v>0</v>
      </c>
      <c r="AM105" s="588"/>
      <c r="AN105" s="613"/>
      <c r="AO105" s="613"/>
      <c r="AP105" s="613"/>
      <c r="AQ105" s="613"/>
      <c r="AR105" s="635">
        <v>2597.03</v>
      </c>
      <c r="AS105" s="635">
        <v>326.2</v>
      </c>
      <c r="AT105" s="635">
        <v>0</v>
      </c>
      <c r="AU105" s="635">
        <v>0</v>
      </c>
      <c r="AV105" s="635">
        <v>0</v>
      </c>
    </row>
    <row r="106" ht="13.75" customHeight="1" spans="1:48">
      <c r="A106" s="49"/>
      <c r="C106" s="588"/>
      <c r="D106" s="589"/>
      <c r="E106" s="589"/>
      <c r="F106" s="589"/>
      <c r="G106" s="589"/>
      <c r="H106" s="589"/>
      <c r="I106" s="589"/>
      <c r="J106" s="589"/>
      <c r="K106" s="589"/>
      <c r="L106" s="589"/>
      <c r="M106" s="589"/>
      <c r="N106" s="588"/>
      <c r="O106" s="613"/>
      <c r="P106" s="613"/>
      <c r="Q106" s="613"/>
      <c r="R106" s="613"/>
      <c r="S106" s="635"/>
      <c r="T106" s="635"/>
      <c r="U106" s="635"/>
      <c r="V106" s="635"/>
      <c r="W106" s="635"/>
      <c r="AA106" s="49"/>
      <c r="AB106" s="588">
        <f t="shared" si="14"/>
        <v>45661</v>
      </c>
      <c r="AC106" s="589">
        <v>530.58</v>
      </c>
      <c r="AD106" s="589">
        <v>289.56</v>
      </c>
      <c r="AE106" s="589">
        <v>0</v>
      </c>
      <c r="AF106" s="589">
        <v>0</v>
      </c>
      <c r="AG106" s="589">
        <v>0</v>
      </c>
      <c r="AH106" s="589">
        <v>1436.1</v>
      </c>
      <c r="AI106" s="589">
        <v>35.98</v>
      </c>
      <c r="AJ106" s="589">
        <v>0</v>
      </c>
      <c r="AK106" s="589">
        <v>0</v>
      </c>
      <c r="AL106" s="589">
        <v>0</v>
      </c>
      <c r="AM106" s="588"/>
      <c r="AN106" s="613"/>
      <c r="AO106" s="613"/>
      <c r="AP106" s="613"/>
      <c r="AQ106" s="613"/>
      <c r="AR106" s="635">
        <v>1136.59</v>
      </c>
      <c r="AS106" s="635">
        <v>129.3</v>
      </c>
      <c r="AT106" s="635">
        <v>0</v>
      </c>
      <c r="AU106" s="635">
        <v>0</v>
      </c>
      <c r="AV106" s="635">
        <v>0</v>
      </c>
    </row>
    <row r="107" spans="1:48">
      <c r="A107" s="49"/>
      <c r="C107" s="588"/>
      <c r="D107" s="589"/>
      <c r="E107" s="589"/>
      <c r="F107" s="589"/>
      <c r="G107" s="589"/>
      <c r="H107" s="589"/>
      <c r="I107" s="589"/>
      <c r="J107" s="589"/>
      <c r="K107" s="589"/>
      <c r="L107" s="589"/>
      <c r="M107" s="589"/>
      <c r="N107" s="588"/>
      <c r="O107" s="613"/>
      <c r="P107" s="613"/>
      <c r="Q107" s="613"/>
      <c r="R107" s="613"/>
      <c r="S107" s="635"/>
      <c r="T107" s="635"/>
      <c r="U107" s="635"/>
      <c r="V107" s="635"/>
      <c r="W107" s="635"/>
      <c r="AA107" s="49"/>
      <c r="AB107" s="588">
        <f t="shared" si="14"/>
        <v>45662</v>
      </c>
      <c r="AC107" s="589">
        <v>1806.63</v>
      </c>
      <c r="AD107" s="589">
        <v>484.42</v>
      </c>
      <c r="AE107" s="589">
        <v>106.38</v>
      </c>
      <c r="AF107" s="589">
        <v>0</v>
      </c>
      <c r="AG107" s="589">
        <v>0</v>
      </c>
      <c r="AH107" s="589">
        <v>1394.9</v>
      </c>
      <c r="AI107" s="589">
        <v>253.58</v>
      </c>
      <c r="AJ107" s="589">
        <v>0</v>
      </c>
      <c r="AK107" s="589">
        <v>0</v>
      </c>
      <c r="AL107" s="589">
        <v>0</v>
      </c>
      <c r="AM107" s="588"/>
      <c r="AN107" s="613"/>
      <c r="AO107" s="613"/>
      <c r="AP107" s="613"/>
      <c r="AQ107" s="613"/>
      <c r="AR107" s="635">
        <v>0</v>
      </c>
      <c r="AS107" s="635">
        <v>0</v>
      </c>
      <c r="AT107" s="635">
        <v>0</v>
      </c>
      <c r="AU107" s="635">
        <v>0</v>
      </c>
      <c r="AV107" s="635">
        <v>0</v>
      </c>
    </row>
    <row r="108" spans="1:48">
      <c r="A108" s="49"/>
      <c r="C108" s="588"/>
      <c r="D108" s="589"/>
      <c r="E108" s="589"/>
      <c r="F108" s="589"/>
      <c r="G108" s="589"/>
      <c r="H108" s="589"/>
      <c r="I108" s="589"/>
      <c r="J108" s="589"/>
      <c r="K108" s="589"/>
      <c r="L108" s="589"/>
      <c r="M108" s="589"/>
      <c r="N108" s="588"/>
      <c r="O108" s="613"/>
      <c r="P108" s="613"/>
      <c r="Q108" s="613"/>
      <c r="R108" s="613"/>
      <c r="S108" s="635"/>
      <c r="T108" s="635"/>
      <c r="U108" s="635"/>
      <c r="V108" s="635"/>
      <c r="W108" s="635"/>
      <c r="AA108" s="49"/>
      <c r="AB108" s="588">
        <f t="shared" si="14"/>
        <v>45663</v>
      </c>
      <c r="AC108" s="589">
        <v>474.26</v>
      </c>
      <c r="AD108" s="589">
        <v>584.51</v>
      </c>
      <c r="AE108" s="589">
        <v>3505.12</v>
      </c>
      <c r="AF108" s="589">
        <v>0</v>
      </c>
      <c r="AG108" s="589">
        <v>0</v>
      </c>
      <c r="AH108" s="589">
        <v>411.73</v>
      </c>
      <c r="AI108" s="589">
        <v>1068.93</v>
      </c>
      <c r="AJ108" s="589">
        <v>3398.18</v>
      </c>
      <c r="AK108" s="589">
        <v>0</v>
      </c>
      <c r="AL108" s="589">
        <v>0</v>
      </c>
      <c r="AM108" s="588"/>
      <c r="AN108" s="613"/>
      <c r="AO108" s="613"/>
      <c r="AP108" s="613"/>
      <c r="AQ108" s="613"/>
      <c r="AR108" s="635">
        <v>0</v>
      </c>
      <c r="AS108" s="635">
        <v>0</v>
      </c>
      <c r="AT108" s="635">
        <v>3611.5</v>
      </c>
      <c r="AU108" s="635">
        <v>0</v>
      </c>
      <c r="AV108" s="635">
        <v>0</v>
      </c>
    </row>
    <row r="109" spans="1:48">
      <c r="A109" s="49"/>
      <c r="C109" s="588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8"/>
      <c r="O109" s="613"/>
      <c r="P109" s="613"/>
      <c r="Q109" s="613"/>
      <c r="R109" s="613"/>
      <c r="S109" s="635"/>
      <c r="T109" s="635"/>
      <c r="U109" s="635"/>
      <c r="V109" s="635"/>
      <c r="W109" s="635"/>
      <c r="AA109" s="49"/>
      <c r="AB109" s="588">
        <f t="shared" si="14"/>
        <v>45664</v>
      </c>
      <c r="AC109" s="589">
        <v>1334.54</v>
      </c>
      <c r="AD109" s="589">
        <v>0</v>
      </c>
      <c r="AE109" s="589">
        <v>3028.39</v>
      </c>
      <c r="AF109" s="589">
        <v>0</v>
      </c>
      <c r="AG109" s="589">
        <v>0</v>
      </c>
      <c r="AH109" s="589">
        <v>1714.4</v>
      </c>
      <c r="AI109" s="589">
        <v>0</v>
      </c>
      <c r="AJ109" s="589">
        <v>1166.45</v>
      </c>
      <c r="AK109" s="589">
        <v>0</v>
      </c>
      <c r="AL109" s="589">
        <v>0</v>
      </c>
      <c r="AM109" s="588"/>
      <c r="AN109" s="613"/>
      <c r="AO109" s="613"/>
      <c r="AP109" s="613"/>
      <c r="AQ109" s="613"/>
      <c r="AR109" s="635">
        <v>0</v>
      </c>
      <c r="AS109" s="635">
        <v>0</v>
      </c>
      <c r="AT109" s="635">
        <v>3028.39</v>
      </c>
      <c r="AU109" s="635">
        <v>0</v>
      </c>
      <c r="AV109" s="635">
        <v>0</v>
      </c>
    </row>
    <row r="110" spans="1:48">
      <c r="A110" s="49"/>
      <c r="C110" s="588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8"/>
      <c r="O110" s="613"/>
      <c r="P110" s="613"/>
      <c r="Q110" s="613"/>
      <c r="R110" s="613"/>
      <c r="S110" s="635"/>
      <c r="T110" s="635"/>
      <c r="U110" s="635"/>
      <c r="V110" s="635"/>
      <c r="W110" s="635"/>
      <c r="AA110" s="49"/>
      <c r="AB110" s="588">
        <f t="shared" si="14"/>
        <v>45665</v>
      </c>
      <c r="AC110" s="589">
        <v>432.98</v>
      </c>
      <c r="AD110" s="589">
        <v>0</v>
      </c>
      <c r="AE110" s="589">
        <v>1343.28</v>
      </c>
      <c r="AF110" s="589">
        <v>0</v>
      </c>
      <c r="AG110" s="589">
        <v>0</v>
      </c>
      <c r="AH110" s="589">
        <v>287.98</v>
      </c>
      <c r="AI110" s="589">
        <v>0</v>
      </c>
      <c r="AJ110" s="589">
        <v>3418.54</v>
      </c>
      <c r="AK110" s="589">
        <v>0</v>
      </c>
      <c r="AL110" s="589">
        <v>0</v>
      </c>
      <c r="AM110" s="588"/>
      <c r="AN110" s="613"/>
      <c r="AO110" s="613"/>
      <c r="AP110" s="613"/>
      <c r="AQ110" s="613"/>
      <c r="AR110" s="635">
        <v>0</v>
      </c>
      <c r="AS110" s="635">
        <v>0</v>
      </c>
      <c r="AT110" s="635">
        <v>1343.28</v>
      </c>
      <c r="AU110" s="635">
        <v>0</v>
      </c>
      <c r="AV110" s="635">
        <v>0</v>
      </c>
    </row>
    <row r="111" spans="1:48">
      <c r="A111" s="49"/>
      <c r="C111" s="588"/>
      <c r="D111" s="589"/>
      <c r="E111" s="589"/>
      <c r="F111" s="589"/>
      <c r="G111" s="589"/>
      <c r="H111" s="589"/>
      <c r="I111" s="589"/>
      <c r="J111" s="589"/>
      <c r="K111" s="589"/>
      <c r="L111" s="589"/>
      <c r="M111" s="589"/>
      <c r="N111" s="588"/>
      <c r="O111" s="613"/>
      <c r="P111" s="614"/>
      <c r="Q111" s="614"/>
      <c r="R111" s="613"/>
      <c r="S111" s="635"/>
      <c r="T111" s="635"/>
      <c r="U111" s="635"/>
      <c r="V111" s="635"/>
      <c r="W111" s="635"/>
      <c r="AA111" s="49"/>
      <c r="AB111" s="588">
        <f t="shared" si="14"/>
        <v>45666</v>
      </c>
      <c r="AC111" s="589">
        <v>887.13</v>
      </c>
      <c r="AD111" s="589">
        <v>0</v>
      </c>
      <c r="AE111" s="589">
        <v>3434.8</v>
      </c>
      <c r="AF111" s="589">
        <v>0</v>
      </c>
      <c r="AG111" s="589">
        <v>0</v>
      </c>
      <c r="AH111" s="589">
        <v>886.27</v>
      </c>
      <c r="AI111" s="589">
        <v>0</v>
      </c>
      <c r="AJ111" s="589">
        <v>2549.51</v>
      </c>
      <c r="AK111" s="589">
        <v>0</v>
      </c>
      <c r="AL111" s="589">
        <v>0</v>
      </c>
      <c r="AM111" s="588"/>
      <c r="AN111" s="613"/>
      <c r="AO111" s="614"/>
      <c r="AP111" s="614"/>
      <c r="AQ111" s="613"/>
      <c r="AR111" s="635">
        <v>0</v>
      </c>
      <c r="AS111" s="635">
        <v>0</v>
      </c>
      <c r="AT111" s="635">
        <v>3434.8</v>
      </c>
      <c r="AU111" s="635">
        <v>0</v>
      </c>
      <c r="AV111" s="635">
        <v>0</v>
      </c>
    </row>
    <row r="112" spans="1:48">
      <c r="A112" s="49"/>
      <c r="C112" s="588"/>
      <c r="D112" s="589"/>
      <c r="E112" s="589"/>
      <c r="F112" s="589"/>
      <c r="G112" s="589"/>
      <c r="H112" s="589"/>
      <c r="I112" s="589"/>
      <c r="J112" s="589"/>
      <c r="K112" s="589"/>
      <c r="L112" s="589"/>
      <c r="M112" s="589"/>
      <c r="N112" s="588"/>
      <c r="O112" s="613"/>
      <c r="P112" s="614"/>
      <c r="Q112" s="614"/>
      <c r="R112" s="613"/>
      <c r="S112" s="635"/>
      <c r="T112" s="635"/>
      <c r="U112" s="635"/>
      <c r="V112" s="635"/>
      <c r="W112" s="635"/>
      <c r="AA112" s="49"/>
      <c r="AB112" s="588">
        <f t="shared" si="14"/>
        <v>45667</v>
      </c>
      <c r="AC112" s="589">
        <v>682.83</v>
      </c>
      <c r="AD112" s="589">
        <v>0</v>
      </c>
      <c r="AE112" s="589">
        <v>1622.27</v>
      </c>
      <c r="AF112" s="589">
        <v>0</v>
      </c>
      <c r="AG112" s="589">
        <v>0</v>
      </c>
      <c r="AH112" s="589">
        <v>923.09</v>
      </c>
      <c r="AI112" s="589">
        <v>0</v>
      </c>
      <c r="AJ112" s="589">
        <v>2507.56</v>
      </c>
      <c r="AK112" s="589">
        <v>0</v>
      </c>
      <c r="AL112" s="589">
        <v>0</v>
      </c>
      <c r="AM112" s="588"/>
      <c r="AN112" s="613"/>
      <c r="AO112" s="614"/>
      <c r="AP112" s="614"/>
      <c r="AQ112" s="613"/>
      <c r="AR112" s="635">
        <v>0</v>
      </c>
      <c r="AS112" s="635">
        <v>0</v>
      </c>
      <c r="AT112" s="635">
        <v>1622.27</v>
      </c>
      <c r="AU112" s="635">
        <v>0</v>
      </c>
      <c r="AV112" s="635">
        <v>0</v>
      </c>
    </row>
    <row r="113" spans="1:48">
      <c r="A113" s="49"/>
      <c r="C113" s="588"/>
      <c r="D113" s="589"/>
      <c r="E113" s="589"/>
      <c r="F113" s="589"/>
      <c r="G113" s="589"/>
      <c r="H113" s="589"/>
      <c r="I113" s="589"/>
      <c r="J113" s="589"/>
      <c r="K113" s="589"/>
      <c r="L113" s="589"/>
      <c r="M113" s="589"/>
      <c r="N113" s="588"/>
      <c r="O113" s="613"/>
      <c r="P113" s="614"/>
      <c r="Q113" s="614"/>
      <c r="R113" s="613"/>
      <c r="S113" s="635"/>
      <c r="T113" s="635"/>
      <c r="U113" s="635"/>
      <c r="V113" s="635"/>
      <c r="W113" s="635"/>
      <c r="AA113" s="49"/>
      <c r="AB113" s="588">
        <f t="shared" si="14"/>
        <v>45668</v>
      </c>
      <c r="AC113" s="589">
        <v>1281.34</v>
      </c>
      <c r="AD113" s="589">
        <v>0</v>
      </c>
      <c r="AE113" s="589">
        <v>0</v>
      </c>
      <c r="AF113" s="589">
        <v>0</v>
      </c>
      <c r="AG113" s="589">
        <v>0</v>
      </c>
      <c r="AH113" s="589">
        <v>1281.34</v>
      </c>
      <c r="AI113" s="589">
        <v>0</v>
      </c>
      <c r="AJ113" s="589">
        <v>0</v>
      </c>
      <c r="AK113" s="589">
        <v>0</v>
      </c>
      <c r="AL113" s="589">
        <v>0</v>
      </c>
      <c r="AM113" s="588"/>
      <c r="AN113" s="613"/>
      <c r="AO113" s="614"/>
      <c r="AP113" s="614"/>
      <c r="AQ113" s="613"/>
      <c r="AR113" s="635">
        <v>0</v>
      </c>
      <c r="AS113" s="635">
        <v>0</v>
      </c>
      <c r="AT113" s="635">
        <v>0</v>
      </c>
      <c r="AU113" s="635">
        <v>0</v>
      </c>
      <c r="AV113" s="635">
        <v>0</v>
      </c>
    </row>
    <row r="114" spans="1:48">
      <c r="A114" s="49"/>
      <c r="C114" s="588"/>
      <c r="D114" s="589"/>
      <c r="E114" s="589"/>
      <c r="F114" s="589"/>
      <c r="G114" s="589"/>
      <c r="H114" s="589"/>
      <c r="I114" s="589"/>
      <c r="J114" s="589"/>
      <c r="K114" s="589"/>
      <c r="L114" s="589"/>
      <c r="M114" s="589"/>
      <c r="N114" s="588"/>
      <c r="O114" s="613"/>
      <c r="P114" s="614"/>
      <c r="Q114" s="614"/>
      <c r="R114" s="613"/>
      <c r="S114" s="635"/>
      <c r="T114" s="635"/>
      <c r="U114" s="635"/>
      <c r="V114" s="635"/>
      <c r="W114" s="635"/>
      <c r="AA114" s="49"/>
      <c r="AB114" s="588">
        <f t="shared" si="14"/>
        <v>45669</v>
      </c>
      <c r="AC114" s="589">
        <v>0</v>
      </c>
      <c r="AD114" s="589">
        <v>0</v>
      </c>
      <c r="AE114" s="589">
        <v>0</v>
      </c>
      <c r="AF114" s="589">
        <v>0</v>
      </c>
      <c r="AG114" s="589">
        <v>0</v>
      </c>
      <c r="AH114" s="589">
        <v>0</v>
      </c>
      <c r="AI114" s="589">
        <v>0</v>
      </c>
      <c r="AJ114" s="589">
        <v>0</v>
      </c>
      <c r="AK114" s="589">
        <v>0</v>
      </c>
      <c r="AL114" s="589">
        <v>0</v>
      </c>
      <c r="AM114" s="588"/>
      <c r="AN114" s="613"/>
      <c r="AO114" s="614"/>
      <c r="AP114" s="614"/>
      <c r="AQ114" s="613"/>
      <c r="AR114" s="635">
        <v>4704.25</v>
      </c>
      <c r="AS114" s="635">
        <v>193.17</v>
      </c>
      <c r="AT114" s="635">
        <v>0</v>
      </c>
      <c r="AU114" s="635">
        <v>0</v>
      </c>
      <c r="AV114" s="635">
        <v>0</v>
      </c>
    </row>
    <row r="115" spans="1:48">
      <c r="A115" s="49"/>
      <c r="C115" s="588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8"/>
      <c r="O115" s="613"/>
      <c r="P115" s="614"/>
      <c r="Q115" s="614"/>
      <c r="R115" s="613"/>
      <c r="S115" s="635"/>
      <c r="T115" s="635"/>
      <c r="U115" s="635"/>
      <c r="V115" s="635"/>
      <c r="W115" s="635"/>
      <c r="AA115" s="49"/>
      <c r="AB115" s="588">
        <f t="shared" si="14"/>
        <v>45670</v>
      </c>
      <c r="AC115" s="589">
        <v>0</v>
      </c>
      <c r="AD115" s="589">
        <v>0</v>
      </c>
      <c r="AE115" s="589">
        <v>0</v>
      </c>
      <c r="AF115" s="589">
        <v>0</v>
      </c>
      <c r="AG115" s="589">
        <v>0</v>
      </c>
      <c r="AH115" s="589">
        <v>0</v>
      </c>
      <c r="AI115" s="589">
        <v>0</v>
      </c>
      <c r="AJ115" s="589">
        <v>0</v>
      </c>
      <c r="AK115" s="589">
        <v>0</v>
      </c>
      <c r="AL115" s="589">
        <v>0</v>
      </c>
      <c r="AM115" s="588"/>
      <c r="AN115" s="613"/>
      <c r="AO115" s="614"/>
      <c r="AP115" s="614"/>
      <c r="AQ115" s="613"/>
      <c r="AR115" s="635">
        <v>3021.48</v>
      </c>
      <c r="AS115" s="635">
        <v>0</v>
      </c>
      <c r="AT115" s="635">
        <v>0</v>
      </c>
      <c r="AU115" s="635">
        <v>0</v>
      </c>
      <c r="AV115" s="635">
        <v>0</v>
      </c>
    </row>
    <row r="116" spans="1:48">
      <c r="A116" s="49"/>
      <c r="C116" s="588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8"/>
      <c r="O116" s="613"/>
      <c r="P116" s="614"/>
      <c r="Q116" s="614"/>
      <c r="R116" s="613"/>
      <c r="S116" s="635"/>
      <c r="T116" s="635"/>
      <c r="U116" s="635"/>
      <c r="V116" s="635"/>
      <c r="W116" s="635"/>
      <c r="AA116" s="49"/>
      <c r="AB116" s="588">
        <f t="shared" si="14"/>
        <v>45671</v>
      </c>
      <c r="AC116" s="589">
        <v>0</v>
      </c>
      <c r="AD116" s="589">
        <v>0</v>
      </c>
      <c r="AE116" s="589">
        <v>0</v>
      </c>
      <c r="AF116" s="589">
        <v>0</v>
      </c>
      <c r="AG116" s="589">
        <v>0</v>
      </c>
      <c r="AH116" s="589">
        <v>0</v>
      </c>
      <c r="AI116" s="589">
        <v>0</v>
      </c>
      <c r="AJ116" s="589">
        <v>0</v>
      </c>
      <c r="AK116" s="589">
        <v>0</v>
      </c>
      <c r="AL116" s="589">
        <v>0</v>
      </c>
      <c r="AM116" s="588"/>
      <c r="AN116" s="613"/>
      <c r="AO116" s="614"/>
      <c r="AP116" s="614"/>
      <c r="AQ116" s="613"/>
      <c r="AR116" s="635">
        <v>0</v>
      </c>
      <c r="AS116" s="635">
        <v>0</v>
      </c>
      <c r="AT116" s="635">
        <v>0</v>
      </c>
      <c r="AU116" s="635">
        <v>0</v>
      </c>
      <c r="AV116" s="635">
        <v>0</v>
      </c>
    </row>
    <row r="117" spans="1:48">
      <c r="A117" s="49"/>
      <c r="C117" s="588"/>
      <c r="D117" s="589"/>
      <c r="E117" s="589"/>
      <c r="F117" s="589"/>
      <c r="G117" s="589"/>
      <c r="H117" s="589"/>
      <c r="I117" s="589"/>
      <c r="J117" s="589"/>
      <c r="K117" s="589"/>
      <c r="L117" s="589"/>
      <c r="M117" s="589"/>
      <c r="N117" s="588"/>
      <c r="O117" s="613"/>
      <c r="P117" s="614"/>
      <c r="Q117" s="614"/>
      <c r="R117" s="613"/>
      <c r="S117" s="635"/>
      <c r="T117" s="635"/>
      <c r="U117" s="635"/>
      <c r="V117" s="635"/>
      <c r="W117" s="635"/>
      <c r="AA117" s="49"/>
      <c r="AB117" s="588">
        <f t="shared" si="14"/>
        <v>45672</v>
      </c>
      <c r="AC117" s="589">
        <v>0</v>
      </c>
      <c r="AD117" s="589">
        <v>0</v>
      </c>
      <c r="AE117" s="589">
        <v>0</v>
      </c>
      <c r="AF117" s="589">
        <v>0</v>
      </c>
      <c r="AG117" s="589">
        <v>0</v>
      </c>
      <c r="AH117" s="589">
        <v>0</v>
      </c>
      <c r="AI117" s="589">
        <v>0</v>
      </c>
      <c r="AJ117" s="589">
        <v>0</v>
      </c>
      <c r="AK117" s="589">
        <v>0</v>
      </c>
      <c r="AL117" s="589">
        <v>0</v>
      </c>
      <c r="AM117" s="588"/>
      <c r="AN117" s="613"/>
      <c r="AO117" s="614"/>
      <c r="AP117" s="614"/>
      <c r="AQ117" s="613"/>
      <c r="AR117" s="635">
        <v>1505.51</v>
      </c>
      <c r="AS117" s="635">
        <v>240.9</v>
      </c>
      <c r="AT117" s="635">
        <v>0</v>
      </c>
      <c r="AU117" s="635">
        <v>0</v>
      </c>
      <c r="AV117" s="635">
        <v>0</v>
      </c>
    </row>
    <row r="118" spans="1:48">
      <c r="A118" s="49"/>
      <c r="C118" s="588"/>
      <c r="D118" s="589"/>
      <c r="E118" s="589"/>
      <c r="F118" s="589"/>
      <c r="G118" s="589"/>
      <c r="H118" s="589"/>
      <c r="I118" s="589"/>
      <c r="J118" s="589"/>
      <c r="K118" s="589"/>
      <c r="L118" s="589"/>
      <c r="M118" s="589"/>
      <c r="N118" s="588"/>
      <c r="O118" s="613"/>
      <c r="P118" s="614"/>
      <c r="Q118" s="614"/>
      <c r="R118" s="613"/>
      <c r="S118" s="635"/>
      <c r="T118" s="635"/>
      <c r="U118" s="635"/>
      <c r="V118" s="635"/>
      <c r="W118" s="635"/>
      <c r="AA118" s="49"/>
      <c r="AB118" s="588">
        <f t="shared" si="14"/>
        <v>45673</v>
      </c>
      <c r="AC118" s="589">
        <v>0</v>
      </c>
      <c r="AD118" s="589">
        <v>0</v>
      </c>
      <c r="AE118" s="589">
        <v>0</v>
      </c>
      <c r="AF118" s="589">
        <v>0</v>
      </c>
      <c r="AG118" s="589">
        <v>0</v>
      </c>
      <c r="AH118" s="589">
        <v>0</v>
      </c>
      <c r="AI118" s="589">
        <v>0</v>
      </c>
      <c r="AJ118" s="589">
        <v>0</v>
      </c>
      <c r="AK118" s="589">
        <v>0</v>
      </c>
      <c r="AL118" s="589">
        <v>0</v>
      </c>
      <c r="AM118" s="588"/>
      <c r="AN118" s="613"/>
      <c r="AO118" s="614"/>
      <c r="AP118" s="614"/>
      <c r="AQ118" s="613"/>
      <c r="AR118" s="635">
        <v>1174.36</v>
      </c>
      <c r="AS118" s="635">
        <v>106.38</v>
      </c>
      <c r="AT118" s="635">
        <v>0</v>
      </c>
      <c r="AU118" s="635">
        <v>0</v>
      </c>
      <c r="AV118" s="635">
        <v>0</v>
      </c>
    </row>
    <row r="119" spans="1:48">
      <c r="A119" s="49"/>
      <c r="C119" s="588"/>
      <c r="D119" s="589"/>
      <c r="E119" s="589"/>
      <c r="F119" s="589"/>
      <c r="G119" s="589"/>
      <c r="H119" s="589"/>
      <c r="I119" s="589"/>
      <c r="J119" s="589"/>
      <c r="K119" s="589"/>
      <c r="L119" s="589"/>
      <c r="M119" s="589"/>
      <c r="N119" s="588"/>
      <c r="O119" s="613"/>
      <c r="P119" s="614"/>
      <c r="Q119" s="614"/>
      <c r="R119" s="613"/>
      <c r="S119" s="635"/>
      <c r="T119" s="635"/>
      <c r="U119" s="635"/>
      <c r="V119" s="635"/>
      <c r="W119" s="635"/>
      <c r="AA119" s="49"/>
      <c r="AB119" s="588">
        <f t="shared" si="14"/>
        <v>45674</v>
      </c>
      <c r="AC119" s="589">
        <v>0</v>
      </c>
      <c r="AD119" s="589">
        <v>0</v>
      </c>
      <c r="AE119" s="589">
        <v>0</v>
      </c>
      <c r="AF119" s="589">
        <v>0</v>
      </c>
      <c r="AG119" s="589">
        <v>0</v>
      </c>
      <c r="AH119" s="589">
        <v>0</v>
      </c>
      <c r="AI119" s="589">
        <v>0</v>
      </c>
      <c r="AJ119" s="589">
        <v>0</v>
      </c>
      <c r="AK119" s="589">
        <v>0</v>
      </c>
      <c r="AL119" s="589">
        <v>0</v>
      </c>
      <c r="AM119" s="588"/>
      <c r="AN119" s="613"/>
      <c r="AO119" s="614"/>
      <c r="AP119" s="614"/>
      <c r="AQ119" s="613"/>
      <c r="AR119" s="635">
        <v>0</v>
      </c>
      <c r="AS119" s="635">
        <v>195.08</v>
      </c>
      <c r="AT119" s="635">
        <v>0</v>
      </c>
      <c r="AU119" s="635">
        <v>0</v>
      </c>
      <c r="AV119" s="635">
        <v>0</v>
      </c>
    </row>
    <row r="120" spans="1:48">
      <c r="A120" s="49"/>
      <c r="C120" s="588"/>
      <c r="D120" s="589"/>
      <c r="E120" s="589"/>
      <c r="F120" s="589"/>
      <c r="G120" s="589"/>
      <c r="H120" s="589"/>
      <c r="I120" s="589"/>
      <c r="J120" s="589"/>
      <c r="K120" s="589"/>
      <c r="L120" s="589"/>
      <c r="M120" s="589"/>
      <c r="N120" s="588"/>
      <c r="O120" s="613"/>
      <c r="P120" s="614"/>
      <c r="Q120" s="614"/>
      <c r="R120" s="613"/>
      <c r="S120" s="635"/>
      <c r="T120" s="635"/>
      <c r="U120" s="635"/>
      <c r="V120" s="635"/>
      <c r="W120" s="635"/>
      <c r="AA120" s="49"/>
      <c r="AB120" s="588">
        <f t="shared" si="14"/>
        <v>45675</v>
      </c>
      <c r="AC120" s="589">
        <v>0</v>
      </c>
      <c r="AD120" s="589">
        <v>0</v>
      </c>
      <c r="AE120" s="589">
        <v>0</v>
      </c>
      <c r="AF120" s="589">
        <v>0</v>
      </c>
      <c r="AG120" s="589">
        <v>0</v>
      </c>
      <c r="AH120" s="589">
        <v>0</v>
      </c>
      <c r="AI120" s="589">
        <v>0</v>
      </c>
      <c r="AJ120" s="589">
        <v>0</v>
      </c>
      <c r="AK120" s="589">
        <v>0</v>
      </c>
      <c r="AL120" s="589">
        <v>0</v>
      </c>
      <c r="AM120" s="588"/>
      <c r="AN120" s="613"/>
      <c r="AO120" s="614"/>
      <c r="AP120" s="614"/>
      <c r="AQ120" s="613"/>
      <c r="AR120" s="635">
        <v>0</v>
      </c>
      <c r="AS120" s="635">
        <v>0</v>
      </c>
      <c r="AT120" s="635">
        <v>0</v>
      </c>
      <c r="AU120" s="635">
        <v>0</v>
      </c>
      <c r="AV120" s="635">
        <v>0</v>
      </c>
    </row>
    <row r="121" spans="1:48">
      <c r="A121" s="49"/>
      <c r="C121" s="588"/>
      <c r="D121" s="589"/>
      <c r="E121" s="589"/>
      <c r="F121" s="589"/>
      <c r="G121" s="589"/>
      <c r="H121" s="589"/>
      <c r="I121" s="589"/>
      <c r="J121" s="589"/>
      <c r="K121" s="589"/>
      <c r="L121" s="589"/>
      <c r="M121" s="589"/>
      <c r="N121" s="588"/>
      <c r="O121" s="613"/>
      <c r="P121" s="614"/>
      <c r="Q121" s="614"/>
      <c r="R121" s="613"/>
      <c r="S121" s="635"/>
      <c r="T121" s="635"/>
      <c r="U121" s="635"/>
      <c r="V121" s="635"/>
      <c r="W121" s="635"/>
      <c r="AA121" s="49"/>
      <c r="AB121" s="588">
        <f t="shared" si="14"/>
        <v>45676</v>
      </c>
      <c r="AC121" s="589">
        <v>0</v>
      </c>
      <c r="AD121" s="589">
        <v>0</v>
      </c>
      <c r="AE121" s="589">
        <v>0</v>
      </c>
      <c r="AF121" s="589">
        <v>0</v>
      </c>
      <c r="AG121" s="589">
        <v>0</v>
      </c>
      <c r="AH121" s="589">
        <v>0</v>
      </c>
      <c r="AI121" s="589">
        <v>0</v>
      </c>
      <c r="AJ121" s="589">
        <v>0</v>
      </c>
      <c r="AK121" s="589">
        <v>0</v>
      </c>
      <c r="AL121" s="589">
        <v>0</v>
      </c>
      <c r="AM121" s="588"/>
      <c r="AN121" s="613"/>
      <c r="AO121" s="614"/>
      <c r="AP121" s="614"/>
      <c r="AQ121" s="613"/>
      <c r="AR121" s="635">
        <v>0</v>
      </c>
      <c r="AS121" s="635">
        <v>0</v>
      </c>
      <c r="AT121" s="635">
        <v>0</v>
      </c>
      <c r="AU121" s="635">
        <v>0</v>
      </c>
      <c r="AV121" s="635">
        <v>0</v>
      </c>
    </row>
    <row r="122" spans="1:48">
      <c r="A122" s="49"/>
      <c r="C122" s="588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8"/>
      <c r="O122" s="613"/>
      <c r="P122" s="614"/>
      <c r="Q122" s="614"/>
      <c r="R122" s="613"/>
      <c r="S122" s="635"/>
      <c r="T122" s="635"/>
      <c r="U122" s="635"/>
      <c r="V122" s="635"/>
      <c r="W122" s="635"/>
      <c r="AA122" s="49"/>
      <c r="AB122" s="588">
        <f t="shared" si="14"/>
        <v>45677</v>
      </c>
      <c r="AC122" s="589">
        <v>1207.98</v>
      </c>
      <c r="AD122" s="589">
        <v>0</v>
      </c>
      <c r="AE122" s="589">
        <v>4220.99</v>
      </c>
      <c r="AF122" s="589">
        <v>0</v>
      </c>
      <c r="AG122" s="589">
        <v>0</v>
      </c>
      <c r="AH122" s="589">
        <v>533.61</v>
      </c>
      <c r="AI122" s="589">
        <v>0</v>
      </c>
      <c r="AJ122" s="589">
        <v>3281.49</v>
      </c>
      <c r="AK122" s="589">
        <v>0</v>
      </c>
      <c r="AL122" s="589">
        <v>0</v>
      </c>
      <c r="AM122" s="588"/>
      <c r="AN122" s="613"/>
      <c r="AO122" s="614"/>
      <c r="AP122" s="614"/>
      <c r="AQ122" s="613"/>
      <c r="AR122" s="635">
        <v>0</v>
      </c>
      <c r="AS122" s="635">
        <v>0</v>
      </c>
      <c r="AT122" s="635">
        <v>4220.99</v>
      </c>
      <c r="AU122" s="635">
        <v>0</v>
      </c>
      <c r="AV122" s="635">
        <v>0</v>
      </c>
    </row>
    <row r="123" spans="1:48">
      <c r="A123" s="49"/>
      <c r="C123" s="588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8"/>
      <c r="O123" s="613"/>
      <c r="P123" s="614"/>
      <c r="Q123" s="614"/>
      <c r="R123" s="613"/>
      <c r="S123" s="635"/>
      <c r="T123" s="635"/>
      <c r="U123" s="635"/>
      <c r="V123" s="635"/>
      <c r="W123" s="635"/>
      <c r="AA123" s="49"/>
      <c r="AB123" s="588">
        <f t="shared" si="14"/>
        <v>45678</v>
      </c>
      <c r="AC123" s="589">
        <v>1480.8</v>
      </c>
      <c r="AD123" s="589">
        <v>0</v>
      </c>
      <c r="AE123" s="589">
        <v>1851.63</v>
      </c>
      <c r="AF123" s="589">
        <v>0</v>
      </c>
      <c r="AG123" s="589">
        <v>0</v>
      </c>
      <c r="AH123" s="589">
        <v>0</v>
      </c>
      <c r="AI123" s="589">
        <v>0</v>
      </c>
      <c r="AJ123" s="589">
        <v>0</v>
      </c>
      <c r="AK123" s="589">
        <v>0</v>
      </c>
      <c r="AL123" s="589">
        <v>0</v>
      </c>
      <c r="AM123" s="588"/>
      <c r="AN123" s="613"/>
      <c r="AO123" s="614"/>
      <c r="AP123" s="614"/>
      <c r="AQ123" s="613"/>
      <c r="AR123" s="635">
        <v>0</v>
      </c>
      <c r="AS123" s="635">
        <v>0</v>
      </c>
      <c r="AT123" s="635">
        <v>1851.63</v>
      </c>
      <c r="AU123" s="635">
        <v>0</v>
      </c>
      <c r="AV123" s="635">
        <v>0</v>
      </c>
    </row>
    <row r="124" spans="1:48">
      <c r="A124" s="49"/>
      <c r="C124" s="588"/>
      <c r="D124" s="589"/>
      <c r="E124" s="589"/>
      <c r="F124" s="589"/>
      <c r="G124" s="589"/>
      <c r="H124" s="589"/>
      <c r="I124" s="589"/>
      <c r="J124" s="589"/>
      <c r="K124" s="589"/>
      <c r="L124" s="589"/>
      <c r="M124" s="589"/>
      <c r="N124" s="588"/>
      <c r="O124" s="613"/>
      <c r="P124" s="614"/>
      <c r="Q124" s="614"/>
      <c r="R124" s="613"/>
      <c r="S124" s="635"/>
      <c r="T124" s="635"/>
      <c r="U124" s="635"/>
      <c r="V124" s="635"/>
      <c r="W124" s="635"/>
      <c r="AA124" s="49"/>
      <c r="AB124" s="588">
        <f t="shared" si="14"/>
        <v>45679</v>
      </c>
      <c r="AC124" s="589">
        <v>1579.89</v>
      </c>
      <c r="AD124" s="589">
        <v>0</v>
      </c>
      <c r="AE124" s="589">
        <v>2876.4</v>
      </c>
      <c r="AF124" s="589">
        <v>0</v>
      </c>
      <c r="AG124" s="589">
        <v>0</v>
      </c>
      <c r="AH124" s="589">
        <v>1145.44</v>
      </c>
      <c r="AI124" s="589">
        <v>0</v>
      </c>
      <c r="AJ124" s="589">
        <v>2276.52</v>
      </c>
      <c r="AK124" s="589">
        <v>0</v>
      </c>
      <c r="AL124" s="589">
        <v>0</v>
      </c>
      <c r="AM124" s="588"/>
      <c r="AN124" s="613"/>
      <c r="AO124" s="614"/>
      <c r="AP124" s="614"/>
      <c r="AQ124" s="613"/>
      <c r="AR124" s="635">
        <v>0</v>
      </c>
      <c r="AS124" s="635">
        <v>0</v>
      </c>
      <c r="AT124" s="635">
        <v>0</v>
      </c>
      <c r="AU124" s="635">
        <v>0</v>
      </c>
      <c r="AV124" s="635">
        <v>0</v>
      </c>
    </row>
    <row r="125" spans="1:48">
      <c r="A125" s="49"/>
      <c r="C125" s="588"/>
      <c r="D125" s="589"/>
      <c r="E125" s="589"/>
      <c r="F125" s="589"/>
      <c r="G125" s="589"/>
      <c r="H125" s="589"/>
      <c r="I125" s="589"/>
      <c r="J125" s="589"/>
      <c r="K125" s="589"/>
      <c r="L125" s="589"/>
      <c r="M125" s="589"/>
      <c r="N125" s="588"/>
      <c r="O125" s="613"/>
      <c r="P125" s="614"/>
      <c r="Q125" s="614"/>
      <c r="R125" s="613"/>
      <c r="S125" s="635"/>
      <c r="T125" s="635"/>
      <c r="U125" s="635"/>
      <c r="V125" s="635"/>
      <c r="W125" s="635"/>
      <c r="AA125" s="49"/>
      <c r="AB125" s="588">
        <f t="shared" si="14"/>
        <v>45680</v>
      </c>
      <c r="AC125" s="589">
        <v>1956.95</v>
      </c>
      <c r="AD125" s="589">
        <v>0</v>
      </c>
      <c r="AE125" s="589">
        <v>2478.94</v>
      </c>
      <c r="AF125" s="589">
        <v>0</v>
      </c>
      <c r="AG125" s="589">
        <v>0</v>
      </c>
      <c r="AH125" s="589">
        <v>0</v>
      </c>
      <c r="AI125" s="589">
        <v>0</v>
      </c>
      <c r="AJ125" s="589">
        <v>0</v>
      </c>
      <c r="AK125" s="589">
        <v>0</v>
      </c>
      <c r="AL125" s="589">
        <v>0</v>
      </c>
      <c r="AM125" s="588"/>
      <c r="AN125" s="613"/>
      <c r="AO125" s="614"/>
      <c r="AP125" s="614"/>
      <c r="AQ125" s="613"/>
      <c r="AR125" s="635">
        <v>0</v>
      </c>
      <c r="AS125" s="635">
        <v>0</v>
      </c>
      <c r="AT125" s="635">
        <v>0</v>
      </c>
      <c r="AU125" s="635">
        <v>0</v>
      </c>
      <c r="AV125" s="635">
        <v>0</v>
      </c>
    </row>
    <row r="126" spans="1:48">
      <c r="A126" s="49"/>
      <c r="C126" s="588"/>
      <c r="D126" s="589"/>
      <c r="E126" s="589"/>
      <c r="F126" s="589"/>
      <c r="G126" s="589"/>
      <c r="H126" s="589"/>
      <c r="I126" s="589"/>
      <c r="J126" s="589"/>
      <c r="K126" s="589"/>
      <c r="L126" s="589"/>
      <c r="M126" s="589"/>
      <c r="N126" s="588"/>
      <c r="O126" s="613"/>
      <c r="P126" s="614"/>
      <c r="Q126" s="614"/>
      <c r="R126" s="613"/>
      <c r="S126" s="635"/>
      <c r="T126" s="635"/>
      <c r="U126" s="635"/>
      <c r="V126" s="635"/>
      <c r="W126" s="635"/>
      <c r="AA126" s="49"/>
      <c r="AB126" s="588">
        <f t="shared" si="14"/>
        <v>45681</v>
      </c>
      <c r="AC126" s="589">
        <v>1775.22</v>
      </c>
      <c r="AD126" s="589">
        <v>0</v>
      </c>
      <c r="AE126" s="589">
        <v>2666.6</v>
      </c>
      <c r="AF126" s="589">
        <v>0</v>
      </c>
      <c r="AG126" s="589">
        <v>0</v>
      </c>
      <c r="AH126" s="589">
        <v>0</v>
      </c>
      <c r="AI126" s="589">
        <v>0</v>
      </c>
      <c r="AJ126" s="589">
        <v>0</v>
      </c>
      <c r="AK126" s="589">
        <v>0</v>
      </c>
      <c r="AL126" s="589">
        <v>0</v>
      </c>
      <c r="AM126" s="588"/>
      <c r="AN126" s="613"/>
      <c r="AO126" s="614"/>
      <c r="AP126" s="614"/>
      <c r="AQ126" s="613"/>
      <c r="AR126" s="635">
        <v>0</v>
      </c>
      <c r="AS126" s="635">
        <v>0</v>
      </c>
      <c r="AT126" s="635">
        <v>0</v>
      </c>
      <c r="AU126" s="635">
        <v>0</v>
      </c>
      <c r="AV126" s="635">
        <v>0</v>
      </c>
    </row>
    <row r="127" spans="1:48">
      <c r="A127" s="49"/>
      <c r="C127" s="588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8"/>
      <c r="O127" s="613"/>
      <c r="P127" s="614"/>
      <c r="Q127" s="614"/>
      <c r="R127" s="613"/>
      <c r="S127" s="635"/>
      <c r="T127" s="635"/>
      <c r="U127" s="635"/>
      <c r="V127" s="635"/>
      <c r="W127" s="635"/>
      <c r="AA127" s="49"/>
      <c r="AB127" s="588">
        <f t="shared" si="14"/>
        <v>45682</v>
      </c>
      <c r="AC127" s="589">
        <v>1472.77</v>
      </c>
      <c r="AD127" s="589">
        <v>0</v>
      </c>
      <c r="AE127" s="589">
        <v>2046.19</v>
      </c>
      <c r="AF127" s="589">
        <v>0</v>
      </c>
      <c r="AG127" s="589">
        <v>0</v>
      </c>
      <c r="AH127" s="589">
        <v>0</v>
      </c>
      <c r="AI127" s="589">
        <v>0</v>
      </c>
      <c r="AJ127" s="589">
        <v>2189.8</v>
      </c>
      <c r="AK127" s="589">
        <v>0</v>
      </c>
      <c r="AL127" s="589">
        <v>0</v>
      </c>
      <c r="AM127" s="588"/>
      <c r="AN127" s="613"/>
      <c r="AO127" s="614"/>
      <c r="AP127" s="614"/>
      <c r="AQ127" s="613"/>
      <c r="AR127" s="635">
        <v>0</v>
      </c>
      <c r="AS127" s="635">
        <v>0</v>
      </c>
      <c r="AT127" s="635">
        <v>2046.19</v>
      </c>
      <c r="AU127" s="635">
        <v>0</v>
      </c>
      <c r="AV127" s="635">
        <v>0</v>
      </c>
    </row>
    <row r="128" spans="1:48">
      <c r="A128" s="49"/>
      <c r="C128" s="588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8"/>
      <c r="O128" s="613"/>
      <c r="P128" s="614"/>
      <c r="Q128" s="614"/>
      <c r="R128" s="613"/>
      <c r="S128" s="635"/>
      <c r="T128" s="635"/>
      <c r="U128" s="635"/>
      <c r="V128" s="635"/>
      <c r="W128" s="635"/>
      <c r="AA128" s="49"/>
      <c r="AB128" s="588">
        <f t="shared" si="14"/>
        <v>45683</v>
      </c>
      <c r="AC128" s="589">
        <v>1475.89</v>
      </c>
      <c r="AD128" s="589">
        <v>0</v>
      </c>
      <c r="AE128" s="589">
        <v>0</v>
      </c>
      <c r="AF128" s="589">
        <v>0</v>
      </c>
      <c r="AG128" s="589">
        <v>0</v>
      </c>
      <c r="AH128" s="589">
        <v>1611.45</v>
      </c>
      <c r="AI128" s="589">
        <v>0</v>
      </c>
      <c r="AJ128" s="589">
        <v>580.42</v>
      </c>
      <c r="AK128" s="589">
        <v>0</v>
      </c>
      <c r="AL128" s="589">
        <v>0</v>
      </c>
      <c r="AM128" s="588"/>
      <c r="AN128" s="613"/>
      <c r="AO128" s="614"/>
      <c r="AP128" s="614"/>
      <c r="AQ128" s="613"/>
      <c r="AR128" s="635">
        <v>0</v>
      </c>
      <c r="AS128" s="635">
        <v>284.61</v>
      </c>
      <c r="AT128" s="635">
        <v>0</v>
      </c>
      <c r="AU128" s="635">
        <v>0</v>
      </c>
      <c r="AV128" s="635">
        <v>0</v>
      </c>
    </row>
    <row r="129" spans="1:48">
      <c r="A129" s="49"/>
      <c r="C129" s="588"/>
      <c r="D129" s="589"/>
      <c r="E129" s="589"/>
      <c r="F129" s="589"/>
      <c r="G129" s="589"/>
      <c r="H129" s="589"/>
      <c r="I129" s="589"/>
      <c r="J129" s="589"/>
      <c r="K129" s="589"/>
      <c r="L129" s="589"/>
      <c r="M129" s="589"/>
      <c r="N129" s="588"/>
      <c r="O129" s="613"/>
      <c r="P129" s="614"/>
      <c r="Q129" s="614"/>
      <c r="R129" s="613"/>
      <c r="S129" s="635"/>
      <c r="T129" s="635"/>
      <c r="U129" s="635"/>
      <c r="V129" s="635"/>
      <c r="W129" s="635"/>
      <c r="AA129" s="49"/>
      <c r="AB129" s="588">
        <f t="shared" si="14"/>
        <v>45684</v>
      </c>
      <c r="AC129" s="589">
        <v>933.43</v>
      </c>
      <c r="AD129" s="589">
        <v>996.12</v>
      </c>
      <c r="AE129" s="589">
        <v>0</v>
      </c>
      <c r="AF129" s="589">
        <v>0</v>
      </c>
      <c r="AG129" s="589">
        <v>0</v>
      </c>
      <c r="AH129" s="589">
        <v>1458.33</v>
      </c>
      <c r="AI129" s="589">
        <v>84.87</v>
      </c>
      <c r="AJ129" s="589">
        <v>0</v>
      </c>
      <c r="AK129" s="589">
        <v>0</v>
      </c>
      <c r="AL129" s="589">
        <v>0</v>
      </c>
      <c r="AM129" s="588"/>
      <c r="AN129" s="613"/>
      <c r="AO129" s="614"/>
      <c r="AP129" s="614"/>
      <c r="AQ129" s="613"/>
      <c r="AR129" s="635">
        <v>0</v>
      </c>
      <c r="AS129" s="635">
        <v>203.12</v>
      </c>
      <c r="AT129" s="635">
        <v>0</v>
      </c>
      <c r="AU129" s="635">
        <v>0</v>
      </c>
      <c r="AV129" s="635">
        <v>0</v>
      </c>
    </row>
    <row r="130" spans="1:48">
      <c r="A130" s="49"/>
      <c r="C130" s="588"/>
      <c r="D130" s="589"/>
      <c r="E130" s="589"/>
      <c r="F130" s="589"/>
      <c r="G130" s="589"/>
      <c r="H130" s="589"/>
      <c r="I130" s="589"/>
      <c r="J130" s="589"/>
      <c r="K130" s="589"/>
      <c r="L130" s="589"/>
      <c r="M130" s="589"/>
      <c r="N130" s="588"/>
      <c r="O130" s="613"/>
      <c r="P130" s="614"/>
      <c r="Q130" s="614"/>
      <c r="R130" s="613"/>
      <c r="S130" s="635"/>
      <c r="T130" s="635"/>
      <c r="U130" s="635"/>
      <c r="V130" s="635"/>
      <c r="W130" s="635"/>
      <c r="AA130" s="49"/>
      <c r="AB130" s="588">
        <f t="shared" si="14"/>
        <v>45685</v>
      </c>
      <c r="AC130" s="589">
        <v>1593.37</v>
      </c>
      <c r="AD130" s="589">
        <v>46.69</v>
      </c>
      <c r="AE130" s="589">
        <v>0</v>
      </c>
      <c r="AF130" s="589">
        <v>0</v>
      </c>
      <c r="AG130" s="589">
        <v>0</v>
      </c>
      <c r="AH130" s="589">
        <v>903.39</v>
      </c>
      <c r="AI130" s="589">
        <v>957.94</v>
      </c>
      <c r="AJ130" s="589">
        <v>0</v>
      </c>
      <c r="AK130" s="589">
        <v>0</v>
      </c>
      <c r="AL130" s="589">
        <v>0</v>
      </c>
      <c r="AM130" s="588"/>
      <c r="AN130" s="613"/>
      <c r="AO130" s="614"/>
      <c r="AP130" s="614"/>
      <c r="AQ130" s="613"/>
      <c r="AR130" s="635">
        <v>3107.45</v>
      </c>
      <c r="AS130" s="635">
        <v>0</v>
      </c>
      <c r="AT130" s="635">
        <v>0</v>
      </c>
      <c r="AU130" s="635">
        <v>0</v>
      </c>
      <c r="AV130" s="635">
        <v>0</v>
      </c>
    </row>
    <row r="131" spans="1:48">
      <c r="A131" s="49"/>
      <c r="C131" s="588"/>
      <c r="D131" s="589"/>
      <c r="E131" s="589"/>
      <c r="F131" s="589"/>
      <c r="G131" s="589"/>
      <c r="H131" s="589"/>
      <c r="I131" s="589"/>
      <c r="J131" s="589"/>
      <c r="K131" s="589"/>
      <c r="L131" s="589"/>
      <c r="M131" s="589"/>
      <c r="N131" s="588"/>
      <c r="O131" s="613"/>
      <c r="P131" s="614"/>
      <c r="Q131" s="614"/>
      <c r="R131" s="613"/>
      <c r="S131" s="635"/>
      <c r="T131" s="635"/>
      <c r="U131" s="635"/>
      <c r="V131" s="635"/>
      <c r="W131" s="635"/>
      <c r="AA131" s="49"/>
      <c r="AB131" s="588">
        <f t="shared" si="14"/>
        <v>45686</v>
      </c>
      <c r="AC131" s="589">
        <v>1299.08</v>
      </c>
      <c r="AD131" s="589">
        <v>0</v>
      </c>
      <c r="AE131" s="589">
        <v>0</v>
      </c>
      <c r="AF131" s="589">
        <v>0</v>
      </c>
      <c r="AG131" s="589">
        <v>0</v>
      </c>
      <c r="AH131" s="589">
        <v>1939.83</v>
      </c>
      <c r="AI131" s="589">
        <v>0</v>
      </c>
      <c r="AJ131" s="589">
        <v>0</v>
      </c>
      <c r="AK131" s="589">
        <v>0</v>
      </c>
      <c r="AL131" s="589">
        <v>0</v>
      </c>
      <c r="AM131" s="588"/>
      <c r="AN131" s="613"/>
      <c r="AO131" s="614"/>
      <c r="AP131" s="614"/>
      <c r="AQ131" s="613"/>
      <c r="AR131" s="635">
        <v>704.57</v>
      </c>
      <c r="AS131" s="635">
        <v>256.99</v>
      </c>
      <c r="AT131" s="635">
        <v>0</v>
      </c>
      <c r="AU131" s="635">
        <v>0</v>
      </c>
      <c r="AV131" s="635">
        <v>0</v>
      </c>
    </row>
    <row r="132" spans="1:48">
      <c r="A132" s="49"/>
      <c r="C132" s="588"/>
      <c r="D132" s="589"/>
      <c r="E132" s="589"/>
      <c r="F132" s="589"/>
      <c r="G132" s="589"/>
      <c r="H132" s="589"/>
      <c r="I132" s="589"/>
      <c r="J132" s="589"/>
      <c r="K132" s="589"/>
      <c r="L132" s="589"/>
      <c r="M132" s="589"/>
      <c r="N132" s="588"/>
      <c r="O132" s="613"/>
      <c r="P132" s="614"/>
      <c r="Q132" s="614"/>
      <c r="R132" s="613"/>
      <c r="S132" s="653"/>
      <c r="T132" s="653"/>
      <c r="U132" s="653"/>
      <c r="V132" s="635"/>
      <c r="W132" s="635"/>
      <c r="AA132" s="49"/>
      <c r="AB132" s="588">
        <f t="shared" si="14"/>
        <v>45687</v>
      </c>
      <c r="AC132" s="589">
        <v>939.25</v>
      </c>
      <c r="AD132" s="589">
        <v>0</v>
      </c>
      <c r="AE132" s="589">
        <v>0</v>
      </c>
      <c r="AF132" s="589">
        <v>0</v>
      </c>
      <c r="AG132" s="589">
        <v>0</v>
      </c>
      <c r="AH132" s="589">
        <v>942.8</v>
      </c>
      <c r="AI132" s="589">
        <v>0</v>
      </c>
      <c r="AJ132" s="589">
        <v>0</v>
      </c>
      <c r="AK132" s="589">
        <v>0</v>
      </c>
      <c r="AL132" s="589">
        <v>0</v>
      </c>
      <c r="AM132" s="588"/>
      <c r="AN132" s="613"/>
      <c r="AO132" s="614"/>
      <c r="AP132" s="614"/>
      <c r="AQ132" s="613"/>
      <c r="AR132" s="653">
        <v>1390.71</v>
      </c>
      <c r="AS132" s="653">
        <v>163.85</v>
      </c>
      <c r="AT132" s="653">
        <v>0</v>
      </c>
      <c r="AU132" s="635">
        <v>0</v>
      </c>
      <c r="AV132" s="635">
        <v>0</v>
      </c>
    </row>
    <row r="133" spans="1:48">
      <c r="A133" s="49"/>
      <c r="C133" s="588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8"/>
      <c r="O133" s="613"/>
      <c r="P133" s="614"/>
      <c r="Q133" s="614"/>
      <c r="R133" s="613"/>
      <c r="S133" s="653"/>
      <c r="T133" s="653"/>
      <c r="U133" s="653"/>
      <c r="V133" s="654"/>
      <c r="W133" s="654"/>
      <c r="AA133" s="49"/>
      <c r="AB133" s="588">
        <f t="shared" si="14"/>
        <v>45688</v>
      </c>
      <c r="AC133" s="589">
        <v>938.28</v>
      </c>
      <c r="AD133" s="589">
        <v>0</v>
      </c>
      <c r="AE133" s="589">
        <v>0</v>
      </c>
      <c r="AF133" s="589">
        <v>0</v>
      </c>
      <c r="AG133" s="589">
        <v>0</v>
      </c>
      <c r="AH133" s="589">
        <v>566.79</v>
      </c>
      <c r="AI133" s="589">
        <v>0</v>
      </c>
      <c r="AJ133" s="589">
        <v>0</v>
      </c>
      <c r="AK133" s="589">
        <v>0</v>
      </c>
      <c r="AL133" s="589">
        <v>0</v>
      </c>
      <c r="AM133" s="588"/>
      <c r="AN133" s="613"/>
      <c r="AO133" s="614"/>
      <c r="AP133" s="614"/>
      <c r="AQ133" s="613"/>
      <c r="AR133" s="653">
        <v>1878.36</v>
      </c>
      <c r="AS133" s="653">
        <v>132.55</v>
      </c>
      <c r="AT133" s="653">
        <v>0</v>
      </c>
      <c r="AU133" s="654">
        <v>0</v>
      </c>
      <c r="AV133" s="654">
        <v>0</v>
      </c>
    </row>
    <row r="134" spans="1:48">
      <c r="A134" s="49"/>
      <c r="C134" s="10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8"/>
      <c r="O134" s="613"/>
      <c r="P134" s="614"/>
      <c r="Q134" s="614"/>
      <c r="R134" s="613"/>
      <c r="S134" s="654"/>
      <c r="T134" s="653"/>
      <c r="U134" s="653"/>
      <c r="V134" s="654"/>
      <c r="W134" s="654"/>
      <c r="AA134" s="49"/>
      <c r="AB134" s="10"/>
      <c r="AC134" s="589"/>
      <c r="AD134" s="589"/>
      <c r="AE134" s="589"/>
      <c r="AF134" s="589"/>
      <c r="AG134" s="589"/>
      <c r="AH134" s="589"/>
      <c r="AI134" s="589"/>
      <c r="AJ134" s="589"/>
      <c r="AK134" s="589"/>
      <c r="AL134" s="589"/>
      <c r="AM134" s="588"/>
      <c r="AN134" s="613"/>
      <c r="AO134" s="614"/>
      <c r="AP134" s="614"/>
      <c r="AQ134" s="613"/>
      <c r="AR134" s="654"/>
      <c r="AS134" s="653"/>
      <c r="AT134" s="654"/>
      <c r="AU134" s="654"/>
      <c r="AV134" s="654"/>
    </row>
    <row r="135" spans="1:48">
      <c r="A135" s="49"/>
      <c r="C135" s="515"/>
      <c r="D135" s="644"/>
      <c r="E135" s="644"/>
      <c r="F135" s="644"/>
      <c r="G135" s="644"/>
      <c r="H135" s="644"/>
      <c r="I135" s="644"/>
      <c r="J135" s="644"/>
      <c r="K135" s="644"/>
      <c r="L135" s="644"/>
      <c r="M135" s="644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AA135" s="49"/>
      <c r="AB135" s="515" t="s">
        <v>263</v>
      </c>
      <c r="AC135" s="644">
        <f>SUM(AC103:AC134)</f>
        <v>29065.66</v>
      </c>
      <c r="AD135" s="644">
        <f t="shared" ref="AD135:AV135" si="15">SUM(AD103:AD134)</f>
        <v>2401.3</v>
      </c>
      <c r="AE135" s="644">
        <f t="shared" si="15"/>
        <v>29180.99</v>
      </c>
      <c r="AF135" s="644">
        <f t="shared" si="15"/>
        <v>0</v>
      </c>
      <c r="AG135" s="644">
        <f t="shared" si="15"/>
        <v>0</v>
      </c>
      <c r="AH135" s="644">
        <f t="shared" si="15"/>
        <v>21748.28</v>
      </c>
      <c r="AI135" s="644">
        <f t="shared" si="15"/>
        <v>2401.3</v>
      </c>
      <c r="AJ135" s="644">
        <f t="shared" si="15"/>
        <v>22987.47</v>
      </c>
      <c r="AK135" s="644">
        <f t="shared" si="15"/>
        <v>0</v>
      </c>
      <c r="AL135" s="644">
        <f t="shared" si="15"/>
        <v>0</v>
      </c>
      <c r="AM135" s="652">
        <f t="shared" si="15"/>
        <v>0</v>
      </c>
      <c r="AN135" s="652">
        <f t="shared" si="15"/>
        <v>0</v>
      </c>
      <c r="AO135" s="652">
        <f t="shared" si="15"/>
        <v>0</v>
      </c>
      <c r="AP135" s="652">
        <f t="shared" si="15"/>
        <v>0</v>
      </c>
      <c r="AQ135" s="652">
        <f t="shared" si="15"/>
        <v>0</v>
      </c>
      <c r="AR135" s="652">
        <f t="shared" si="15"/>
        <v>25716.03</v>
      </c>
      <c r="AS135" s="652">
        <f t="shared" si="15"/>
        <v>2232.15</v>
      </c>
      <c r="AT135" s="652">
        <f t="shared" si="15"/>
        <v>21159.05</v>
      </c>
      <c r="AU135" s="652">
        <f t="shared" si="15"/>
        <v>0</v>
      </c>
      <c r="AV135" s="652">
        <f t="shared" si="15"/>
        <v>0</v>
      </c>
    </row>
    <row r="136" spans="1:46">
      <c r="A136" s="49"/>
      <c r="I136" s="76"/>
      <c r="K136" s="76"/>
      <c r="S136" s="76"/>
      <c r="T136" s="76"/>
      <c r="U136" s="76"/>
      <c r="V136" s="76"/>
      <c r="AA136" s="49"/>
      <c r="AH136" s="468">
        <f>AH135+AI135</f>
        <v>24149.58</v>
      </c>
      <c r="AI136" s="76">
        <f>AH136-AR136</f>
        <v>-3798.6</v>
      </c>
      <c r="AJ136" s="76">
        <f>AJ135-AT135</f>
        <v>1828.41999999999</v>
      </c>
      <c r="AR136" s="468">
        <f>AR135+AS135</f>
        <v>27948.18</v>
      </c>
      <c r="AT136" s="655">
        <v>1761.49</v>
      </c>
    </row>
    <row r="137" s="451" customFormat="1" spans="1:46">
      <c r="A137" s="49"/>
      <c r="AB137" s="451" t="s">
        <v>264</v>
      </c>
      <c r="AT137" s="656">
        <f>AT135-AT136</f>
        <v>19397.56</v>
      </c>
    </row>
    <row r="138" spans="1:27">
      <c r="A138" s="49"/>
      <c r="I138" s="76"/>
      <c r="K138" s="76"/>
      <c r="AA138" s="49"/>
    </row>
    <row r="139" ht="28" spans="1:34">
      <c r="A139" s="49"/>
      <c r="AA139" s="49"/>
      <c r="AC139" s="645" t="s">
        <v>168</v>
      </c>
      <c r="AD139" s="645" t="s">
        <v>261</v>
      </c>
      <c r="AE139" s="646" t="s">
        <v>265</v>
      </c>
      <c r="AF139" s="646" t="s">
        <v>266</v>
      </c>
      <c r="AG139" s="646" t="s">
        <v>267</v>
      </c>
      <c r="AH139" s="646" t="s">
        <v>268</v>
      </c>
    </row>
    <row r="140" spans="1:36">
      <c r="A140" s="49"/>
      <c r="C140" s="645"/>
      <c r="D140" s="645"/>
      <c r="E140" s="646"/>
      <c r="F140" s="646"/>
      <c r="G140" s="646"/>
      <c r="H140" s="646"/>
      <c r="AA140" s="49"/>
      <c r="AC140" s="647" t="s">
        <v>10</v>
      </c>
      <c r="AD140" s="648">
        <v>30002.3</v>
      </c>
      <c r="AE140" s="649">
        <v>105.600000000002</v>
      </c>
      <c r="AF140" s="650">
        <v>284.112689393933</v>
      </c>
      <c r="AG140" s="649">
        <v>314.709999999999</v>
      </c>
      <c r="AH140" s="651">
        <v>95.3331638651459</v>
      </c>
      <c r="AJ140" s="35" t="s">
        <v>269</v>
      </c>
    </row>
    <row r="141" spans="1:34">
      <c r="A141" s="49"/>
      <c r="C141" s="647"/>
      <c r="D141" s="648"/>
      <c r="E141" s="649"/>
      <c r="F141" s="650"/>
      <c r="G141" s="649"/>
      <c r="H141" s="651"/>
      <c r="AA141" s="49"/>
      <c r="AC141" s="647" t="s">
        <v>270</v>
      </c>
      <c r="AD141" s="648">
        <v>25014.32</v>
      </c>
      <c r="AE141" s="649">
        <v>85.0399999999972</v>
      </c>
      <c r="AF141" s="650">
        <v>294.147695202267</v>
      </c>
      <c r="AG141" s="649">
        <v>210.000000000002</v>
      </c>
      <c r="AH141" s="651">
        <v>119.115809523808</v>
      </c>
    </row>
    <row r="142" spans="1:34">
      <c r="A142" s="49"/>
      <c r="C142" s="647"/>
      <c r="D142" s="648"/>
      <c r="E142" s="649"/>
      <c r="F142" s="650"/>
      <c r="G142" s="649"/>
      <c r="H142" s="651"/>
      <c r="AA142" s="49"/>
      <c r="AC142" s="647" t="s">
        <v>271</v>
      </c>
      <c r="AD142" s="648">
        <v>2405.18</v>
      </c>
      <c r="AE142" s="649">
        <v>7.11000000000058</v>
      </c>
      <c r="AF142" s="650">
        <v>338.281293952152</v>
      </c>
      <c r="AG142" s="649">
        <v>0</v>
      </c>
      <c r="AH142" s="651">
        <v>0</v>
      </c>
    </row>
    <row r="143" spans="1:34">
      <c r="A143" s="49"/>
      <c r="C143" s="647"/>
      <c r="D143" s="648"/>
      <c r="E143" s="649"/>
      <c r="F143" s="650"/>
      <c r="G143" s="649"/>
      <c r="H143" s="651"/>
      <c r="AA143" s="49"/>
      <c r="AC143" s="647" t="s">
        <v>50</v>
      </c>
      <c r="AD143" s="648">
        <v>0</v>
      </c>
      <c r="AE143" s="649">
        <v>0</v>
      </c>
      <c r="AF143" s="650">
        <v>0</v>
      </c>
      <c r="AG143" s="649">
        <v>0</v>
      </c>
      <c r="AH143" s="651">
        <v>0</v>
      </c>
    </row>
    <row r="144" spans="1:34">
      <c r="A144" s="49"/>
      <c r="C144" s="647"/>
      <c r="D144" s="648"/>
      <c r="E144" s="649"/>
      <c r="F144" s="650"/>
      <c r="G144" s="649"/>
      <c r="H144" s="651"/>
      <c r="AA144" s="49"/>
      <c r="AC144" s="647" t="s">
        <v>1</v>
      </c>
      <c r="AD144" s="648">
        <v>0</v>
      </c>
      <c r="AE144" s="649">
        <v>0</v>
      </c>
      <c r="AF144" s="650">
        <v>0</v>
      </c>
      <c r="AG144" s="649">
        <v>0</v>
      </c>
      <c r="AH144" s="651">
        <v>0</v>
      </c>
    </row>
    <row r="145" spans="1:27">
      <c r="A145" s="49"/>
      <c r="AA145" s="49"/>
    </row>
    <row r="146" spans="1:27">
      <c r="A146" s="49"/>
      <c r="AA146" s="49"/>
    </row>
    <row r="147" spans="1:27">
      <c r="A147" s="49"/>
      <c r="AA147" s="49"/>
    </row>
    <row r="148" s="451" customFormat="1" spans="1:28">
      <c r="A148" s="49"/>
      <c r="AB148" s="451" t="s">
        <v>272</v>
      </c>
    </row>
    <row r="179" ht="15" customHeight="1"/>
  </sheetData>
  <mergeCells count="34">
    <mergeCell ref="C1:I1"/>
    <mergeCell ref="AC1:AI1"/>
    <mergeCell ref="D3:E3"/>
    <mergeCell ref="F3:G3"/>
    <mergeCell ref="H3:I3"/>
    <mergeCell ref="AD3:AE3"/>
    <mergeCell ref="AF3:AG3"/>
    <mergeCell ref="AH3:AI3"/>
    <mergeCell ref="D100:M100"/>
    <mergeCell ref="N100:P100"/>
    <mergeCell ref="S100:W100"/>
    <mergeCell ref="AC100:AL100"/>
    <mergeCell ref="AM100:AO100"/>
    <mergeCell ref="AR100:AV100"/>
    <mergeCell ref="D101:H101"/>
    <mergeCell ref="I101:M101"/>
    <mergeCell ref="S101:W101"/>
    <mergeCell ref="AC101:AG101"/>
    <mergeCell ref="AH101:AL101"/>
    <mergeCell ref="AR101:AV101"/>
    <mergeCell ref="C3:C4"/>
    <mergeCell ref="C100:C102"/>
    <mergeCell ref="N102:N103"/>
    <mergeCell ref="O102:O103"/>
    <mergeCell ref="P102:P103"/>
    <mergeCell ref="Q102:Q103"/>
    <mergeCell ref="R102:R103"/>
    <mergeCell ref="AB100:AB102"/>
    <mergeCell ref="AC3:AC4"/>
    <mergeCell ref="AM102:AM103"/>
    <mergeCell ref="AN102:AN103"/>
    <mergeCell ref="AO102:AO103"/>
    <mergeCell ref="AP102:AP103"/>
    <mergeCell ref="AQ102:AQ103"/>
  </mergeCells>
  <conditionalFormatting sqref="F68:F85">
    <cfRule type="containsText" dxfId="0" priority="2" stopIfTrue="1" operator="between" text="No">
      <formula>NOT(ISERROR(SEARCH("No",F68)))</formula>
    </cfRule>
  </conditionalFormatting>
  <conditionalFormatting sqref="AE66:AE83">
    <cfRule type="containsText" dxfId="0" priority="1" stopIfTrue="1" operator="between" text="No">
      <formula>NOT(ISERROR(SEARCH("No",AE66)))</formula>
    </cfRule>
  </conditionalFormatting>
  <printOptions horizontalCentered="1"/>
  <pageMargins left="0.236220472440945" right="0.236220472440945" top="0.748031496062992" bottom="0.748031496062992" header="0.31496062992126" footer="0.31496062992126"/>
  <pageSetup paperSize="9" scale="1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W65"/>
  <sheetViews>
    <sheetView showGridLines="0" zoomScale="74" zoomScaleNormal="74" workbookViewId="0">
      <selection activeCell="C5" sqref="C5"/>
    </sheetView>
  </sheetViews>
  <sheetFormatPr defaultColWidth="9.45454545454546" defaultRowHeight="14"/>
  <cols>
    <col min="1" max="1" width="11.4545454545455" style="152" customWidth="1"/>
    <col min="2" max="2" width="29.4545454545455" style="152" customWidth="1"/>
    <col min="3" max="6" width="12.5454545454545" style="152" customWidth="1"/>
    <col min="7" max="7" width="2.81818181818182" style="152" customWidth="1"/>
    <col min="8" max="8" width="20.8181818181818" style="152" customWidth="1"/>
    <col min="9" max="9" width="13" style="152" customWidth="1"/>
    <col min="10" max="10" width="2.81818181818182" style="152" customWidth="1"/>
    <col min="11" max="12" width="12.4545454545455" style="152" customWidth="1"/>
    <col min="13" max="14" width="10.8181818181818" style="152" customWidth="1"/>
    <col min="15" max="15" width="12.4545454545455" style="152" customWidth="1"/>
    <col min="16" max="16" width="10.8181818181818" style="152" customWidth="1"/>
    <col min="17" max="17" width="15.5454545454545" style="152" customWidth="1"/>
    <col min="18" max="26" width="10.8181818181818" style="152" customWidth="1"/>
    <col min="27" max="30" width="12.4545454545455" style="152" customWidth="1"/>
    <col min="31" max="32" width="21.8181818181818" style="152" customWidth="1"/>
    <col min="33" max="33" width="9.45454545454546" style="152"/>
    <col min="34" max="34" width="12.5454545454545" style="152" customWidth="1"/>
    <col min="35" max="36" width="9.45454545454546" style="152"/>
    <col min="37" max="37" width="11.8181818181818" style="152" customWidth="1"/>
    <col min="38" max="38" width="12.0909090909091" style="152" customWidth="1"/>
    <col min="39" max="39" width="9.45454545454546" style="152"/>
    <col min="40" max="42" width="10.8181818181818" style="152" customWidth="1"/>
    <col min="43" max="48" width="9.45454545454546" style="152"/>
    <col min="49" max="49" width="14.0909090909091" style="152" customWidth="1"/>
    <col min="50" max="16384" width="9.45454545454546" style="152"/>
  </cols>
  <sheetData>
    <row r="1" spans="6:6">
      <c r="F1" s="229"/>
    </row>
    <row r="2" spans="1:27">
      <c r="A2" s="154"/>
      <c r="B2" s="155" t="s">
        <v>0</v>
      </c>
      <c r="C2" s="155"/>
      <c r="D2" s="155"/>
      <c r="E2" s="155"/>
      <c r="F2" s="155"/>
      <c r="H2" s="156" t="s">
        <v>273</v>
      </c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spans="2:6">
      <c r="B3" s="157" t="s">
        <v>274</v>
      </c>
      <c r="C3" s="157"/>
      <c r="D3" s="157"/>
      <c r="E3" s="157"/>
      <c r="F3" s="157"/>
    </row>
    <row r="4" spans="2:6">
      <c r="B4" s="158" t="s">
        <v>275</v>
      </c>
      <c r="C4" s="158" t="s">
        <v>276</v>
      </c>
      <c r="D4" s="158" t="s">
        <v>277</v>
      </c>
      <c r="E4" s="158" t="s">
        <v>3</v>
      </c>
      <c r="F4" s="158" t="s">
        <v>58</v>
      </c>
    </row>
    <row r="5" spans="1:7">
      <c r="A5" s="154"/>
      <c r="B5" s="159" t="s">
        <v>278</v>
      </c>
      <c r="C5" s="160">
        <f>'Input Sheet'!AH135+'Input Sheet'!AI135</f>
        <v>24149.58</v>
      </c>
      <c r="D5" s="161">
        <f>'Input Sheet'!AL135</f>
        <v>0</v>
      </c>
      <c r="E5" s="162">
        <f>'Input Sheet'!AJ135+'Input Sheet'!AK135</f>
        <v>22987.47</v>
      </c>
      <c r="F5" s="163">
        <f>+C5+D5+E5</f>
        <v>47137.05</v>
      </c>
      <c r="G5" s="164"/>
    </row>
    <row r="6" spans="2:40">
      <c r="B6" s="534" t="s">
        <v>279</v>
      </c>
      <c r="C6" s="535">
        <v>0</v>
      </c>
      <c r="D6" s="535">
        <v>0</v>
      </c>
      <c r="E6" s="535">
        <f>'Input Sheet'!AT136</f>
        <v>1761.49</v>
      </c>
      <c r="F6" s="163">
        <f>+C6+D6+E6</f>
        <v>1761.49</v>
      </c>
      <c r="G6" s="164"/>
      <c r="H6" s="152" t="s">
        <v>280</v>
      </c>
      <c r="AE6" s="152" t="s">
        <v>281</v>
      </c>
      <c r="AI6" s="154">
        <f ca="1">+N29</f>
        <v>586.944098993263</v>
      </c>
      <c r="AJ6" s="152">
        <f>+'[2]Production &amp; stock details'!I30</f>
        <v>207.281654438487</v>
      </c>
      <c r="AM6" s="222" t="s">
        <v>282</v>
      </c>
      <c r="AN6" s="154">
        <f>I34</f>
        <v>7136.74758701734</v>
      </c>
    </row>
    <row r="7" spans="2:40">
      <c r="B7" s="159"/>
      <c r="C7" s="160">
        <f>+C5-C6</f>
        <v>24149.58</v>
      </c>
      <c r="D7" s="161">
        <f>+D5-D6</f>
        <v>0</v>
      </c>
      <c r="E7" s="162">
        <f>+E5-E6</f>
        <v>21225.98</v>
      </c>
      <c r="F7" s="163">
        <f>+F5-F6</f>
        <v>45375.56</v>
      </c>
      <c r="G7" s="164"/>
      <c r="AE7" s="214" t="s">
        <v>283</v>
      </c>
      <c r="AF7" s="214"/>
      <c r="AG7" s="223"/>
      <c r="AJ7" s="154">
        <f ca="1">+AJ6-AI6</f>
        <v>-379.662444554775</v>
      </c>
      <c r="AK7" s="165">
        <f ca="1">+AG7*AJ7</f>
        <v>0</v>
      </c>
      <c r="AM7" s="222" t="s">
        <v>284</v>
      </c>
      <c r="AN7" s="165">
        <f>C5</f>
        <v>24149.58</v>
      </c>
    </row>
    <row r="8" spans="1:40">
      <c r="A8" s="165"/>
      <c r="B8" s="159" t="s">
        <v>285</v>
      </c>
      <c r="C8" s="166">
        <f>'Input Sheet'!$AI$136</f>
        <v>-3798.6</v>
      </c>
      <c r="D8" s="161">
        <v>0</v>
      </c>
      <c r="E8" s="162">
        <f>'Input Sheet'!$AJ$136</f>
        <v>1828.41999999999</v>
      </c>
      <c r="F8" s="163">
        <f>+C8+D8+E8</f>
        <v>-1970.18</v>
      </c>
      <c r="G8" s="164"/>
      <c r="H8" s="152" t="s">
        <v>286</v>
      </c>
      <c r="AE8" s="214" t="s">
        <v>261</v>
      </c>
      <c r="AF8" s="214"/>
      <c r="AG8" s="223">
        <f>+F9</f>
        <v>47345.74</v>
      </c>
      <c r="AM8" s="222" t="s">
        <v>261</v>
      </c>
      <c r="AN8" s="165">
        <f>C16+N21</f>
        <v>27948.18</v>
      </c>
    </row>
    <row r="9" spans="1:40">
      <c r="A9" s="165"/>
      <c r="B9" s="159" t="s">
        <v>287</v>
      </c>
      <c r="C9" s="160">
        <f>+C7-C8</f>
        <v>27948.18</v>
      </c>
      <c r="D9" s="161">
        <f>+D7-D8</f>
        <v>0</v>
      </c>
      <c r="E9" s="162">
        <f>+E7-E8</f>
        <v>19397.56</v>
      </c>
      <c r="F9" s="163">
        <f>+F7-F8</f>
        <v>47345.74</v>
      </c>
      <c r="G9" s="164"/>
      <c r="AE9" s="214" t="s">
        <v>59</v>
      </c>
      <c r="AF9" s="214"/>
      <c r="AG9" s="223">
        <f>+F10</f>
        <v>0</v>
      </c>
      <c r="AM9" s="222" t="s">
        <v>166</v>
      </c>
      <c r="AN9" s="165">
        <f>AN6+AN7-AN8</f>
        <v>3338.14758701735</v>
      </c>
    </row>
    <row r="10" spans="1:33">
      <c r="A10" s="165"/>
      <c r="B10" s="159" t="s">
        <v>288</v>
      </c>
      <c r="C10" s="160"/>
      <c r="D10" s="161"/>
      <c r="E10" s="162"/>
      <c r="F10" s="163">
        <f>+C10-D10</f>
        <v>0</v>
      </c>
      <c r="G10" s="164"/>
      <c r="H10" s="152" t="s">
        <v>289</v>
      </c>
      <c r="AE10" s="214"/>
      <c r="AF10" s="214"/>
      <c r="AG10" s="223">
        <f>+AG7+AG8-AG9</f>
        <v>47345.74</v>
      </c>
    </row>
    <row r="11" spans="1:38">
      <c r="A11" s="165"/>
      <c r="B11" s="167" t="s">
        <v>290</v>
      </c>
      <c r="C11" s="168">
        <f>+C9+C10</f>
        <v>27948.18</v>
      </c>
      <c r="D11" s="169">
        <f>+D9-D10</f>
        <v>0</v>
      </c>
      <c r="E11" s="170">
        <f>+E9-E10</f>
        <v>19397.56</v>
      </c>
      <c r="F11" s="171">
        <f>+F9-F10</f>
        <v>47345.74</v>
      </c>
      <c r="G11" s="164"/>
      <c r="H11" s="152" t="s">
        <v>291</v>
      </c>
      <c r="AE11" s="215" t="s">
        <v>61</v>
      </c>
      <c r="AF11" s="215"/>
      <c r="AG11" s="224">
        <f>+F19</f>
        <v>8700.405</v>
      </c>
      <c r="AH11" s="152" t="s">
        <v>292</v>
      </c>
      <c r="AI11" s="225">
        <v>45352</v>
      </c>
      <c r="AJ11" s="154">
        <v>287.66</v>
      </c>
      <c r="AK11" s="152">
        <v>352.583743548086</v>
      </c>
      <c r="AL11" s="165">
        <f>AJ11*AK11</f>
        <v>101424.239669042</v>
      </c>
    </row>
    <row r="12" spans="3:38">
      <c r="C12" s="164"/>
      <c r="D12" s="164"/>
      <c r="E12" s="164"/>
      <c r="F12" s="164"/>
      <c r="G12" s="164"/>
      <c r="AE12" s="214"/>
      <c r="AF12" s="214"/>
      <c r="AG12" s="223">
        <f>+AG10-AG11</f>
        <v>38645.335</v>
      </c>
      <c r="AH12" s="152" t="s">
        <v>292</v>
      </c>
      <c r="AI12" s="225">
        <v>45352</v>
      </c>
      <c r="AJ12" s="154">
        <f>R18-AJ11</f>
        <v>72.34</v>
      </c>
      <c r="AK12" s="154">
        <f>'[1]Cost sheet - summary-Mar'!J24</f>
        <v>0</v>
      </c>
      <c r="AL12" s="165">
        <f>AJ12*AK12</f>
        <v>0</v>
      </c>
    </row>
    <row r="13" spans="2:38">
      <c r="B13" s="155" t="s">
        <v>0</v>
      </c>
      <c r="C13" s="155"/>
      <c r="D13" s="155"/>
      <c r="E13" s="155"/>
      <c r="F13" s="155"/>
      <c r="G13" s="164"/>
      <c r="P13" s="154"/>
      <c r="Q13" s="154"/>
      <c r="S13" s="154"/>
      <c r="Z13" s="154"/>
      <c r="AB13" s="165"/>
      <c r="AC13" s="165"/>
      <c r="AD13" s="165"/>
      <c r="AE13" s="214" t="s">
        <v>107</v>
      </c>
      <c r="AF13" s="214"/>
      <c r="AG13" s="223">
        <f>+AB17</f>
        <v>34940.075</v>
      </c>
      <c r="AH13" s="152" t="s">
        <v>292</v>
      </c>
      <c r="AJ13" s="154">
        <f>SUM(AJ11:AJ12)</f>
        <v>360</v>
      </c>
      <c r="AK13" s="152">
        <f>AL13/AJ13</f>
        <v>281.733999080673</v>
      </c>
      <c r="AL13" s="165">
        <f>SUM(AL11:AL12)</f>
        <v>101424.239669042</v>
      </c>
    </row>
    <row r="14" spans="2:33">
      <c r="B14" s="157" t="s">
        <v>293</v>
      </c>
      <c r="C14" s="157"/>
      <c r="D14" s="157"/>
      <c r="E14" s="157"/>
      <c r="F14" s="157"/>
      <c r="G14" s="164"/>
      <c r="N14" s="154" t="s">
        <v>107</v>
      </c>
      <c r="O14" s="154">
        <v>465</v>
      </c>
      <c r="P14" s="154">
        <v>390</v>
      </c>
      <c r="Q14" s="154"/>
      <c r="R14" s="154"/>
      <c r="S14" s="154"/>
      <c r="T14" s="154"/>
      <c r="U14" s="154"/>
      <c r="V14" s="154"/>
      <c r="W14" s="154" t="s">
        <v>107</v>
      </c>
      <c r="X14" s="154">
        <v>-465</v>
      </c>
      <c r="Y14" s="154">
        <v>-390</v>
      </c>
      <c r="Z14" s="154"/>
      <c r="AA14" s="154"/>
      <c r="AE14" s="214"/>
      <c r="AF14" s="214"/>
      <c r="AG14" s="223">
        <f>+AG12-AG13</f>
        <v>3705.26</v>
      </c>
    </row>
    <row r="15" spans="2:33">
      <c r="B15" s="172" t="s">
        <v>275</v>
      </c>
      <c r="C15" s="172" t="str">
        <f>+C4</f>
        <v>Chetpat</v>
      </c>
      <c r="D15" s="172" t="str">
        <f>+D4</f>
        <v>Veeram</v>
      </c>
      <c r="E15" s="172" t="s">
        <v>3</v>
      </c>
      <c r="F15" s="172" t="s">
        <v>58</v>
      </c>
      <c r="H15" s="156" t="s">
        <v>294</v>
      </c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E15" s="214" t="s">
        <v>295</v>
      </c>
      <c r="AF15" s="214"/>
      <c r="AG15" s="223">
        <f>+(O18+P18+R18-O20-P20-U20-V20)+Q18-Q20+U18+V18-R20+W18-W20+N18-N20</f>
        <v>-706.639999999999</v>
      </c>
    </row>
    <row r="16" ht="42" spans="2:33">
      <c r="B16" s="159" t="s">
        <v>296</v>
      </c>
      <c r="C16" s="173">
        <f>+C11-N21</f>
        <v>24848.18</v>
      </c>
      <c r="D16" s="173">
        <v>0</v>
      </c>
      <c r="E16" s="173">
        <f>+E11+AA20</f>
        <v>22397.56</v>
      </c>
      <c r="F16" s="173">
        <f>C16+D16+E16</f>
        <v>47245.74</v>
      </c>
      <c r="G16" s="174"/>
      <c r="H16" s="175" t="s">
        <v>275</v>
      </c>
      <c r="I16" s="175" t="s">
        <v>297</v>
      </c>
      <c r="J16" s="175"/>
      <c r="K16" s="175" t="s">
        <v>298</v>
      </c>
      <c r="L16" s="175" t="s">
        <v>299</v>
      </c>
      <c r="M16" s="175" t="s">
        <v>300</v>
      </c>
      <c r="N16" s="175" t="s">
        <v>96</v>
      </c>
      <c r="O16" s="175" t="s">
        <v>97</v>
      </c>
      <c r="P16" s="175" t="s">
        <v>98</v>
      </c>
      <c r="Q16" s="175" t="s">
        <v>99</v>
      </c>
      <c r="R16" s="175" t="s">
        <v>100</v>
      </c>
      <c r="S16" s="175" t="s">
        <v>101</v>
      </c>
      <c r="T16" s="175" t="s">
        <v>102</v>
      </c>
      <c r="U16" s="175" t="s">
        <v>104</v>
      </c>
      <c r="V16" s="175" t="s">
        <v>106</v>
      </c>
      <c r="W16" s="175" t="s">
        <v>301</v>
      </c>
      <c r="X16" s="175" t="s">
        <v>125</v>
      </c>
      <c r="Y16" s="175" t="s">
        <v>126</v>
      </c>
      <c r="Z16" s="175" t="s">
        <v>302</v>
      </c>
      <c r="AA16" s="175" t="s">
        <v>128</v>
      </c>
      <c r="AB16" s="175" t="s">
        <v>58</v>
      </c>
      <c r="AE16" s="216" t="s">
        <v>303</v>
      </c>
      <c r="AF16" s="216"/>
      <c r="AG16" s="226">
        <f>+AG14-AG15</f>
        <v>4411.9</v>
      </c>
    </row>
    <row r="17" spans="1:33">
      <c r="A17" s="165"/>
      <c r="B17" s="159" t="s">
        <v>304</v>
      </c>
      <c r="C17" s="173">
        <f>SUM(U21:V21)+N21</f>
        <v>18825.498</v>
      </c>
      <c r="D17" s="173">
        <f>(SUM(O21:R21)+Z21)</f>
        <v>0.946999999999889</v>
      </c>
      <c r="E17" s="173">
        <f>SUM(S21:T21)+SUM(W21:Y21)</f>
        <v>19718.89</v>
      </c>
      <c r="F17" s="173">
        <f>C17+D17+E17</f>
        <v>38545.335</v>
      </c>
      <c r="H17" s="230" t="s">
        <v>107</v>
      </c>
      <c r="I17" s="541"/>
      <c r="J17" s="230"/>
      <c r="K17" s="230"/>
      <c r="L17" s="230"/>
      <c r="M17" s="230"/>
      <c r="N17" s="542"/>
      <c r="O17" s="542">
        <f>'Input Sheet'!H5</f>
        <v>0</v>
      </c>
      <c r="P17" s="542">
        <f>'Input Sheet'!$AH$6</f>
        <v>8.01</v>
      </c>
      <c r="Q17" s="542">
        <f>'Input Sheet'!$AH$10</f>
        <v>558.16</v>
      </c>
      <c r="R17" s="542">
        <f>'Input Sheet'!$AH$11</f>
        <v>132.11</v>
      </c>
      <c r="S17" s="542">
        <f>'Input Sheet'!$AH$12+'Input Sheet'!AH24</f>
        <v>7479.59</v>
      </c>
      <c r="T17" s="542">
        <f>'Input Sheet'!$AH$13</f>
        <v>949.78</v>
      </c>
      <c r="U17" s="542">
        <f>'Input Sheet'!$AH$14</f>
        <v>14857.358</v>
      </c>
      <c r="V17" s="542">
        <f>'Input Sheet'!$AH$15</f>
        <v>1070.56</v>
      </c>
      <c r="W17" s="542">
        <f>'Input Sheet'!$AH$9+'Input Sheet'!AH17</f>
        <v>2906.78</v>
      </c>
      <c r="X17" s="542">
        <f>'Input Sheet'!$AH$7+'Input Sheet'!AH22</f>
        <v>4548.46</v>
      </c>
      <c r="Y17" s="542">
        <f>'Input Sheet'!$AH$8+'Input Sheet'!AH23</f>
        <v>1989.93</v>
      </c>
      <c r="Z17" s="542">
        <f>'Input Sheet'!$AH$16</f>
        <v>439.337</v>
      </c>
      <c r="AA17" s="542">
        <v>0</v>
      </c>
      <c r="AB17" s="541">
        <f>SUM(N17:AA17)</f>
        <v>34940.075</v>
      </c>
      <c r="AC17" s="154"/>
      <c r="AD17" s="154"/>
      <c r="AE17" s="164"/>
      <c r="AF17" s="164"/>
      <c r="AG17" s="154">
        <f>+F16-F19</f>
        <v>38545.335</v>
      </c>
    </row>
    <row r="18" spans="1:32">
      <c r="A18" s="176">
        <f ca="1">D18*P29</f>
        <v>0</v>
      </c>
      <c r="B18" s="159" t="s">
        <v>305</v>
      </c>
      <c r="C18" s="177">
        <v>0</v>
      </c>
      <c r="D18" s="177">
        <v>0</v>
      </c>
      <c r="E18" s="177">
        <v>0</v>
      </c>
      <c r="F18" s="173">
        <f>C18+D18+E18</f>
        <v>0</v>
      </c>
      <c r="H18" s="230" t="s">
        <v>306</v>
      </c>
      <c r="I18" s="541">
        <f>I38</f>
        <v>3338.14758701735</v>
      </c>
      <c r="J18" s="543"/>
      <c r="K18" s="544">
        <f>'Input Sheet'!AF47</f>
        <v>1569.346875</v>
      </c>
      <c r="L18" s="544">
        <f>'Input Sheet'!AF48</f>
        <v>5026</v>
      </c>
      <c r="M18" s="544">
        <f>'Input Sheet'!AF49</f>
        <v>17928.1</v>
      </c>
      <c r="N18" s="542">
        <f>'Input Sheet'!$AC$56</f>
        <v>3100</v>
      </c>
      <c r="O18" s="545">
        <f>'Input Sheet'!$AC$51+550</f>
        <v>1000</v>
      </c>
      <c r="P18" s="545">
        <f>'Input Sheet'!$AC$52+80</f>
        <v>3712</v>
      </c>
      <c r="Q18" s="545">
        <f>'Input Sheet'!$AC$49-279</f>
        <v>2936</v>
      </c>
      <c r="R18" s="545">
        <f>'Input Sheet'!$AC$50+207</f>
        <v>360</v>
      </c>
      <c r="S18" s="542">
        <f>'Input Sheet'!$AC$47</f>
        <v>4920.73</v>
      </c>
      <c r="T18" s="542">
        <f>'Input Sheet'!$AC$48</f>
        <v>1090</v>
      </c>
      <c r="U18" s="542">
        <f>'Input Sheet'!$AC$45</f>
        <v>2791.09</v>
      </c>
      <c r="V18" s="542">
        <f>'Input Sheet'!$AC$46</f>
        <v>709.37</v>
      </c>
      <c r="W18" s="542">
        <f>'Input Sheet'!$AC$55+1646</f>
        <v>24093.45</v>
      </c>
      <c r="X18" s="542">
        <f>'Input Sheet'!$AC$53</f>
        <v>0</v>
      </c>
      <c r="Y18" s="542">
        <f>'Input Sheet'!$AC$54</f>
        <v>60</v>
      </c>
      <c r="Z18" s="545">
        <v>-339</v>
      </c>
      <c r="AA18" s="542">
        <f>'Input Sheet'!$AC$57</f>
        <v>0</v>
      </c>
      <c r="AB18" s="547">
        <f>SUM(N18:AA18)</f>
        <v>44433.64</v>
      </c>
      <c r="AC18" s="218"/>
      <c r="AD18" s="218"/>
      <c r="AE18" s="219" t="s">
        <v>307</v>
      </c>
      <c r="AF18" s="219"/>
    </row>
    <row r="19" spans="1:33">
      <c r="A19" s="176">
        <f ca="1">749988-A18</f>
        <v>749988</v>
      </c>
      <c r="B19" s="178" t="s">
        <v>61</v>
      </c>
      <c r="C19" s="177">
        <f>+C16-C17-C18</f>
        <v>6022.682</v>
      </c>
      <c r="D19" s="177">
        <f>+D16-D17</f>
        <v>-0.946999999999889</v>
      </c>
      <c r="E19" s="177">
        <f>+E16-E17</f>
        <v>2678.67</v>
      </c>
      <c r="F19" s="173">
        <f>C19+D19+E19</f>
        <v>8700.405</v>
      </c>
      <c r="H19" s="159"/>
      <c r="I19" s="173">
        <f>+I17+I18</f>
        <v>3338.14758701735</v>
      </c>
      <c r="J19" s="167"/>
      <c r="K19" s="173">
        <f t="shared" ref="K19:N19" si="0">+K17+K18</f>
        <v>1569.346875</v>
      </c>
      <c r="L19" s="173">
        <f t="shared" si="0"/>
        <v>5026</v>
      </c>
      <c r="M19" s="173">
        <f t="shared" si="0"/>
        <v>17928.1</v>
      </c>
      <c r="N19" s="193">
        <f t="shared" si="0"/>
        <v>3100</v>
      </c>
      <c r="O19" s="173">
        <f t="shared" ref="O19:AA19" si="1">+O17+O18</f>
        <v>1000</v>
      </c>
      <c r="P19" s="173">
        <f t="shared" si="1"/>
        <v>3720.01</v>
      </c>
      <c r="Q19" s="173">
        <f t="shared" si="1"/>
        <v>3494.16</v>
      </c>
      <c r="R19" s="173">
        <f t="shared" si="1"/>
        <v>492.11</v>
      </c>
      <c r="S19" s="173">
        <f t="shared" si="1"/>
        <v>12400.32</v>
      </c>
      <c r="T19" s="173">
        <f t="shared" si="1"/>
        <v>2039.78</v>
      </c>
      <c r="U19" s="173">
        <f t="shared" si="1"/>
        <v>17648.448</v>
      </c>
      <c r="V19" s="173">
        <f t="shared" si="1"/>
        <v>1779.93</v>
      </c>
      <c r="W19" s="173">
        <f t="shared" si="1"/>
        <v>27000.23</v>
      </c>
      <c r="X19" s="173">
        <f t="shared" si="1"/>
        <v>4548.46</v>
      </c>
      <c r="Y19" s="173">
        <f t="shared" si="1"/>
        <v>2049.93</v>
      </c>
      <c r="Z19" s="173">
        <f t="shared" si="1"/>
        <v>100.337</v>
      </c>
      <c r="AA19" s="173">
        <f t="shared" si="1"/>
        <v>0</v>
      </c>
      <c r="AB19" s="177">
        <f>AB17+AB18</f>
        <v>79373.715</v>
      </c>
      <c r="AC19" s="154"/>
      <c r="AD19" s="154"/>
      <c r="AE19" s="164"/>
      <c r="AF19" s="164"/>
      <c r="AG19" s="154">
        <f>+AB21-AG17</f>
        <v>-3000.00000000001</v>
      </c>
    </row>
    <row r="20" spans="2:32">
      <c r="B20" s="178"/>
      <c r="C20" s="177"/>
      <c r="D20" s="177"/>
      <c r="E20" s="177"/>
      <c r="F20" s="177"/>
      <c r="H20" s="159" t="s">
        <v>308</v>
      </c>
      <c r="I20" s="194">
        <f>'[1]Product &amp; stock detail -Dec-24'!I18</f>
        <v>7136.74758701734</v>
      </c>
      <c r="J20" s="167">
        <f>'[1]Product &amp; stock detail -Dec-24'!J18</f>
        <v>0</v>
      </c>
      <c r="K20" s="195">
        <f>'[1]Product &amp; stock detail -Dec-24'!K18</f>
        <v>1712</v>
      </c>
      <c r="L20" s="196">
        <f>'[1]Product &amp; stock detail -Dec-24'!L18</f>
        <v>5026</v>
      </c>
      <c r="M20" s="159">
        <f>'[1]Product &amp; stock detail -Dec-24'!M18</f>
        <v>20048</v>
      </c>
      <c r="N20" s="194">
        <f>'[1]Product &amp; stock detail -Dec-24'!N18</f>
        <v>0</v>
      </c>
      <c r="O20" s="194">
        <f>'[1]Product &amp; stock detail -Dec-24'!O18</f>
        <v>1000</v>
      </c>
      <c r="P20" s="194">
        <f>'[1]Product &amp; stock detail -Dec-24'!P18</f>
        <v>3720</v>
      </c>
      <c r="Q20" s="194">
        <f>'[1]Product &amp; stock detail -Dec-24'!Q18</f>
        <v>3493.76</v>
      </c>
      <c r="R20" s="194">
        <f>'[1]Product &amp; stock detail -Dec-24'!R18</f>
        <v>491.91</v>
      </c>
      <c r="S20" s="194">
        <f>'[1]Product &amp; stock detail -Dec-24'!S18</f>
        <v>1165</v>
      </c>
      <c r="T20" s="194">
        <f>'[1]Product &amp; stock detail -Dec-24'!T18</f>
        <v>70</v>
      </c>
      <c r="U20" s="194">
        <f>'[1]Product &amp; stock detail -Dec-24'!U18</f>
        <v>2549.9</v>
      </c>
      <c r="V20" s="194">
        <f>'[1]Product &amp; stock detail -Dec-24'!V18</f>
        <v>1152.98</v>
      </c>
      <c r="W20" s="194">
        <f>'[1]Product &amp; stock detail -Dec-24'!W18</f>
        <v>27000</v>
      </c>
      <c r="X20" s="194">
        <f>'[1]Product &amp; stock detail -Dec-24'!X18</f>
        <v>70</v>
      </c>
      <c r="Y20" s="194">
        <f>'[1]Product &amp; stock detail -Dec-24'!Y18</f>
        <v>14.83</v>
      </c>
      <c r="Z20" s="194">
        <f>'[1]Product &amp; stock detail -Dec-24'!Z18</f>
        <v>100</v>
      </c>
      <c r="AA20" s="177">
        <f>'[1]Product &amp; stock detail -Dec-24'!AA18</f>
        <v>3000</v>
      </c>
      <c r="AB20" s="217">
        <f>SUM(N20:AA20)</f>
        <v>43828.38</v>
      </c>
      <c r="AC20" s="220">
        <f>SUM(N20:AA20)-SUM('[1]Product &amp; stock detail - Aug-24'!N28:AA28)</f>
        <v>21156.246</v>
      </c>
      <c r="AD20" s="220"/>
      <c r="AE20" s="164" t="e">
        <f>AB20-#REF!</f>
        <v>#REF!</v>
      </c>
      <c r="AF20" s="164"/>
    </row>
    <row r="21" spans="2:38">
      <c r="B21" s="178"/>
      <c r="C21" s="177"/>
      <c r="D21" s="177"/>
      <c r="E21" s="177"/>
      <c r="F21" s="179"/>
      <c r="H21" s="167" t="s">
        <v>309</v>
      </c>
      <c r="I21" s="197">
        <f>+(I19-I20)*0</f>
        <v>0</v>
      </c>
      <c r="J21" s="167"/>
      <c r="K21" s="197">
        <f>+(K19-K20)*0</f>
        <v>0</v>
      </c>
      <c r="L21" s="197">
        <f>+(L19-L20)*0</f>
        <v>0</v>
      </c>
      <c r="M21" s="197">
        <f>+(M19-M20)*0</f>
        <v>0</v>
      </c>
      <c r="N21" s="197">
        <f>+N19-N20</f>
        <v>3100</v>
      </c>
      <c r="O21" s="197">
        <f>+(O19-O20)</f>
        <v>0</v>
      </c>
      <c r="P21" s="197">
        <f>+(P19-P20)</f>
        <v>0.0100000000002183</v>
      </c>
      <c r="Q21" s="197">
        <f>+Q19-Q20</f>
        <v>0.399999999999636</v>
      </c>
      <c r="R21" s="197">
        <f>+(R19-R20)</f>
        <v>0.200000000000045</v>
      </c>
      <c r="S21" s="197">
        <f t="shared" ref="S21:AB21" si="2">+S19-S20</f>
        <v>11235.32</v>
      </c>
      <c r="T21" s="197">
        <f t="shared" si="2"/>
        <v>1969.78</v>
      </c>
      <c r="U21" s="197">
        <f t="shared" si="2"/>
        <v>15098.548</v>
      </c>
      <c r="V21" s="197">
        <f t="shared" si="2"/>
        <v>626.95</v>
      </c>
      <c r="W21" s="197">
        <f>+(W19-W20)</f>
        <v>0.229999999999563</v>
      </c>
      <c r="X21" s="197">
        <f t="shared" si="2"/>
        <v>4478.46</v>
      </c>
      <c r="Y21" s="197">
        <f t="shared" si="2"/>
        <v>2035.1</v>
      </c>
      <c r="Z21" s="197">
        <f t="shared" si="2"/>
        <v>0.336999999999989</v>
      </c>
      <c r="AA21" s="197">
        <f t="shared" si="2"/>
        <v>-3000</v>
      </c>
      <c r="AB21" s="197">
        <f t="shared" si="2"/>
        <v>35545.335</v>
      </c>
      <c r="AC21" s="200">
        <f>SUM(I20:M20)-SUM('[1]Product &amp; stock detail - Aug-24'!I28:M28)</f>
        <v>-15182.53</v>
      </c>
      <c r="AD21" s="200"/>
      <c r="AE21" s="164"/>
      <c r="AF21" s="164"/>
      <c r="AH21" s="165">
        <f>+C10*100/C9</f>
        <v>0</v>
      </c>
      <c r="AI21" s="165">
        <f>+F22+AH21</f>
        <v>18.415215848032</v>
      </c>
      <c r="AL21" s="154">
        <f>+N20</f>
        <v>0</v>
      </c>
    </row>
    <row r="22" spans="2:40">
      <c r="B22" s="178" t="s">
        <v>310</v>
      </c>
      <c r="C22" s="180">
        <f>+C19*100/C16</f>
        <v>24.2379200408239</v>
      </c>
      <c r="D22" s="180">
        <f>IFERROR(+D19*100/D16,0)</f>
        <v>0</v>
      </c>
      <c r="E22" s="180">
        <f>+E19*100/E16</f>
        <v>11.9596509619798</v>
      </c>
      <c r="F22" s="180">
        <f>+F19*100/F16</f>
        <v>18.415215848032</v>
      </c>
      <c r="J22" s="181"/>
      <c r="K22" s="181"/>
      <c r="L22" s="181"/>
      <c r="M22" s="181"/>
      <c r="N22" s="198"/>
      <c r="O22" s="199">
        <v>550</v>
      </c>
      <c r="P22" s="199">
        <v>80</v>
      </c>
      <c r="Q22" s="198">
        <f>Q21+Z21</f>
        <v>0.736999999999625</v>
      </c>
      <c r="R22" s="164">
        <v>207</v>
      </c>
      <c r="S22" s="164"/>
      <c r="T22" s="164"/>
      <c r="U22" s="164"/>
      <c r="V22" s="164"/>
      <c r="W22" s="164"/>
      <c r="X22" s="164"/>
      <c r="Y22" s="164"/>
      <c r="Z22" s="164">
        <f>26786/188</f>
        <v>142.478723404255</v>
      </c>
      <c r="AA22" s="164"/>
      <c r="AB22" s="164"/>
      <c r="AC22" s="164"/>
      <c r="AD22" s="164"/>
      <c r="AE22" s="164">
        <f>SUM(D17)</f>
        <v>0.946999999999889</v>
      </c>
      <c r="AF22" s="164"/>
      <c r="AL22" s="152" t="s">
        <v>311</v>
      </c>
      <c r="AM22" s="154">
        <f>+O21</f>
        <v>0</v>
      </c>
      <c r="AN22" s="164">
        <f>+$AL$21/$AM$27*AM22</f>
        <v>0</v>
      </c>
    </row>
    <row r="23" ht="14.75" spans="2:40">
      <c r="B23" s="178" t="s">
        <v>312</v>
      </c>
      <c r="C23" s="180">
        <v>0</v>
      </c>
      <c r="D23" s="180">
        <v>0</v>
      </c>
      <c r="E23" s="180">
        <v>0</v>
      </c>
      <c r="F23" s="180">
        <v>0</v>
      </c>
      <c r="H23" s="181" t="s">
        <v>313</v>
      </c>
      <c r="I23" s="200"/>
      <c r="J23" s="181"/>
      <c r="K23" s="181"/>
      <c r="L23" s="181"/>
      <c r="M23" s="181"/>
      <c r="N23" s="201">
        <v>0</v>
      </c>
      <c r="O23" s="199"/>
      <c r="P23" s="199"/>
      <c r="Q23" s="199">
        <f ca="1">Q22*Q29</f>
        <v>138.428668670081</v>
      </c>
      <c r="R23" s="199"/>
      <c r="S23" s="199"/>
      <c r="T23" s="199"/>
      <c r="U23" s="164"/>
      <c r="V23" s="164">
        <f>2907*85</f>
        <v>247095</v>
      </c>
      <c r="W23" s="164">
        <f>-(W19-W20)*'[1]Product &amp; stock detail -Dec-24'!W29</f>
        <v>-19.5812058953843</v>
      </c>
      <c r="X23" s="164"/>
      <c r="Y23" s="164"/>
      <c r="Z23" s="221">
        <v>1316.104</v>
      </c>
      <c r="AE23" s="164">
        <f>SUM(O18:R18)</f>
        <v>8008</v>
      </c>
      <c r="AF23" s="164"/>
      <c r="AG23" s="164">
        <f>+N23-U21-V21-F19</f>
        <v>-24425.903</v>
      </c>
      <c r="AL23" s="152" t="s">
        <v>314</v>
      </c>
      <c r="AM23" s="154">
        <f>+P21</f>
        <v>0.0100000000002183</v>
      </c>
      <c r="AN23" s="164">
        <f>+$AL$21/$AM$27*AM23</f>
        <v>0</v>
      </c>
    </row>
    <row r="24" ht="14.75" spans="2:38">
      <c r="B24" s="178" t="s">
        <v>315</v>
      </c>
      <c r="C24" s="180">
        <f>C22</f>
        <v>24.2379200408239</v>
      </c>
      <c r="D24" s="180">
        <f>D22</f>
        <v>0</v>
      </c>
      <c r="E24" s="180">
        <f>E22</f>
        <v>11.9596509619798</v>
      </c>
      <c r="F24" s="180">
        <f>F22</f>
        <v>18.415215848032</v>
      </c>
      <c r="O24" s="199">
        <f>-(O20+P20+R20-O19-P19-R19)*0+Q22-R22-P22-O22+P17</f>
        <v>-828.253</v>
      </c>
      <c r="P24" s="199">
        <f>O24*188</f>
        <v>-155711.564</v>
      </c>
      <c r="Q24" s="199">
        <f ca="1">Q23+W23</f>
        <v>118.847462774697</v>
      </c>
      <c r="R24" s="199">
        <f ca="1">Q24-'[1]Product &amp; stock detail -Dec-24'!AA30</f>
        <v>-631696.593012778</v>
      </c>
      <c r="S24" s="199"/>
      <c r="T24" s="199"/>
      <c r="U24" s="154"/>
      <c r="V24" s="154"/>
      <c r="W24" s="152">
        <f>4553*'[1]Product &amp; stock detail -Dec-24'!W29</f>
        <v>387622.741051538</v>
      </c>
      <c r="Z24" s="154"/>
      <c r="AA24" s="154">
        <f>146830-126266</f>
        <v>20564</v>
      </c>
      <c r="AD24" s="164"/>
      <c r="AE24" s="164">
        <v>626.844947933825</v>
      </c>
      <c r="AF24" s="164"/>
      <c r="AG24" s="164">
        <f>+F16-AB21-F19</f>
        <v>3000.00000000001</v>
      </c>
      <c r="AL24" s="152" t="s">
        <v>52</v>
      </c>
    </row>
    <row r="25" spans="6:40">
      <c r="F25" s="182"/>
      <c r="H25" s="154"/>
      <c r="AA25" s="154">
        <f ca="1">AA29-Y29</f>
        <v>0</v>
      </c>
      <c r="AB25" s="152">
        <f ca="1">AA25*AA28</f>
        <v>0</v>
      </c>
      <c r="AD25" s="165"/>
      <c r="AE25" s="164"/>
      <c r="AF25" s="164"/>
      <c r="AG25" s="164"/>
      <c r="AH25" s="152" t="s">
        <v>316</v>
      </c>
      <c r="AI25" s="152" t="s">
        <v>317</v>
      </c>
      <c r="AJ25" s="152" t="s">
        <v>318</v>
      </c>
      <c r="AL25" s="152" t="s">
        <v>319</v>
      </c>
      <c r="AM25" s="154"/>
      <c r="AN25" s="164">
        <f>+$AL$21/$AM$27*AM25</f>
        <v>0</v>
      </c>
    </row>
    <row r="26" spans="2:40">
      <c r="B26" s="155" t="s">
        <v>0</v>
      </c>
      <c r="C26" s="155"/>
      <c r="D26" s="155"/>
      <c r="E26" s="155"/>
      <c r="F26" s="155"/>
      <c r="H26" s="183" t="s">
        <v>320</v>
      </c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E26" s="164"/>
      <c r="AF26" s="164"/>
      <c r="AH26" s="227">
        <v>5210</v>
      </c>
      <c r="AI26" s="227">
        <v>1200</v>
      </c>
      <c r="AJ26" s="227">
        <v>5300</v>
      </c>
      <c r="AL26" s="152" t="s">
        <v>321</v>
      </c>
      <c r="AM26" s="154"/>
      <c r="AN26" s="164">
        <f>+$AL$21/$AM$27*AM26</f>
        <v>0</v>
      </c>
    </row>
    <row r="27" ht="42" spans="2:40">
      <c r="B27" s="184" t="s">
        <v>322</v>
      </c>
      <c r="C27" s="184"/>
      <c r="D27" s="185" t="s">
        <v>323</v>
      </c>
      <c r="E27" s="185" t="s">
        <v>324</v>
      </c>
      <c r="F27" s="186" t="s">
        <v>58</v>
      </c>
      <c r="H27" s="175" t="s">
        <v>275</v>
      </c>
      <c r="I27" s="175" t="s">
        <v>94</v>
      </c>
      <c r="J27" s="203"/>
      <c r="K27" s="175" t="s">
        <v>298</v>
      </c>
      <c r="L27" s="175" t="s">
        <v>299</v>
      </c>
      <c r="M27" s="175" t="s">
        <v>300</v>
      </c>
      <c r="N27" s="175" t="s">
        <v>96</v>
      </c>
      <c r="O27" s="175" t="s">
        <v>97</v>
      </c>
      <c r="P27" s="175" t="s">
        <v>98</v>
      </c>
      <c r="Q27" s="175" t="s">
        <v>99</v>
      </c>
      <c r="R27" s="175" t="s">
        <v>100</v>
      </c>
      <c r="S27" s="175" t="s">
        <v>101</v>
      </c>
      <c r="T27" s="175" t="s">
        <v>102</v>
      </c>
      <c r="U27" s="175" t="s">
        <v>104</v>
      </c>
      <c r="V27" s="175" t="s">
        <v>106</v>
      </c>
      <c r="W27" s="175" t="s">
        <v>301</v>
      </c>
      <c r="X27" s="175" t="s">
        <v>125</v>
      </c>
      <c r="Y27" s="175" t="s">
        <v>126</v>
      </c>
      <c r="Z27" s="175" t="s">
        <v>302</v>
      </c>
      <c r="AA27" s="175" t="s">
        <v>128</v>
      </c>
      <c r="AB27" s="175" t="s">
        <v>58</v>
      </c>
      <c r="AD27" s="152" t="s">
        <v>325</v>
      </c>
      <c r="AE27" s="164"/>
      <c r="AF27" s="164"/>
      <c r="AM27" s="154">
        <f>SUM(AM22:AM26)</f>
        <v>0.0100000000002183</v>
      </c>
      <c r="AN27" s="154">
        <f>SUM(AN22:AN26)</f>
        <v>0</v>
      </c>
    </row>
    <row r="28" spans="1:33">
      <c r="A28" s="154"/>
      <c r="B28" s="536" t="s">
        <v>326</v>
      </c>
      <c r="C28" s="537">
        <f>C17+C8</f>
        <v>15026.898</v>
      </c>
      <c r="D28" s="538">
        <f>K18</f>
        <v>1569.346875</v>
      </c>
      <c r="E28" s="538">
        <f>K20</f>
        <v>1712</v>
      </c>
      <c r="F28" s="539">
        <f>C28+D28-E28</f>
        <v>14884.244875</v>
      </c>
      <c r="H28" s="159" t="s">
        <v>327</v>
      </c>
      <c r="I28" s="177">
        <f>+I18</f>
        <v>3338.14758701735</v>
      </c>
      <c r="K28" s="173">
        <f>D28</f>
        <v>1569.346875</v>
      </c>
      <c r="L28" s="173">
        <f>D29</f>
        <v>5026</v>
      </c>
      <c r="M28" s="173">
        <f>D32</f>
        <v>17928.1</v>
      </c>
      <c r="N28" s="177">
        <f t="shared" ref="N28:W28" si="3">+N18</f>
        <v>3100</v>
      </c>
      <c r="O28" s="177">
        <f t="shared" si="3"/>
        <v>1000</v>
      </c>
      <c r="P28" s="177">
        <f t="shared" si="3"/>
        <v>3712</v>
      </c>
      <c r="Q28" s="177">
        <f t="shared" si="3"/>
        <v>2936</v>
      </c>
      <c r="R28" s="177">
        <f t="shared" si="3"/>
        <v>360</v>
      </c>
      <c r="S28" s="177">
        <f t="shared" si="3"/>
        <v>4920.73</v>
      </c>
      <c r="T28" s="177">
        <f t="shared" si="3"/>
        <v>1090</v>
      </c>
      <c r="U28" s="177">
        <f t="shared" si="3"/>
        <v>2791.09</v>
      </c>
      <c r="V28" s="177">
        <f t="shared" si="3"/>
        <v>709.37</v>
      </c>
      <c r="W28" s="177">
        <f t="shared" si="3"/>
        <v>24093.45</v>
      </c>
      <c r="X28" s="177">
        <f>X18</f>
        <v>0</v>
      </c>
      <c r="Y28" s="177">
        <f>Y18</f>
        <v>60</v>
      </c>
      <c r="Z28" s="173">
        <f>Z18</f>
        <v>-339</v>
      </c>
      <c r="AA28" s="177">
        <f>AA18</f>
        <v>0</v>
      </c>
      <c r="AB28" s="177">
        <f>SUM(I28:AA28)</f>
        <v>72295.2344620173</v>
      </c>
      <c r="AC28" s="154">
        <f>SUM(N28:AA28)</f>
        <v>44433.64</v>
      </c>
      <c r="AD28" s="154">
        <f>X20</f>
        <v>70</v>
      </c>
      <c r="AE28" s="164">
        <f>'[1]Product &amp; stock detail -Apr-24'!U29</f>
        <v>232.536311321108</v>
      </c>
      <c r="AF28" s="164">
        <f>AD28*AE28</f>
        <v>16277.5417924775</v>
      </c>
      <c r="AG28" s="164">
        <f>+AB18+I18</f>
        <v>47771.7875870173</v>
      </c>
    </row>
    <row r="29" spans="2:35">
      <c r="B29" s="536" t="s">
        <v>328</v>
      </c>
      <c r="C29" s="537">
        <f>D17+D8</f>
        <v>0.946999999999889</v>
      </c>
      <c r="D29" s="538">
        <f>L18</f>
        <v>5026</v>
      </c>
      <c r="E29" s="538">
        <f>L20</f>
        <v>5026</v>
      </c>
      <c r="F29" s="539">
        <f>C29+D29-E29</f>
        <v>0.947000000000116</v>
      </c>
      <c r="H29" s="159" t="s">
        <v>329</v>
      </c>
      <c r="I29" s="535">
        <v>236.221695783949</v>
      </c>
      <c r="K29" s="204">
        <f ca="1">'Quarry Stock-Val'!$D$9</f>
        <v>87.2073479409382</v>
      </c>
      <c r="L29" s="204">
        <f ca="1">'Quarry Stock-Val'!$G$9</f>
        <v>79.4728292245927</v>
      </c>
      <c r="M29" s="204">
        <f ca="1">'Quarry Stock-Val'!$J$9</f>
        <v>92.2717349376713</v>
      </c>
      <c r="N29" s="177">
        <f ca="1">'Clos Stock op cf val -Jan 25'!$E$22</f>
        <v>586.944098993263</v>
      </c>
      <c r="O29" s="177">
        <f ca="1">'Clos Stock op cf val -Jan 25'!$E$20</f>
        <v>187.827230217302</v>
      </c>
      <c r="P29" s="177">
        <f ca="1">$O$29</f>
        <v>187.827230217302</v>
      </c>
      <c r="Q29" s="177">
        <f ca="1">$O$29</f>
        <v>187.827230217302</v>
      </c>
      <c r="R29" s="177">
        <f ca="1">$O$29</f>
        <v>187.827230217302</v>
      </c>
      <c r="S29" s="177">
        <f ca="1">'Clos Stock op cf val -Jan 25'!E21</f>
        <v>298.923377885993</v>
      </c>
      <c r="T29" s="177">
        <f ca="1">$S$29</f>
        <v>298.923377885993</v>
      </c>
      <c r="U29" s="177">
        <f ca="1">$N$29</f>
        <v>586.944098993263</v>
      </c>
      <c r="V29" s="177">
        <f ca="1">$N$29</f>
        <v>586.944098993263</v>
      </c>
      <c r="W29" s="177">
        <f>'[1]Product &amp; stock detail -Dec-24'!W29</f>
        <v>85.1356778061801</v>
      </c>
      <c r="X29" s="177">
        <f ca="1">$S$29</f>
        <v>298.923377885993</v>
      </c>
      <c r="Y29" s="177">
        <f ca="1">$S$29</f>
        <v>298.923377885993</v>
      </c>
      <c r="Z29" s="173">
        <f ca="1">$O$29</f>
        <v>187.827230217302</v>
      </c>
      <c r="AA29" s="173">
        <f ca="1">$S$29</f>
        <v>298.923377885993</v>
      </c>
      <c r="AB29" s="177"/>
      <c r="AC29" s="211"/>
      <c r="AD29" s="211">
        <f>X28-AD28</f>
        <v>-70</v>
      </c>
      <c r="AE29" s="164">
        <f ca="1">S29</f>
        <v>298.923377885993</v>
      </c>
      <c r="AF29" s="164">
        <f ca="1">AD29*AE29</f>
        <v>-20924.6364520195</v>
      </c>
      <c r="AG29" s="152">
        <v>18954</v>
      </c>
      <c r="AI29" s="227">
        <v>1492166</v>
      </c>
    </row>
    <row r="30" spans="2:35">
      <c r="B30" s="536" t="s">
        <v>330</v>
      </c>
      <c r="C30" s="537">
        <f>+C17+C8</f>
        <v>15026.898</v>
      </c>
      <c r="D30" s="538"/>
      <c r="E30" s="538"/>
      <c r="F30" s="539"/>
      <c r="H30" s="159" t="s">
        <v>9</v>
      </c>
      <c r="I30" s="177">
        <f ca="1">+L38</f>
        <v>907905.217440981</v>
      </c>
      <c r="K30" s="177">
        <f ca="1">K28*K29</f>
        <v>136858.578968149</v>
      </c>
      <c r="L30" s="177">
        <f ca="1">L28*L29</f>
        <v>399430.439682803</v>
      </c>
      <c r="M30" s="177">
        <f ca="1">M28*M29</f>
        <v>1654256.89113606</v>
      </c>
      <c r="N30" s="177">
        <f ca="1">+N28*N29</f>
        <v>1819526.70687911</v>
      </c>
      <c r="O30" s="205">
        <f ca="1">+O28*O29</f>
        <v>187827.230217302</v>
      </c>
      <c r="P30" s="206">
        <f ca="1" t="shared" ref="P30:AA30" si="4">+P28*P29</f>
        <v>697214.678566625</v>
      </c>
      <c r="Q30" s="173">
        <f ca="1" t="shared" si="4"/>
        <v>551460.747917999</v>
      </c>
      <c r="R30" s="173">
        <f ca="1" t="shared" si="4"/>
        <v>67617.8028782287</v>
      </c>
      <c r="S30" s="173">
        <f ca="1" t="shared" si="4"/>
        <v>1470921.23326494</v>
      </c>
      <c r="T30" s="205">
        <f ca="1" t="shared" si="4"/>
        <v>325826.481895733</v>
      </c>
      <c r="U30" s="205">
        <f ca="1" t="shared" si="4"/>
        <v>1638213.80525911</v>
      </c>
      <c r="V30" s="205">
        <f ca="1" t="shared" si="4"/>
        <v>416360.535502851</v>
      </c>
      <c r="W30" s="173">
        <f t="shared" si="4"/>
        <v>2051212.19643931</v>
      </c>
      <c r="X30" s="205">
        <f ca="1" t="shared" si="4"/>
        <v>0</v>
      </c>
      <c r="Y30" s="205">
        <f ca="1" t="shared" si="4"/>
        <v>17935.4026731596</v>
      </c>
      <c r="Z30" s="206">
        <f ca="1" t="shared" si="4"/>
        <v>-63673.4310436654</v>
      </c>
      <c r="AA30" s="173">
        <f ca="1" t="shared" si="4"/>
        <v>0</v>
      </c>
      <c r="AB30" s="173">
        <f ca="1">SUM(I30:AA30)</f>
        <v>12278894.5176787</v>
      </c>
      <c r="AC30" s="154">
        <f ca="1">SUM(N30:AA30)</f>
        <v>9180443.3904507</v>
      </c>
      <c r="AD30" s="154">
        <f>SUM(AD28:AD29)</f>
        <v>0</v>
      </c>
      <c r="AE30" s="164" t="e">
        <f ca="1">AF30/AD30</f>
        <v>#DIV/0!</v>
      </c>
      <c r="AF30" s="164">
        <f ca="1">SUM(AF28:AF29)</f>
        <v>-4647.09465954199</v>
      </c>
      <c r="AG30" s="154">
        <f>+AG28+AG29</f>
        <v>66725.7875870173</v>
      </c>
      <c r="AI30" s="227">
        <v>644087</v>
      </c>
    </row>
    <row r="31" spans="2:37">
      <c r="B31" s="536" t="s">
        <v>331</v>
      </c>
      <c r="C31" s="537">
        <f>+D17+D8</f>
        <v>0.946999999999889</v>
      </c>
      <c r="D31" s="538"/>
      <c r="E31" s="538"/>
      <c r="F31" s="539"/>
      <c r="L31" s="154"/>
      <c r="W31" s="154"/>
      <c r="AE31" s="164"/>
      <c r="AF31" s="164"/>
      <c r="AI31" s="152">
        <v>536422.272934888</v>
      </c>
      <c r="AJ31" s="227">
        <f>AI29-AI30-AI31</f>
        <v>311656.727065112</v>
      </c>
      <c r="AK31" s="227">
        <f>'[1]Product &amp; stock detail - Jan 24'!J30-'Product &amp; stock detail -Jan-25'!AJ31</f>
        <v>9401.07235977933</v>
      </c>
    </row>
    <row r="32" spans="2:32">
      <c r="B32" s="536" t="s">
        <v>332</v>
      </c>
      <c r="C32" s="537">
        <f>E8+E17</f>
        <v>21547.31</v>
      </c>
      <c r="D32" s="538">
        <f>M18</f>
        <v>17928.1</v>
      </c>
      <c r="E32" s="538">
        <f>M20</f>
        <v>20048</v>
      </c>
      <c r="F32" s="539">
        <f>C32+D32-E32</f>
        <v>19427.41</v>
      </c>
      <c r="H32" s="155" t="s">
        <v>333</v>
      </c>
      <c r="I32" s="155"/>
      <c r="J32" s="155"/>
      <c r="K32" s="155"/>
      <c r="L32" s="155"/>
      <c r="M32" s="155"/>
      <c r="N32" s="155"/>
      <c r="O32" s="155"/>
      <c r="Q32" s="155" t="s">
        <v>334</v>
      </c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D32" s="152" t="s">
        <v>335</v>
      </c>
      <c r="AE32" s="164"/>
      <c r="AF32" s="164"/>
    </row>
    <row r="33" spans="2:32">
      <c r="B33" s="536" t="s">
        <v>336</v>
      </c>
      <c r="C33" s="537">
        <f>E17+E8</f>
        <v>21547.31</v>
      </c>
      <c r="D33" s="538"/>
      <c r="E33" s="538"/>
      <c r="F33" s="539"/>
      <c r="H33" s="540" t="s">
        <v>275</v>
      </c>
      <c r="I33" s="546" t="s">
        <v>139</v>
      </c>
      <c r="K33" s="190" t="s">
        <v>329</v>
      </c>
      <c r="L33" s="190" t="s">
        <v>9</v>
      </c>
      <c r="Q33" s="190" t="s">
        <v>275</v>
      </c>
      <c r="R33" s="207" t="s">
        <v>139</v>
      </c>
      <c r="V33" s="190" t="s">
        <v>329</v>
      </c>
      <c r="W33" s="190"/>
      <c r="X33" s="190"/>
      <c r="Y33" s="190"/>
      <c r="Z33" s="190"/>
      <c r="AA33" s="190" t="s">
        <v>9</v>
      </c>
      <c r="AD33" s="154">
        <f>Y20-Y17</f>
        <v>-1975.1</v>
      </c>
      <c r="AE33" s="164">
        <f>'[1]Product &amp; stock detail -Apr-24'!V29</f>
        <v>232.536311321108</v>
      </c>
      <c r="AF33" s="164">
        <f>AD33*AE33</f>
        <v>-459282.46849032</v>
      </c>
    </row>
    <row r="34" spans="2:45">
      <c r="B34" s="536" t="s">
        <v>337</v>
      </c>
      <c r="C34" s="537">
        <v>0</v>
      </c>
      <c r="D34" s="538"/>
      <c r="E34" s="538"/>
      <c r="F34" s="539"/>
      <c r="H34" s="536" t="s">
        <v>338</v>
      </c>
      <c r="I34" s="535">
        <f>'[1]Product &amp; stock detail -Dec-24'!I38</f>
        <v>7136.74758701734</v>
      </c>
      <c r="K34" s="177">
        <f>'[1]Product &amp; stock detail - Nov-24'!K38</f>
        <v>230.303309878319</v>
      </c>
      <c r="L34" s="177">
        <f>'[1]Product &amp; stock detail -Dec-24'!L38</f>
        <v>1685854.61738724</v>
      </c>
      <c r="N34" s="154"/>
      <c r="O34" s="154"/>
      <c r="Q34" s="159" t="s">
        <v>338</v>
      </c>
      <c r="R34" s="177">
        <v>0</v>
      </c>
      <c r="S34" s="211"/>
      <c r="T34" s="211"/>
      <c r="V34" s="177">
        <v>0</v>
      </c>
      <c r="W34" s="177"/>
      <c r="X34" s="177"/>
      <c r="Y34" s="177"/>
      <c r="Z34" s="177"/>
      <c r="AA34" s="177">
        <f>+R34*V34</f>
        <v>0</v>
      </c>
      <c r="AD34" s="154">
        <f>Y28-AD33</f>
        <v>2035.1</v>
      </c>
      <c r="AE34" s="154">
        <f ca="1">T29</f>
        <v>298.923377885993</v>
      </c>
      <c r="AF34" s="164">
        <f ca="1">AD34*AE34</f>
        <v>608338.966335785</v>
      </c>
      <c r="AH34" s="154"/>
      <c r="AI34" s="154"/>
      <c r="AJ34" s="154"/>
      <c r="AK34" s="154"/>
      <c r="AN34" s="228"/>
      <c r="AR34" s="154"/>
      <c r="AS34" s="165"/>
    </row>
    <row r="35" spans="2:43">
      <c r="B35" s="536" t="s">
        <v>339</v>
      </c>
      <c r="C35" s="537">
        <v>0</v>
      </c>
      <c r="D35" s="538"/>
      <c r="E35" s="538"/>
      <c r="F35" s="539"/>
      <c r="H35" s="536" t="s">
        <v>340</v>
      </c>
      <c r="I35" s="539">
        <f>C5</f>
        <v>24149.58</v>
      </c>
      <c r="K35" s="177">
        <f ca="1">+L35/I35</f>
        <v>282.545772638696</v>
      </c>
      <c r="L35" s="177">
        <f ca="1">'Cost sheet - Detailed'!AG71+'Cost sheet - Detailed'!CW71</f>
        <v>6823361.74</v>
      </c>
      <c r="M35" s="154"/>
      <c r="Q35" s="159" t="s">
        <v>340</v>
      </c>
      <c r="R35" s="177">
        <v>0</v>
      </c>
      <c r="S35" s="211"/>
      <c r="T35" s="211"/>
      <c r="V35" s="177">
        <v>0</v>
      </c>
      <c r="W35" s="177"/>
      <c r="X35" s="177"/>
      <c r="Y35" s="177"/>
      <c r="Z35" s="177"/>
      <c r="AA35" s="177">
        <f>+R35*V35</f>
        <v>0</v>
      </c>
      <c r="AD35" s="154">
        <f>SUM(AD33:AD34)</f>
        <v>60</v>
      </c>
      <c r="AE35" s="152">
        <f ca="1">AF35/AD35</f>
        <v>2484.27496409109</v>
      </c>
      <c r="AF35" s="154">
        <f ca="1">SUM(AF33:AF34)</f>
        <v>149056.497845465</v>
      </c>
      <c r="AG35" s="152" t="s">
        <v>341</v>
      </c>
      <c r="AH35" s="154"/>
      <c r="AI35" s="154" t="s">
        <v>342</v>
      </c>
      <c r="AK35" s="154" t="s">
        <v>343</v>
      </c>
      <c r="AN35" s="228" t="s">
        <v>344</v>
      </c>
      <c r="AQ35" s="152" t="s">
        <v>344</v>
      </c>
    </row>
    <row r="36" spans="2:43">
      <c r="B36" s="536" t="s">
        <v>33</v>
      </c>
      <c r="C36" s="537">
        <f>+F17-N28</f>
        <v>35445.335</v>
      </c>
      <c r="D36" s="538"/>
      <c r="E36" s="538"/>
      <c r="F36" s="539"/>
      <c r="H36" s="536"/>
      <c r="I36" s="535">
        <f>+I34+I35</f>
        <v>31286.3275870173</v>
      </c>
      <c r="K36" s="177">
        <f ca="1">+L36/I36</f>
        <v>271.978752818476</v>
      </c>
      <c r="L36" s="177">
        <f ca="1">+L34+L35</f>
        <v>8509216.35738724</v>
      </c>
      <c r="Q36" s="167" t="s">
        <v>58</v>
      </c>
      <c r="R36" s="212">
        <f>+R34+R35</f>
        <v>0</v>
      </c>
      <c r="S36" s="213"/>
      <c r="T36" s="213"/>
      <c r="U36" s="181"/>
      <c r="V36" s="212">
        <f>+IFERROR((AA36/R36),0)</f>
        <v>0</v>
      </c>
      <c r="W36" s="212"/>
      <c r="X36" s="212"/>
      <c r="Y36" s="212"/>
      <c r="Z36" s="212"/>
      <c r="AA36" s="197">
        <f>SUM(AA34:AA35)</f>
        <v>0</v>
      </c>
      <c r="AE36" s="152" t="s">
        <v>166</v>
      </c>
      <c r="AG36" s="152" t="s">
        <v>345</v>
      </c>
      <c r="AH36" s="154" t="s">
        <v>329</v>
      </c>
      <c r="AI36" s="154" t="s">
        <v>345</v>
      </c>
      <c r="AJ36" s="152" t="s">
        <v>329</v>
      </c>
      <c r="AK36" s="154" t="s">
        <v>345</v>
      </c>
      <c r="AL36" s="152" t="s">
        <v>329</v>
      </c>
      <c r="AN36" s="228" t="s">
        <v>139</v>
      </c>
      <c r="AO36" s="152" t="s">
        <v>346</v>
      </c>
      <c r="AP36" s="154"/>
      <c r="AQ36" s="152" t="s">
        <v>139</v>
      </c>
    </row>
    <row r="37" spans="2:42">
      <c r="B37" s="536" t="s">
        <v>120</v>
      </c>
      <c r="C37" s="537">
        <f>+C36</f>
        <v>35445.335</v>
      </c>
      <c r="D37" s="538"/>
      <c r="E37" s="538"/>
      <c r="F37" s="539"/>
      <c r="H37" s="536" t="s">
        <v>347</v>
      </c>
      <c r="I37" s="535">
        <f>+C11</f>
        <v>27948.18</v>
      </c>
      <c r="K37" s="177">
        <f ca="1">K36</f>
        <v>271.978752818476</v>
      </c>
      <c r="L37" s="177">
        <f ca="1">I37*K37</f>
        <v>7601311.13994626</v>
      </c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H37" s="154"/>
      <c r="AI37" s="154"/>
      <c r="AK37" s="154"/>
      <c r="AN37" s="165">
        <v>0</v>
      </c>
      <c r="AP37" s="154"/>
    </row>
    <row r="38" spans="8:40">
      <c r="H38" s="536" t="s">
        <v>348</v>
      </c>
      <c r="I38" s="535">
        <f>+I36-I37</f>
        <v>3338.14758701735</v>
      </c>
      <c r="K38" s="177">
        <f ca="1">K37</f>
        <v>271.978752818476</v>
      </c>
      <c r="L38" s="173">
        <f ca="1">+I38*K38</f>
        <v>907905.217440981</v>
      </c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 t="s">
        <v>98</v>
      </c>
      <c r="AF38" s="164"/>
      <c r="AG38" s="152">
        <f>'[1]Product &amp; stock detail - Nov 23'!L20</f>
        <v>0</v>
      </c>
      <c r="AH38" s="154">
        <v>0</v>
      </c>
      <c r="AI38" s="154">
        <v>200</v>
      </c>
      <c r="AJ38" s="152">
        <v>331.338114142821</v>
      </c>
      <c r="AK38" s="154">
        <f>P20</f>
        <v>3720</v>
      </c>
      <c r="AL38" s="152">
        <f>'[1]Product &amp; stock detail - Dec 23'!L29</f>
        <v>292.284989949118</v>
      </c>
      <c r="AN38" s="152">
        <v>604</v>
      </c>
    </row>
    <row r="39" spans="13:41">
      <c r="M39" s="154"/>
      <c r="O39" s="15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 t="s">
        <v>99</v>
      </c>
      <c r="AF39" s="164"/>
      <c r="AG39" s="152">
        <f>'[1]Product &amp; stock detail - Nov 23'!M20</f>
        <v>0</v>
      </c>
      <c r="AH39" s="154">
        <v>0</v>
      </c>
      <c r="AI39" s="152">
        <v>70</v>
      </c>
      <c r="AJ39" s="152">
        <v>331.338114142821</v>
      </c>
      <c r="AK39" s="154">
        <f>Q20</f>
        <v>3493.76</v>
      </c>
      <c r="AL39" s="152">
        <f>'[1]Product &amp; stock detail - Dec 23'!M29</f>
        <v>291.800005226341</v>
      </c>
      <c r="AN39" s="152">
        <v>2971.97</v>
      </c>
      <c r="AO39" s="154"/>
    </row>
    <row r="40" spans="14:42">
      <c r="N40" s="164"/>
      <c r="O40" s="164"/>
      <c r="AH40" s="154"/>
      <c r="AK40" s="154"/>
      <c r="AP40" s="154"/>
    </row>
    <row r="41" spans="3:42">
      <c r="C41" s="154"/>
      <c r="D41" s="154"/>
      <c r="E41" s="154"/>
      <c r="H41" s="154" t="s">
        <v>349</v>
      </c>
      <c r="I41" s="154"/>
      <c r="N41" s="164"/>
      <c r="O41" s="164"/>
      <c r="AH41" s="154"/>
      <c r="AK41" s="154"/>
      <c r="AP41" s="154"/>
    </row>
    <row r="42" spans="3:41">
      <c r="C42" s="165"/>
      <c r="D42" s="165"/>
      <c r="E42" s="165"/>
      <c r="H42" s="165"/>
      <c r="I42" s="165"/>
      <c r="K42" s="165"/>
      <c r="N42" s="164"/>
      <c r="O42" s="164"/>
      <c r="AH42" s="154"/>
      <c r="AK42" s="154"/>
      <c r="AO42" s="165"/>
    </row>
    <row r="43" spans="3:34">
      <c r="C43" s="176"/>
      <c r="D43" s="176"/>
      <c r="E43" s="176"/>
      <c r="F43" s="176"/>
      <c r="H43" s="176" t="s">
        <v>350</v>
      </c>
      <c r="I43" s="208">
        <f>'Input Sheet'!AC58</f>
        <v>5501.40758701734</v>
      </c>
      <c r="K43" s="176"/>
      <c r="N43" s="154"/>
      <c r="AH43" s="154"/>
    </row>
    <row r="44" spans="8:22">
      <c r="H44" s="152" t="s">
        <v>351</v>
      </c>
      <c r="I44" s="208">
        <f>I38</f>
        <v>3338.14758701735</v>
      </c>
      <c r="L44" s="231" t="s">
        <v>352</v>
      </c>
      <c r="N44" s="165"/>
      <c r="U44" s="154"/>
      <c r="V44" s="154"/>
    </row>
    <row r="45" spans="6:22">
      <c r="F45" s="176"/>
      <c r="H45" s="152" t="s">
        <v>353</v>
      </c>
      <c r="I45" s="208">
        <f>I43-I44</f>
        <v>2163.25999999999</v>
      </c>
      <c r="K45" s="176"/>
      <c r="L45" s="231" t="s">
        <v>86</v>
      </c>
      <c r="V45" s="154"/>
    </row>
    <row r="46" spans="12:40">
      <c r="L46" s="231"/>
      <c r="AE46" s="152" t="s">
        <v>107</v>
      </c>
      <c r="AI46" s="152" t="s">
        <v>345</v>
      </c>
      <c r="AJ46" s="152" t="s">
        <v>329</v>
      </c>
      <c r="AK46" s="152" t="s">
        <v>345</v>
      </c>
      <c r="AL46" s="152" t="s">
        <v>329</v>
      </c>
      <c r="AN46" s="152" t="s">
        <v>139</v>
      </c>
    </row>
    <row r="47" spans="12:12">
      <c r="L47" s="231" t="s">
        <v>354</v>
      </c>
    </row>
    <row r="48" spans="31:49">
      <c r="AE48" s="152" t="s">
        <v>98</v>
      </c>
      <c r="AI48" s="152">
        <v>467.63</v>
      </c>
      <c r="AK48" s="152">
        <v>163.18</v>
      </c>
      <c r="AN48" s="152">
        <v>321.61</v>
      </c>
      <c r="AQ48" s="152">
        <v>321.61</v>
      </c>
      <c r="AR48" s="152" t="s">
        <v>355</v>
      </c>
      <c r="AS48" s="154">
        <f>AI38-AK48</f>
        <v>36.82</v>
      </c>
      <c r="AT48" s="152">
        <f>AJ38</f>
        <v>331.338114142821</v>
      </c>
      <c r="AU48" s="154">
        <f>AN48-AS48</f>
        <v>284.79</v>
      </c>
      <c r="AV48" s="152">
        <f>AL38</f>
        <v>292.284989949118</v>
      </c>
      <c r="AW48" s="165">
        <f>(AS48*AT48)+(AU48*AV48)</f>
        <v>95439.7116503481</v>
      </c>
    </row>
    <row r="49" spans="31:49">
      <c r="AE49" s="152" t="s">
        <v>99</v>
      </c>
      <c r="AI49" s="152">
        <v>1771.48</v>
      </c>
      <c r="AK49" s="152">
        <v>587.74</v>
      </c>
      <c r="AN49" s="152">
        <v>2791.65</v>
      </c>
      <c r="AQ49" s="152">
        <v>2791.65</v>
      </c>
      <c r="AR49" s="152" t="s">
        <v>355</v>
      </c>
      <c r="AS49" s="154">
        <f>AK39</f>
        <v>3493.76</v>
      </c>
      <c r="AT49" s="152">
        <f>AL39</f>
        <v>291.800005226341</v>
      </c>
      <c r="AU49" s="154">
        <f>AN49-AS49</f>
        <v>-702.11</v>
      </c>
      <c r="AV49" s="152">
        <f>'[1]Cost sheet - summary-Jan'!J24</f>
        <v>233.59987373776</v>
      </c>
      <c r="AW49" s="165">
        <f>(AS49*AT49)+(AU49*AV49)</f>
        <v>855466.378909564</v>
      </c>
    </row>
    <row r="50" spans="31:49">
      <c r="AE50" s="152" t="s">
        <v>100</v>
      </c>
      <c r="AI50" s="152">
        <v>677.71</v>
      </c>
      <c r="AK50" s="152">
        <v>310.31</v>
      </c>
      <c r="AN50" s="152">
        <v>468.68</v>
      </c>
      <c r="AQ50" s="152">
        <v>468.68</v>
      </c>
      <c r="AR50" s="152" t="s">
        <v>355</v>
      </c>
      <c r="AS50" s="152">
        <f>AQ50</f>
        <v>468.68</v>
      </c>
      <c r="AT50" s="152">
        <f>AL40</f>
        <v>0</v>
      </c>
      <c r="AW50" s="165">
        <f>(AS50*AT50)+(AU50*AV50)</f>
        <v>0</v>
      </c>
    </row>
    <row r="51" spans="12:49">
      <c r="L51" s="231" t="s">
        <v>356</v>
      </c>
      <c r="AE51" s="152" t="s">
        <v>104</v>
      </c>
      <c r="AI51" s="152">
        <v>20941.48</v>
      </c>
      <c r="AK51" s="152">
        <v>18569.86</v>
      </c>
      <c r="AN51" s="152">
        <v>22192.67</v>
      </c>
      <c r="AQ51" s="152">
        <v>22192.67</v>
      </c>
      <c r="AS51" s="154">
        <f>AK41</f>
        <v>0</v>
      </c>
      <c r="AT51" s="154">
        <f>AL41</f>
        <v>0</v>
      </c>
      <c r="AU51" s="154">
        <f>AQ51-AS51</f>
        <v>22192.67</v>
      </c>
      <c r="AV51" s="152">
        <f>'[1]Cost sheet - summary-Jan'!J18</f>
        <v>506.261587128721</v>
      </c>
      <c r="AW51" s="165">
        <f>(AS51*AT51)+(AU51*AV51)</f>
        <v>11235296.336824</v>
      </c>
    </row>
    <row r="52" spans="31:49">
      <c r="AE52" s="152" t="s">
        <v>106</v>
      </c>
      <c r="AI52" s="152">
        <v>9884.99</v>
      </c>
      <c r="AK52" s="152">
        <v>8698.83</v>
      </c>
      <c r="AN52" s="152">
        <v>8739.28</v>
      </c>
      <c r="AQ52" s="152">
        <v>8739.28</v>
      </c>
      <c r="AS52" s="154">
        <f>AK42</f>
        <v>0</v>
      </c>
      <c r="AT52" s="154">
        <f>AL42</f>
        <v>0</v>
      </c>
      <c r="AU52" s="154">
        <f>AQ52-AS52</f>
        <v>8739.28</v>
      </c>
      <c r="AV52" s="152">
        <f>AV51</f>
        <v>506.261587128721</v>
      </c>
      <c r="AW52" s="165">
        <f>(AS52*AT52)+(AU52*AV52)</f>
        <v>4424361.76316229</v>
      </c>
    </row>
    <row r="53" spans="12:43">
      <c r="L53" s="152">
        <v>2500</v>
      </c>
      <c r="M53" s="231" t="s">
        <v>357</v>
      </c>
      <c r="AE53" s="152" t="s">
        <v>50</v>
      </c>
      <c r="AI53" s="152">
        <v>1159.15</v>
      </c>
      <c r="AK53" s="152">
        <v>688.64</v>
      </c>
      <c r="AN53" s="152">
        <v>674.22</v>
      </c>
      <c r="AQ53" s="152">
        <v>674.22</v>
      </c>
    </row>
    <row r="54" spans="49:49">
      <c r="AW54" s="165">
        <f>SUM(AW48:AW53)</f>
        <v>16610564.1905462</v>
      </c>
    </row>
    <row r="55" spans="35:40">
      <c r="AI55" s="152" t="s">
        <v>342</v>
      </c>
      <c r="AK55" s="152" t="s">
        <v>343</v>
      </c>
      <c r="AN55" s="152" t="s">
        <v>344</v>
      </c>
    </row>
    <row r="56" spans="31:40">
      <c r="AE56" s="152" t="s">
        <v>358</v>
      </c>
      <c r="AI56" s="152" t="s">
        <v>345</v>
      </c>
      <c r="AJ56" s="152" t="s">
        <v>329</v>
      </c>
      <c r="AK56" s="152" t="s">
        <v>345</v>
      </c>
      <c r="AL56" s="152" t="s">
        <v>329</v>
      </c>
      <c r="AN56" s="152" t="s">
        <v>139</v>
      </c>
    </row>
    <row r="57" spans="31:41">
      <c r="AE57" s="152" t="s">
        <v>97</v>
      </c>
      <c r="AI57" s="152">
        <v>7.61</v>
      </c>
      <c r="AJ57" s="152">
        <v>0</v>
      </c>
      <c r="AO57" s="152">
        <f>SUM('[1]Traditional P &amp; L'!I38:I44)+'[1]Traditional P &amp; L'!I37-'[1]Traditional P &amp; L'!I31</f>
        <v>20375383.6011321</v>
      </c>
    </row>
    <row r="58" spans="31:41">
      <c r="AE58" s="152" t="s">
        <v>98</v>
      </c>
      <c r="AI58" s="152">
        <v>36.82</v>
      </c>
      <c r="AJ58" s="152">
        <v>331.338114142821</v>
      </c>
      <c r="AK58" s="152">
        <v>284.79</v>
      </c>
      <c r="AL58" s="152">
        <v>292.747072373417</v>
      </c>
      <c r="AO58" s="152">
        <f>SUM('[1]Profit computation-Feb'!J7:J22)+'[1]Profit computation-Feb'!J30</f>
        <v>4348448.56467557</v>
      </c>
    </row>
    <row r="59" spans="31:41">
      <c r="AE59" s="152" t="s">
        <v>99</v>
      </c>
      <c r="AK59" s="152">
        <v>1450</v>
      </c>
      <c r="AL59" s="152">
        <v>292.090205095636</v>
      </c>
      <c r="AM59" s="152">
        <v>1341.65</v>
      </c>
      <c r="AO59" s="152">
        <f>AO57-AO58</f>
        <v>16026935.0364565</v>
      </c>
    </row>
    <row r="60" spans="31:41">
      <c r="AE60" s="152" t="s">
        <v>100</v>
      </c>
      <c r="AK60" s="152">
        <v>468.68</v>
      </c>
      <c r="AL60" s="152">
        <v>292.090205095636</v>
      </c>
      <c r="AO60" s="152">
        <f>'[1]Profit computation-Feb'!E23+'[1]Profit computation-Feb'!E24</f>
        <v>35737.98165</v>
      </c>
    </row>
    <row r="61" spans="31:41">
      <c r="AE61" s="152" t="s">
        <v>104</v>
      </c>
      <c r="AK61" s="152">
        <v>847</v>
      </c>
      <c r="AL61" s="152">
        <v>528.500386018109</v>
      </c>
      <c r="AM61" s="152">
        <v>21345.67</v>
      </c>
      <c r="AO61" s="152">
        <f>AO59/AO60</f>
        <v>448.456636231344</v>
      </c>
    </row>
    <row r="62" spans="31:39">
      <c r="AE62" s="152" t="s">
        <v>106</v>
      </c>
      <c r="AK62" s="152">
        <v>712</v>
      </c>
      <c r="AL62" s="152">
        <v>528.500386018109</v>
      </c>
      <c r="AM62" s="152">
        <v>8027.28</v>
      </c>
    </row>
    <row r="63" spans="31:39">
      <c r="AE63" s="152" t="s">
        <v>50</v>
      </c>
      <c r="AM63" s="152">
        <v>674.22</v>
      </c>
    </row>
    <row r="65" spans="35:39">
      <c r="AI65" s="152">
        <v>44.43</v>
      </c>
      <c r="AK65" s="152">
        <v>3762.47</v>
      </c>
      <c r="AM65" s="152">
        <v>30714.6</v>
      </c>
    </row>
  </sheetData>
  <mergeCells count="11">
    <mergeCell ref="B2:F2"/>
    <mergeCell ref="H2:AA2"/>
    <mergeCell ref="B3:F3"/>
    <mergeCell ref="B13:F13"/>
    <mergeCell ref="B14:F14"/>
    <mergeCell ref="H15:AB15"/>
    <mergeCell ref="B26:F26"/>
    <mergeCell ref="H26:AB26"/>
    <mergeCell ref="B27:C27"/>
    <mergeCell ref="H32:O32"/>
    <mergeCell ref="Q32:AA32"/>
  </mergeCells>
  <pageMargins left="0.236220472440945" right="0.236220472440945" top="0.748031496062992" bottom="0.748031496062992" header="0.31496062992126" footer="0.31496062992126"/>
  <pageSetup paperSize="9" scale="79" orientation="landscape"/>
  <headerFooter/>
  <colBreaks count="1" manualBreakCount="1">
    <brk id="27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0"/>
  <sheetViews>
    <sheetView showGridLines="0" topLeftCell="A5" workbookViewId="0">
      <selection activeCell="F23" sqref="F23"/>
    </sheetView>
  </sheetViews>
  <sheetFormatPr defaultColWidth="9.45454545454546" defaultRowHeight="14"/>
  <cols>
    <col min="1" max="1" width="9.45454545454546" style="152"/>
    <col min="2" max="2" width="2.81818181818182" style="152" customWidth="1"/>
    <col min="3" max="3" width="15.5454545454545" style="152" customWidth="1"/>
    <col min="4" max="10" width="12.5454545454545" style="152" customWidth="1"/>
    <col min="11" max="11" width="2.54545454545455" style="152" customWidth="1"/>
    <col min="12" max="14" width="12.5454545454545" style="152" customWidth="1"/>
    <col min="15" max="15" width="14.4545454545455" style="152" customWidth="1"/>
    <col min="16" max="16" width="9.90909090909091" style="152" customWidth="1"/>
    <col min="17" max="17" width="11.5454545454545" style="152" customWidth="1"/>
    <col min="18" max="18" width="9.90909090909091" style="152" customWidth="1"/>
    <col min="19" max="19" width="11.3636363636364" style="152" customWidth="1"/>
    <col min="20" max="21" width="9.45454545454546" style="152"/>
    <col min="22" max="22" width="13.6363636363636" style="152" customWidth="1"/>
    <col min="23" max="23" width="9.45454545454546" style="152" hidden="1" customWidth="1"/>
    <col min="24" max="16384" width="9.45454545454546" style="152"/>
  </cols>
  <sheetData>
    <row r="1" spans="11:11">
      <c r="K1" s="487"/>
    </row>
    <row r="2" spans="3:11">
      <c r="C2" s="231" t="s">
        <v>359</v>
      </c>
      <c r="K2" s="487"/>
    </row>
    <row r="3" ht="15" customHeight="1" spans="3:19">
      <c r="C3" s="470" t="s">
        <v>0</v>
      </c>
      <c r="D3" s="470"/>
      <c r="E3" s="470"/>
      <c r="F3" s="470"/>
      <c r="G3" s="470"/>
      <c r="H3" s="470"/>
      <c r="I3" s="470"/>
      <c r="J3" s="470"/>
      <c r="K3" s="488"/>
      <c r="L3" s="489"/>
      <c r="M3" s="490" t="s">
        <v>4</v>
      </c>
      <c r="N3" s="491" t="s">
        <v>137</v>
      </c>
      <c r="O3" s="492"/>
      <c r="P3" s="493" t="s">
        <v>138</v>
      </c>
      <c r="Q3" s="525"/>
      <c r="R3" s="498" t="s">
        <v>58</v>
      </c>
      <c r="S3" s="498"/>
    </row>
    <row r="4" ht="42" spans="3:25">
      <c r="C4" s="157" t="s">
        <v>360</v>
      </c>
      <c r="D4" s="157"/>
      <c r="E4" s="157"/>
      <c r="F4" s="157"/>
      <c r="G4" s="471"/>
      <c r="H4" s="471"/>
      <c r="I4" s="471"/>
      <c r="J4" s="471"/>
      <c r="K4" s="494"/>
      <c r="L4" s="495"/>
      <c r="M4" s="496"/>
      <c r="N4" s="497" t="s">
        <v>139</v>
      </c>
      <c r="O4" s="497" t="s">
        <v>9</v>
      </c>
      <c r="P4" s="498" t="s">
        <v>139</v>
      </c>
      <c r="Q4" s="498" t="s">
        <v>9</v>
      </c>
      <c r="R4" s="498" t="s">
        <v>139</v>
      </c>
      <c r="S4" s="498" t="s">
        <v>9</v>
      </c>
      <c r="V4" s="526" t="s">
        <v>361</v>
      </c>
      <c r="W4" s="526" t="s">
        <v>362</v>
      </c>
      <c r="X4" s="526" t="s">
        <v>363</v>
      </c>
      <c r="Y4" s="526" t="s">
        <v>364</v>
      </c>
    </row>
    <row r="5" s="469" customFormat="1" spans="3:25">
      <c r="C5" s="472" t="s">
        <v>4</v>
      </c>
      <c r="D5" s="473">
        <v>45658</v>
      </c>
      <c r="E5" s="474"/>
      <c r="F5" s="475"/>
      <c r="G5" s="476"/>
      <c r="H5" s="476"/>
      <c r="I5" s="476"/>
      <c r="J5" s="476"/>
      <c r="K5" s="499"/>
      <c r="L5" s="500"/>
      <c r="M5" s="482" t="s">
        <v>140</v>
      </c>
      <c r="N5" s="501">
        <v>0</v>
      </c>
      <c r="O5" s="502">
        <v>0</v>
      </c>
      <c r="P5" s="503">
        <v>0</v>
      </c>
      <c r="Q5" s="523">
        <v>0</v>
      </c>
      <c r="R5" s="503">
        <f t="shared" ref="R5:S17" si="0">+N5+P5</f>
        <v>0</v>
      </c>
      <c r="S5" s="527">
        <f t="shared" si="0"/>
        <v>0</v>
      </c>
      <c r="T5" s="469" t="s">
        <v>28</v>
      </c>
      <c r="U5" s="469" t="b">
        <f>T5=M5</f>
        <v>0</v>
      </c>
      <c r="V5" s="528" t="s">
        <v>28</v>
      </c>
      <c r="W5" s="529">
        <v>189.72</v>
      </c>
      <c r="X5" s="529">
        <f>IF(('[1]Product &amp; stock detail - Jul-24'!O20)&gt;W5,W5,('[1]Product &amp; stock detail - Jul-24'!O20))</f>
        <v>60</v>
      </c>
      <c r="Y5" s="529">
        <f>W5-X5</f>
        <v>129.72</v>
      </c>
    </row>
    <row r="6" s="469" customFormat="1" spans="3:25">
      <c r="C6" s="477"/>
      <c r="D6" s="478" t="s">
        <v>139</v>
      </c>
      <c r="E6" s="478" t="s">
        <v>9</v>
      </c>
      <c r="F6" s="479" t="s">
        <v>365</v>
      </c>
      <c r="G6" s="479" t="s">
        <v>366</v>
      </c>
      <c r="H6" s="479" t="s">
        <v>367</v>
      </c>
      <c r="I6" s="479" t="s">
        <v>368</v>
      </c>
      <c r="J6" s="479" t="s">
        <v>369</v>
      </c>
      <c r="K6" s="504"/>
      <c r="L6" s="505"/>
      <c r="M6" s="482" t="s">
        <v>142</v>
      </c>
      <c r="N6" s="501">
        <v>8.01</v>
      </c>
      <c r="O6" s="502">
        <v>3604.5</v>
      </c>
      <c r="P6" s="503">
        <v>0</v>
      </c>
      <c r="Q6" s="523">
        <v>0</v>
      </c>
      <c r="R6" s="503">
        <f t="shared" si="0"/>
        <v>8.01</v>
      </c>
      <c r="S6" s="527">
        <f t="shared" si="0"/>
        <v>3604.5</v>
      </c>
      <c r="T6" s="469" t="s">
        <v>29</v>
      </c>
      <c r="U6" s="469" t="b">
        <f t="shared" ref="U6:U17" si="1">T6=M6</f>
        <v>0</v>
      </c>
      <c r="V6" s="528" t="s">
        <v>29</v>
      </c>
      <c r="W6" s="529">
        <v>50.02</v>
      </c>
      <c r="X6" s="529">
        <f>IF(('[1]Product &amp; stock detail - Jul-24'!P20)&gt;W6,W6,('[1]Product &amp; stock detail - Jul-24'!P20))</f>
        <v>50.02</v>
      </c>
      <c r="Y6" s="529">
        <f t="shared" ref="Y6:Y17" si="2">W6-X6</f>
        <v>0</v>
      </c>
    </row>
    <row r="7" ht="20.15" customHeight="1" spans="1:25">
      <c r="A7" s="152" t="s">
        <v>1</v>
      </c>
      <c r="C7" s="480" t="s">
        <v>28</v>
      </c>
      <c r="D7" s="481">
        <f t="shared" ref="D7:E17" si="3">R5</f>
        <v>0</v>
      </c>
      <c r="E7" s="481">
        <f t="shared" si="3"/>
        <v>0</v>
      </c>
      <c r="F7" s="481">
        <f>+IFERROR((E7/D7),0)</f>
        <v>0</v>
      </c>
      <c r="G7" s="481">
        <f>'Product &amp; stock detail -Jan-25'!O20</f>
        <v>1000</v>
      </c>
      <c r="H7" s="481">
        <f>IF((D7-G7)&gt;0,(D7-G7),0)</f>
        <v>0</v>
      </c>
      <c r="I7" s="481">
        <f>IF((G7-D7)&gt;0,(G7-D7),0)</f>
        <v>1000</v>
      </c>
      <c r="J7" s="481"/>
      <c r="K7" s="506"/>
      <c r="L7" s="507"/>
      <c r="M7" s="482" t="s">
        <v>47</v>
      </c>
      <c r="N7" s="501">
        <f>2970.01-1641.58</f>
        <v>1328.43</v>
      </c>
      <c r="O7" s="502">
        <f>1494008-861830</f>
        <v>632178</v>
      </c>
      <c r="P7" s="503">
        <f>186.08+5919.27-3582.33</f>
        <v>2523.02</v>
      </c>
      <c r="Q7" s="530">
        <f>130256+4873632.15-685607.2-2955287.55</f>
        <v>1362993.4</v>
      </c>
      <c r="R7" s="503">
        <f t="shared" si="0"/>
        <v>3851.45</v>
      </c>
      <c r="S7" s="527">
        <f t="shared" si="0"/>
        <v>1995171.4</v>
      </c>
      <c r="T7" s="469" t="s">
        <v>57</v>
      </c>
      <c r="U7" s="469" t="b">
        <f t="shared" si="1"/>
        <v>0</v>
      </c>
      <c r="V7" s="528" t="s">
        <v>57</v>
      </c>
      <c r="W7" s="208">
        <v>4314.011</v>
      </c>
      <c r="X7" s="208">
        <f>IF(('[1]Product &amp; stock detail - Jul-24'!X20)&gt;W7,W7,('[1]Product &amp; stock detail - Jul-24'!X20))</f>
        <v>150</v>
      </c>
      <c r="Y7" s="529">
        <f t="shared" si="2"/>
        <v>4164.011</v>
      </c>
    </row>
    <row r="8" ht="20.15" customHeight="1" spans="1:25">
      <c r="A8" s="152" t="s">
        <v>1</v>
      </c>
      <c r="C8" s="480" t="s">
        <v>29</v>
      </c>
      <c r="D8" s="481">
        <f t="shared" si="3"/>
        <v>8.01</v>
      </c>
      <c r="E8" s="481">
        <f>S6</f>
        <v>3604.5</v>
      </c>
      <c r="F8" s="481">
        <f t="shared" ref="F8:F19" si="4">+IFERROR((E8/D8),0)</f>
        <v>450</v>
      </c>
      <c r="G8" s="481">
        <f>'Product &amp; stock detail -Jan-25'!P20</f>
        <v>3720</v>
      </c>
      <c r="H8" s="481">
        <f t="shared" ref="H8:H19" si="5">IF((D8-G8)&gt;0,(D8-G8),0)</f>
        <v>0</v>
      </c>
      <c r="I8" s="481">
        <f t="shared" ref="I8:I19" si="6">IF((G8-D8)&gt;0,(G8-D8),0)</f>
        <v>3711.99</v>
      </c>
      <c r="J8" s="481">
        <f>MIN(D8,G8)</f>
        <v>8.01</v>
      </c>
      <c r="K8" s="506"/>
      <c r="L8" s="507">
        <f>J8*VLOOKUP(A8,'[1]Clos Stock op cf val -Oct24'!$C$20:$D$22,2,0)</f>
        <v>1331.17747376738</v>
      </c>
      <c r="M8" s="482" t="s">
        <v>144</v>
      </c>
      <c r="N8" s="501">
        <f>915.78-414.37</f>
        <v>501.41</v>
      </c>
      <c r="O8" s="502">
        <f>476594.5-217544</f>
        <v>259050.5</v>
      </c>
      <c r="P8" s="503">
        <v>0</v>
      </c>
      <c r="Q8" s="530">
        <v>0</v>
      </c>
      <c r="R8" s="503">
        <f t="shared" si="0"/>
        <v>501.41</v>
      </c>
      <c r="S8" s="527">
        <f>+O8+Q8</f>
        <v>259050.5</v>
      </c>
      <c r="T8" s="469" t="s">
        <v>51</v>
      </c>
      <c r="U8" s="469" t="b">
        <f t="shared" si="1"/>
        <v>0</v>
      </c>
      <c r="V8" s="528" t="s">
        <v>51</v>
      </c>
      <c r="W8" s="208">
        <v>8427.33</v>
      </c>
      <c r="X8" s="208">
        <f>IF(('[1]Product &amp; stock detail - Jul-24'!Y20)&gt;W8,W8,('[1]Product &amp; stock detail - Jul-24'!Y20))</f>
        <v>700</v>
      </c>
      <c r="Y8" s="529">
        <f t="shared" si="2"/>
        <v>7727.33</v>
      </c>
    </row>
    <row r="9" ht="20.15" customHeight="1" spans="1:25">
      <c r="A9" s="152" t="s">
        <v>3</v>
      </c>
      <c r="C9" s="480" t="s">
        <v>57</v>
      </c>
      <c r="D9" s="481">
        <f>R7+R22</f>
        <v>4548.46</v>
      </c>
      <c r="E9" s="481">
        <f>S7+S22</f>
        <v>2423832.55</v>
      </c>
      <c r="F9" s="481">
        <f t="shared" si="4"/>
        <v>532.890813594052</v>
      </c>
      <c r="G9" s="481">
        <f>'Product &amp; stock detail -Jan-25'!X20</f>
        <v>70</v>
      </c>
      <c r="H9" s="481">
        <f t="shared" si="5"/>
        <v>4478.46</v>
      </c>
      <c r="I9" s="481">
        <f t="shared" si="6"/>
        <v>0</v>
      </c>
      <c r="J9" s="481">
        <f t="shared" ref="J9:J19" si="7">MIN(D9,G9)</f>
        <v>70</v>
      </c>
      <c r="K9" s="506"/>
      <c r="L9" s="507">
        <f>J9*VLOOKUP(A9,'[1]Clos Stock op cf val -Oct24'!$C$20:$D$22,2,0)</f>
        <v>14682.9724470104</v>
      </c>
      <c r="M9" s="482" t="s">
        <v>50</v>
      </c>
      <c r="N9" s="501">
        <v>138.68</v>
      </c>
      <c r="O9" s="502">
        <v>52070.7</v>
      </c>
      <c r="P9" s="503">
        <v>2577.05</v>
      </c>
      <c r="Q9" s="530">
        <f>1610390-467160.8</f>
        <v>1143229.2</v>
      </c>
      <c r="R9" s="503">
        <f t="shared" si="0"/>
        <v>2715.73</v>
      </c>
      <c r="S9" s="527">
        <f t="shared" si="0"/>
        <v>1195299.9</v>
      </c>
      <c r="T9" s="469" t="s">
        <v>50</v>
      </c>
      <c r="U9" s="469" t="b">
        <f t="shared" si="1"/>
        <v>1</v>
      </c>
      <c r="V9" s="528" t="s">
        <v>50</v>
      </c>
      <c r="W9" s="208">
        <v>2168.14</v>
      </c>
      <c r="X9" s="208">
        <f>W9</f>
        <v>2168.14</v>
      </c>
      <c r="Y9" s="529">
        <f t="shared" si="2"/>
        <v>0</v>
      </c>
    </row>
    <row r="10" ht="20.15" customHeight="1" spans="1:25">
      <c r="A10" s="152" t="s">
        <v>3</v>
      </c>
      <c r="C10" s="480" t="s">
        <v>51</v>
      </c>
      <c r="D10" s="481">
        <f>R8+R23</f>
        <v>1989.93</v>
      </c>
      <c r="E10" s="481">
        <f>S8+S23</f>
        <v>1174490.3</v>
      </c>
      <c r="F10" s="481">
        <f t="shared" si="4"/>
        <v>590.216892051479</v>
      </c>
      <c r="G10" s="481">
        <f>'Product &amp; stock detail -Jan-25'!Y20</f>
        <v>14.83</v>
      </c>
      <c r="H10" s="481">
        <f t="shared" si="5"/>
        <v>1975.1</v>
      </c>
      <c r="I10" s="481">
        <f t="shared" si="6"/>
        <v>0</v>
      </c>
      <c r="J10" s="481">
        <f t="shared" si="7"/>
        <v>14.83</v>
      </c>
      <c r="K10" s="506"/>
      <c r="L10" s="507">
        <f>J10*VLOOKUP(A10,'[1]Clos Stock op cf val -Oct24'!$C$20:$D$22,2,0)</f>
        <v>3110.69259127378</v>
      </c>
      <c r="M10" s="482" t="s">
        <v>145</v>
      </c>
      <c r="N10" s="501">
        <v>327.94</v>
      </c>
      <c r="O10" s="502">
        <v>180367</v>
      </c>
      <c r="P10" s="503">
        <v>230.22</v>
      </c>
      <c r="Q10" s="530">
        <f>141584-12661</f>
        <v>128923</v>
      </c>
      <c r="R10" s="503">
        <f>+N10+P10</f>
        <v>558.16</v>
      </c>
      <c r="S10" s="527">
        <f>+O10+Q10</f>
        <v>309290</v>
      </c>
      <c r="T10" s="469" t="s">
        <v>35</v>
      </c>
      <c r="U10" s="469" t="b">
        <f t="shared" si="1"/>
        <v>0</v>
      </c>
      <c r="V10" s="528" t="s">
        <v>35</v>
      </c>
      <c r="W10" s="208">
        <v>998.61</v>
      </c>
      <c r="X10" s="208">
        <f>IF(('[1]Product &amp; stock detail - Jul-24'!$Q$20)&gt;W10,W10,('[1]Product &amp; stock detail - Jul-24'!$Q$20))</f>
        <v>998.61</v>
      </c>
      <c r="Y10" s="529">
        <f t="shared" si="2"/>
        <v>0</v>
      </c>
    </row>
    <row r="11" ht="20.15" customHeight="1" spans="1:25">
      <c r="A11" s="152" t="s">
        <v>3</v>
      </c>
      <c r="C11" s="480" t="s">
        <v>50</v>
      </c>
      <c r="D11" s="481">
        <f t="shared" si="3"/>
        <v>2715.73</v>
      </c>
      <c r="E11" s="481">
        <f t="shared" si="3"/>
        <v>1195299.9</v>
      </c>
      <c r="F11" s="481">
        <f t="shared" si="4"/>
        <v>440.139446852228</v>
      </c>
      <c r="G11" s="481">
        <f>'Product &amp; stock detail -Jan-25'!W20-G19</f>
        <v>25313</v>
      </c>
      <c r="H11" s="481">
        <f t="shared" si="5"/>
        <v>0</v>
      </c>
      <c r="I11" s="481">
        <f t="shared" si="6"/>
        <v>22597.27</v>
      </c>
      <c r="J11" s="481">
        <f t="shared" si="7"/>
        <v>2715.73</v>
      </c>
      <c r="K11" s="506"/>
      <c r="L11" s="507">
        <f>J11*VLOOKUP(A11,'[1]Clos Stock op cf val -Oct24'!$C$20:$D$22,2,0)</f>
        <v>569642.696621709</v>
      </c>
      <c r="M11" s="482" t="s">
        <v>148</v>
      </c>
      <c r="N11" s="501">
        <v>104.03</v>
      </c>
      <c r="O11" s="502">
        <v>62418</v>
      </c>
      <c r="P11" s="503">
        <v>28.08</v>
      </c>
      <c r="Q11" s="523">
        <v>16848</v>
      </c>
      <c r="R11" s="503">
        <f t="shared" ref="R11:S14" si="8">+N11+P11</f>
        <v>132.11</v>
      </c>
      <c r="S11" s="527">
        <f t="shared" si="8"/>
        <v>79266</v>
      </c>
      <c r="T11" s="469" t="s">
        <v>37</v>
      </c>
      <c r="U11" s="469" t="b">
        <f t="shared" si="1"/>
        <v>0</v>
      </c>
      <c r="V11" s="528" t="s">
        <v>37</v>
      </c>
      <c r="W11" s="208">
        <v>2.7</v>
      </c>
      <c r="X11" s="208">
        <f>IF(('[1]Product &amp; stock detail - Jul-24'!$R$20)&gt;W11,W11,('[1]Product &amp; stock detail - Jul-24'!$R$20))</f>
        <v>0</v>
      </c>
      <c r="Y11" s="529">
        <f t="shared" si="2"/>
        <v>2.7</v>
      </c>
    </row>
    <row r="12" ht="20.15" customHeight="1" spans="1:25">
      <c r="A12" s="152" t="s">
        <v>1</v>
      </c>
      <c r="C12" s="480" t="s">
        <v>35</v>
      </c>
      <c r="D12" s="481">
        <f t="shared" si="3"/>
        <v>558.16</v>
      </c>
      <c r="E12" s="481">
        <f t="shared" si="3"/>
        <v>309290</v>
      </c>
      <c r="F12" s="481">
        <f t="shared" si="4"/>
        <v>554.1242654436</v>
      </c>
      <c r="G12" s="481">
        <f>'Product &amp; stock detail -Jan-25'!Q20</f>
        <v>3493.76</v>
      </c>
      <c r="H12" s="481">
        <f t="shared" si="5"/>
        <v>0</v>
      </c>
      <c r="I12" s="481">
        <f t="shared" si="6"/>
        <v>2935.6</v>
      </c>
      <c r="J12" s="481">
        <f t="shared" si="7"/>
        <v>558.16</v>
      </c>
      <c r="K12" s="506"/>
      <c r="L12" s="507">
        <f>J12*VLOOKUP(A12,'[1]Clos Stock op cf val -Oct24'!$C$20:$D$22,2,0)</f>
        <v>92760.3019672909</v>
      </c>
      <c r="M12" s="482" t="s">
        <v>149</v>
      </c>
      <c r="N12" s="501">
        <v>2867.86</v>
      </c>
      <c r="O12" s="502">
        <v>1728972.5</v>
      </c>
      <c r="P12" s="503">
        <v>0</v>
      </c>
      <c r="Q12" s="530">
        <v>0</v>
      </c>
      <c r="R12" s="503">
        <f t="shared" si="8"/>
        <v>2867.86</v>
      </c>
      <c r="S12" s="527">
        <f t="shared" si="8"/>
        <v>1728972.5</v>
      </c>
      <c r="T12" s="469" t="s">
        <v>43</v>
      </c>
      <c r="U12" s="469" t="b">
        <f t="shared" si="1"/>
        <v>0</v>
      </c>
      <c r="V12" s="528" t="s">
        <v>43</v>
      </c>
      <c r="W12" s="208">
        <v>13185.124</v>
      </c>
      <c r="X12" s="208">
        <f>IF(('[1]Product &amp; stock detail - Jul-24'!$S$20)&gt;W12,W12,('[1]Product &amp; stock detail - Jul-24'!$S$20))</f>
        <v>0</v>
      </c>
      <c r="Y12" s="529">
        <f t="shared" si="2"/>
        <v>13185.124</v>
      </c>
    </row>
    <row r="13" ht="20.15" customHeight="1" spans="1:25">
      <c r="A13" s="152" t="s">
        <v>1</v>
      </c>
      <c r="C13" s="480" t="s">
        <v>37</v>
      </c>
      <c r="D13" s="481">
        <f t="shared" si="3"/>
        <v>132.11</v>
      </c>
      <c r="E13" s="481">
        <f t="shared" si="3"/>
        <v>79266</v>
      </c>
      <c r="F13" s="481">
        <f t="shared" si="4"/>
        <v>600</v>
      </c>
      <c r="G13" s="481">
        <f>'Product &amp; stock detail -Jan-25'!R20</f>
        <v>491.91</v>
      </c>
      <c r="H13" s="481">
        <f t="shared" si="5"/>
        <v>0</v>
      </c>
      <c r="I13" s="481">
        <f t="shared" si="6"/>
        <v>359.8</v>
      </c>
      <c r="J13" s="481">
        <f t="shared" si="7"/>
        <v>132.11</v>
      </c>
      <c r="K13" s="506"/>
      <c r="L13" s="507">
        <f>J13*VLOOKUP(A13,'[1]Clos Stock op cf val -Oct24'!$C$20:$D$22,2,0)</f>
        <v>21955.2878975541</v>
      </c>
      <c r="M13" s="482" t="s">
        <v>156</v>
      </c>
      <c r="N13" s="501">
        <f>470.08-55.87</f>
        <v>414.21</v>
      </c>
      <c r="O13" s="502">
        <f>368356-39109</f>
        <v>329247</v>
      </c>
      <c r="P13" s="503">
        <f>535.57</f>
        <v>535.57</v>
      </c>
      <c r="Q13" s="530">
        <f>486976.28-77816.75</f>
        <v>409159.53</v>
      </c>
      <c r="R13" s="503">
        <f t="shared" si="8"/>
        <v>949.78</v>
      </c>
      <c r="S13" s="527">
        <f t="shared" si="8"/>
        <v>738406.53</v>
      </c>
      <c r="T13" s="469" t="s">
        <v>45</v>
      </c>
      <c r="U13" s="469" t="b">
        <f t="shared" si="1"/>
        <v>0</v>
      </c>
      <c r="V13" s="528" t="s">
        <v>45</v>
      </c>
      <c r="W13" s="208">
        <v>2107.11</v>
      </c>
      <c r="X13" s="208">
        <f>IF(('[1]Product &amp; stock detail - Jul-24'!$T$20)&gt;W13,W13,('[1]Product &amp; stock detail - Jul-24'!$T$20))</f>
        <v>350</v>
      </c>
      <c r="Y13" s="529">
        <f t="shared" si="2"/>
        <v>1757.11</v>
      </c>
    </row>
    <row r="14" ht="20.15" customHeight="1" spans="1:25">
      <c r="A14" s="152" t="s">
        <v>3</v>
      </c>
      <c r="C14" s="480" t="s">
        <v>43</v>
      </c>
      <c r="D14" s="481">
        <f>R12+R24</f>
        <v>7479.59</v>
      </c>
      <c r="E14" s="481">
        <f>S12+S24</f>
        <v>5026359.45</v>
      </c>
      <c r="F14" s="481">
        <f t="shared" si="4"/>
        <v>672.010023276677</v>
      </c>
      <c r="G14" s="481">
        <f>'Product &amp; stock detail -Jan-25'!S20</f>
        <v>1165</v>
      </c>
      <c r="H14" s="481">
        <f t="shared" si="5"/>
        <v>6314.59</v>
      </c>
      <c r="I14" s="481">
        <f t="shared" si="6"/>
        <v>0</v>
      </c>
      <c r="J14" s="481">
        <f t="shared" si="7"/>
        <v>1165</v>
      </c>
      <c r="K14" s="506"/>
      <c r="L14" s="507">
        <f>J14*VLOOKUP(A14,'[1]Clos Stock op cf val -Oct24'!$C$20:$D$22,2,0)</f>
        <v>244366.612868102</v>
      </c>
      <c r="M14" s="482" t="s">
        <v>158</v>
      </c>
      <c r="N14" s="501">
        <v>0</v>
      </c>
      <c r="O14" s="508">
        <v>0</v>
      </c>
      <c r="P14" s="503">
        <v>14857.358</v>
      </c>
      <c r="Q14" s="530">
        <f>12045450.4-14895</f>
        <v>12030555.4</v>
      </c>
      <c r="R14" s="503">
        <f t="shared" si="8"/>
        <v>14857.358</v>
      </c>
      <c r="S14" s="527">
        <f t="shared" si="8"/>
        <v>12030555.4</v>
      </c>
      <c r="T14" s="469" t="s">
        <v>48</v>
      </c>
      <c r="U14" s="469" t="b">
        <f t="shared" si="1"/>
        <v>0</v>
      </c>
      <c r="V14" s="528" t="s">
        <v>48</v>
      </c>
      <c r="W14" s="208">
        <v>22046.07</v>
      </c>
      <c r="X14" s="208">
        <f>IF(('[1]Product &amp; stock detail - Jul-24'!$U$20)&gt;W14,W14,('[1]Product &amp; stock detail - Jul-24'!$U$20))</f>
        <v>3700</v>
      </c>
      <c r="Y14" s="529">
        <f t="shared" si="2"/>
        <v>18346.07</v>
      </c>
    </row>
    <row r="15" ht="20.15" customHeight="1" spans="1:25">
      <c r="A15" s="152" t="s">
        <v>3</v>
      </c>
      <c r="C15" s="480" t="s">
        <v>45</v>
      </c>
      <c r="D15" s="481">
        <f t="shared" si="3"/>
        <v>949.78</v>
      </c>
      <c r="E15" s="481">
        <f t="shared" si="3"/>
        <v>738406.53</v>
      </c>
      <c r="F15" s="481">
        <f t="shared" si="4"/>
        <v>777.450072648403</v>
      </c>
      <c r="G15" s="481">
        <f>'Product &amp; stock detail -Jan-25'!T20</f>
        <v>70</v>
      </c>
      <c r="H15" s="481">
        <f t="shared" si="5"/>
        <v>879.78</v>
      </c>
      <c r="I15" s="481">
        <f t="shared" si="6"/>
        <v>0</v>
      </c>
      <c r="J15" s="481">
        <f t="shared" si="7"/>
        <v>70</v>
      </c>
      <c r="K15" s="506"/>
      <c r="L15" s="507">
        <f>J15*VLOOKUP(A15,'[1]Clos Stock op cf val -Oct24'!$C$20:$D$22,2,0)</f>
        <v>14682.9724470104</v>
      </c>
      <c r="M15" s="482" t="s">
        <v>159</v>
      </c>
      <c r="N15" s="501">
        <v>1070.56</v>
      </c>
      <c r="O15" s="502">
        <v>1075560</v>
      </c>
      <c r="P15" s="503">
        <v>0</v>
      </c>
      <c r="Q15" s="523">
        <v>0</v>
      </c>
      <c r="R15" s="503">
        <f t="shared" si="0"/>
        <v>1070.56</v>
      </c>
      <c r="S15" s="527">
        <f t="shared" si="0"/>
        <v>1075560</v>
      </c>
      <c r="T15" s="469" t="s">
        <v>49</v>
      </c>
      <c r="U15" s="469" t="b">
        <f t="shared" si="1"/>
        <v>0</v>
      </c>
      <c r="V15" s="528" t="s">
        <v>49</v>
      </c>
      <c r="W15" s="208">
        <v>12348.57</v>
      </c>
      <c r="X15" s="208">
        <f>IF(('[1]Product &amp; stock detail - Jul-24'!$V$20)&gt;W15,W15,('[1]Product &amp; stock detail - Jul-24'!$V$20))</f>
        <v>1600</v>
      </c>
      <c r="Y15" s="529">
        <f t="shared" si="2"/>
        <v>10748.57</v>
      </c>
    </row>
    <row r="16" ht="20.15" customHeight="1" spans="1:25">
      <c r="A16" s="152" t="s">
        <v>10</v>
      </c>
      <c r="C16" s="480" t="s">
        <v>48</v>
      </c>
      <c r="D16" s="481">
        <f t="shared" si="3"/>
        <v>14857.358</v>
      </c>
      <c r="E16" s="481">
        <f t="shared" si="3"/>
        <v>12030555.4</v>
      </c>
      <c r="F16" s="481">
        <f t="shared" si="4"/>
        <v>809.73719553638</v>
      </c>
      <c r="G16" s="481">
        <f>'Product &amp; stock detail -Jan-25'!U20</f>
        <v>2549.9</v>
      </c>
      <c r="H16" s="481">
        <f t="shared" si="5"/>
        <v>12307.458</v>
      </c>
      <c r="I16" s="481">
        <f t="shared" si="6"/>
        <v>0</v>
      </c>
      <c r="J16" s="481">
        <f t="shared" si="7"/>
        <v>2549.9</v>
      </c>
      <c r="K16" s="506"/>
      <c r="L16" s="507">
        <f>J16*VLOOKUP(A16,'[1]Clos Stock op cf val -Oct24'!$C$20:$D$22,2,0)</f>
        <v>945726.630755135</v>
      </c>
      <c r="M16" s="482" t="s">
        <v>52</v>
      </c>
      <c r="N16" s="501">
        <v>137.13</v>
      </c>
      <c r="O16" s="502">
        <v>69810</v>
      </c>
      <c r="P16" s="503">
        <f>449.987-147.78</f>
        <v>302.207</v>
      </c>
      <c r="Q16" s="530">
        <f>333178.5-88927.8-99630</f>
        <v>144620.7</v>
      </c>
      <c r="R16" s="503">
        <f t="shared" si="0"/>
        <v>439.337</v>
      </c>
      <c r="S16" s="527">
        <f t="shared" si="0"/>
        <v>214430.7</v>
      </c>
      <c r="T16" s="469" t="s">
        <v>52</v>
      </c>
      <c r="U16" s="469" t="b">
        <f t="shared" si="1"/>
        <v>1</v>
      </c>
      <c r="V16" s="528" t="s">
        <v>52</v>
      </c>
      <c r="W16" s="208">
        <v>837.956</v>
      </c>
      <c r="X16" s="208">
        <f>IF(('[1]Product &amp; stock detail - Jul-24'!$Z$20)&gt;W16,W16,('[1]Product &amp; stock detail - Jul-24'!$Z$20))</f>
        <v>837.956</v>
      </c>
      <c r="Y16" s="529">
        <f t="shared" si="2"/>
        <v>0</v>
      </c>
    </row>
    <row r="17" s="181" customFormat="1" ht="20.15" customHeight="1" spans="1:25">
      <c r="A17" s="181" t="s">
        <v>10</v>
      </c>
      <c r="C17" s="480" t="s">
        <v>49</v>
      </c>
      <c r="D17" s="481">
        <f t="shared" si="3"/>
        <v>1070.56</v>
      </c>
      <c r="E17" s="481">
        <f t="shared" si="3"/>
        <v>1075560</v>
      </c>
      <c r="F17" s="481">
        <f t="shared" si="4"/>
        <v>1004.67045284711</v>
      </c>
      <c r="G17" s="481">
        <f>'Product &amp; stock detail -Jan-25'!V20</f>
        <v>1152.98</v>
      </c>
      <c r="H17" s="481">
        <f t="shared" si="5"/>
        <v>0</v>
      </c>
      <c r="I17" s="481">
        <f t="shared" si="6"/>
        <v>82.4200000000001</v>
      </c>
      <c r="J17" s="481">
        <f t="shared" si="7"/>
        <v>1070.56</v>
      </c>
      <c r="K17" s="509"/>
      <c r="L17" s="507">
        <f>J17*VLOOKUP(A17,'[1]Clos Stock op cf val -Oct24'!$C$20:$D$22,2,0)</f>
        <v>397057.571599364</v>
      </c>
      <c r="M17" s="482" t="s">
        <v>53</v>
      </c>
      <c r="N17" s="501">
        <v>191.05</v>
      </c>
      <c r="O17" s="502">
        <v>79286.25</v>
      </c>
      <c r="P17" s="503">
        <v>0</v>
      </c>
      <c r="Q17" s="523">
        <v>0</v>
      </c>
      <c r="R17" s="503">
        <f t="shared" si="0"/>
        <v>191.05</v>
      </c>
      <c r="S17" s="527">
        <f t="shared" si="0"/>
        <v>79286.25</v>
      </c>
      <c r="T17" s="469" t="s">
        <v>53</v>
      </c>
      <c r="U17" s="469" t="b">
        <f t="shared" si="1"/>
        <v>1</v>
      </c>
      <c r="V17" s="528" t="s">
        <v>53</v>
      </c>
      <c r="W17" s="208">
        <v>1244.25</v>
      </c>
      <c r="X17" s="208">
        <f>W17</f>
        <v>1244.25</v>
      </c>
      <c r="Y17" s="529">
        <f t="shared" si="2"/>
        <v>0</v>
      </c>
    </row>
    <row r="18" spans="1:19">
      <c r="A18" s="152" t="s">
        <v>1</v>
      </c>
      <c r="C18" s="482" t="s">
        <v>52</v>
      </c>
      <c r="D18" s="481">
        <f>R16</f>
        <v>439.337</v>
      </c>
      <c r="E18" s="481">
        <f>S16</f>
        <v>214430.7</v>
      </c>
      <c r="F18" s="481">
        <f t="shared" si="4"/>
        <v>488.07794472125</v>
      </c>
      <c r="G18" s="481">
        <f>'Product &amp; stock detail -Jan-25'!Z20</f>
        <v>100</v>
      </c>
      <c r="H18" s="481">
        <f t="shared" si="5"/>
        <v>339.337</v>
      </c>
      <c r="I18" s="481">
        <f t="shared" si="6"/>
        <v>0</v>
      </c>
      <c r="J18" s="481">
        <f t="shared" si="7"/>
        <v>100</v>
      </c>
      <c r="K18" s="487"/>
      <c r="L18" s="507">
        <f>J18*VLOOKUP(A18,'[1]Clos Stock op cf val -Oct24'!$C$20:$D$22,2,0)</f>
        <v>16618.9447411658</v>
      </c>
      <c r="M18" s="482"/>
      <c r="N18" s="501"/>
      <c r="O18" s="502"/>
      <c r="P18" s="503"/>
      <c r="Q18" s="523"/>
      <c r="R18" s="503"/>
      <c r="S18" s="527"/>
    </row>
    <row r="19" spans="1:25">
      <c r="A19" s="152" t="s">
        <v>3</v>
      </c>
      <c r="C19" s="482" t="s">
        <v>53</v>
      </c>
      <c r="D19" s="481">
        <f>R17</f>
        <v>191.05</v>
      </c>
      <c r="E19" s="481">
        <f>S17</f>
        <v>79286.25</v>
      </c>
      <c r="F19" s="481">
        <f t="shared" si="4"/>
        <v>415.002617115938</v>
      </c>
      <c r="G19" s="481">
        <v>1687</v>
      </c>
      <c r="H19" s="481">
        <f t="shared" si="5"/>
        <v>0</v>
      </c>
      <c r="I19" s="481">
        <f t="shared" si="6"/>
        <v>1495.95</v>
      </c>
      <c r="J19" s="481">
        <f t="shared" si="7"/>
        <v>191.05</v>
      </c>
      <c r="K19" s="487"/>
      <c r="L19" s="507">
        <f>J19*VLOOKUP(A19,'[1]Clos Stock op cf val -Oct24'!$C$20:$D$22,2,0)</f>
        <v>40074.0269428763</v>
      </c>
      <c r="M19" s="510" t="s">
        <v>160</v>
      </c>
      <c r="N19" s="511">
        <f t="shared" ref="N19:S19" si="9">SUM(N5:N18)</f>
        <v>7089.31</v>
      </c>
      <c r="O19" s="512">
        <f t="shared" si="9"/>
        <v>4472564.45</v>
      </c>
      <c r="P19" s="511">
        <f t="shared" si="9"/>
        <v>21053.505</v>
      </c>
      <c r="Q19" s="512">
        <f t="shared" si="9"/>
        <v>15236329.23</v>
      </c>
      <c r="R19" s="511">
        <f t="shared" si="9"/>
        <v>28142.815</v>
      </c>
      <c r="S19" s="512">
        <f t="shared" si="9"/>
        <v>19708893.68</v>
      </c>
      <c r="V19" s="181" t="s">
        <v>58</v>
      </c>
      <c r="W19" s="200">
        <f t="shared" ref="W19:Y19" si="10">SUM(W5:W17)</f>
        <v>67919.611</v>
      </c>
      <c r="X19" s="200">
        <f t="shared" si="10"/>
        <v>11858.976</v>
      </c>
      <c r="Y19" s="200">
        <f t="shared" si="10"/>
        <v>56060.635</v>
      </c>
    </row>
    <row r="20" spans="3:19">
      <c r="C20" s="483" t="s">
        <v>58</v>
      </c>
      <c r="D20" s="484">
        <f>SUM(D7:D19)</f>
        <v>34940.075</v>
      </c>
      <c r="E20" s="484">
        <f>SUM(E7:E19)</f>
        <v>24350381.58</v>
      </c>
      <c r="F20" s="481">
        <f>+E20/D20</f>
        <v>696.918411880913</v>
      </c>
      <c r="G20" s="484">
        <f>SUM(G7:G19)</f>
        <v>40828.38</v>
      </c>
      <c r="H20" s="484">
        <f>SUM(H7:H19)</f>
        <v>26294.725</v>
      </c>
      <c r="I20" s="484">
        <f>SUM(I7:I19)</f>
        <v>32183.03</v>
      </c>
      <c r="J20" s="484">
        <f>SUM(J8:J19)</f>
        <v>8645.35</v>
      </c>
      <c r="K20" s="487"/>
      <c r="M20" s="510" t="s">
        <v>161</v>
      </c>
      <c r="N20" s="501"/>
      <c r="O20" s="502"/>
      <c r="P20" s="503"/>
      <c r="Q20" s="523"/>
      <c r="R20" s="503"/>
      <c r="S20" s="527"/>
    </row>
    <row r="21" spans="11:19">
      <c r="K21" s="487"/>
      <c r="M21" s="482" t="s">
        <v>162</v>
      </c>
      <c r="N21" s="501"/>
      <c r="O21" s="502">
        <v>0</v>
      </c>
      <c r="P21" s="503"/>
      <c r="Q21" s="523">
        <f>-O21/1.05</f>
        <v>0</v>
      </c>
      <c r="R21" s="503"/>
      <c r="S21" s="527">
        <f>+O21+Q21</f>
        <v>0</v>
      </c>
    </row>
    <row r="22" spans="4:24">
      <c r="D22" s="165"/>
      <c r="G22" s="154">
        <f>G20+H20-I20-D20</f>
        <v>0</v>
      </c>
      <c r="H22" s="154"/>
      <c r="J22" s="154">
        <f>J20+H20-D20</f>
        <v>0</v>
      </c>
      <c r="K22" s="487"/>
      <c r="M22" s="482" t="s">
        <v>47</v>
      </c>
      <c r="N22" s="501">
        <v>0</v>
      </c>
      <c r="O22" s="502">
        <v>0</v>
      </c>
      <c r="P22" s="503">
        <v>697.01</v>
      </c>
      <c r="Q22" s="523">
        <v>428661.15</v>
      </c>
      <c r="R22" s="503">
        <f t="shared" ref="R22:S24" si="11">+N22+P22</f>
        <v>697.01</v>
      </c>
      <c r="S22" s="527">
        <f t="shared" si="11"/>
        <v>428661.15</v>
      </c>
      <c r="W22" s="222" t="s">
        <v>370</v>
      </c>
      <c r="X22" s="154">
        <f>'[1]Clos Stock op cf val -Jul24'!D17</f>
        <v>13643.024</v>
      </c>
    </row>
    <row r="23" spans="4:24">
      <c r="D23" s="154"/>
      <c r="F23" s="152">
        <f>191*415</f>
        <v>79265</v>
      </c>
      <c r="G23" s="154">
        <f>G20-SUM('Product &amp; stock detail -Jan-25'!O20:Z20)</f>
        <v>0</v>
      </c>
      <c r="I23" s="152">
        <f>I20*'[1]Clos Stock op cf val -Sep24'!E21</f>
        <v>0</v>
      </c>
      <c r="J23" s="154"/>
      <c r="K23" s="487"/>
      <c r="M23" s="482" t="s">
        <v>144</v>
      </c>
      <c r="N23" s="501">
        <v>0</v>
      </c>
      <c r="O23" s="502">
        <v>0</v>
      </c>
      <c r="P23" s="503">
        <v>1488.52</v>
      </c>
      <c r="Q23" s="523">
        <v>915439.8</v>
      </c>
      <c r="R23" s="503">
        <f t="shared" si="11"/>
        <v>1488.52</v>
      </c>
      <c r="S23" s="527">
        <f t="shared" si="11"/>
        <v>915439.8</v>
      </c>
      <c r="W23" s="222" t="s">
        <v>58</v>
      </c>
      <c r="X23" s="154">
        <f>X19+X22</f>
        <v>25502</v>
      </c>
    </row>
    <row r="24" spans="11:24">
      <c r="K24" s="487"/>
      <c r="M24" s="482" t="s">
        <v>149</v>
      </c>
      <c r="N24" s="501">
        <v>0</v>
      </c>
      <c r="O24" s="502">
        <v>0</v>
      </c>
      <c r="P24" s="503">
        <v>4611.73</v>
      </c>
      <c r="Q24" s="523">
        <v>3297386.95</v>
      </c>
      <c r="R24" s="503">
        <f t="shared" si="11"/>
        <v>4611.73</v>
      </c>
      <c r="S24" s="527">
        <f t="shared" si="11"/>
        <v>3297386.95</v>
      </c>
      <c r="W24" s="222" t="s">
        <v>371</v>
      </c>
      <c r="X24" s="152">
        <f>SUM('[1]Product &amp; stock detail - Jul-24'!N20:Z20)</f>
        <v>25502</v>
      </c>
    </row>
    <row r="25" spans="3:25">
      <c r="C25" s="159" t="s">
        <v>10</v>
      </c>
      <c r="D25" s="189">
        <f t="shared" ref="D25:E27" si="12">SUMIF($A$7:$A$19,$C25,D$7:D$19)</f>
        <v>15927.918</v>
      </c>
      <c r="E25" s="189">
        <f t="shared" si="12"/>
        <v>13106115.4</v>
      </c>
      <c r="F25" s="189">
        <f>E25/D25</f>
        <v>822.839205977831</v>
      </c>
      <c r="G25" s="485"/>
      <c r="H25" s="485"/>
      <c r="I25" s="485"/>
      <c r="K25" s="487"/>
      <c r="M25" s="482"/>
      <c r="N25" s="501"/>
      <c r="O25" s="502"/>
      <c r="P25" s="503"/>
      <c r="Q25" s="523"/>
      <c r="R25" s="503"/>
      <c r="S25" s="527"/>
      <c r="W25" s="222" t="s">
        <v>372</v>
      </c>
      <c r="X25" s="531">
        <f>X24-X23</f>
        <v>0</v>
      </c>
      <c r="Y25" s="533" t="s">
        <v>373</v>
      </c>
    </row>
    <row r="26" spans="3:19">
      <c r="C26" s="159" t="s">
        <v>3</v>
      </c>
      <c r="D26" s="189">
        <f t="shared" si="12"/>
        <v>17874.54</v>
      </c>
      <c r="E26" s="189">
        <f t="shared" si="12"/>
        <v>10637674.98</v>
      </c>
      <c r="F26" s="189">
        <f t="shared" ref="F26:F28" si="13">E26/D26</f>
        <v>595.129999429356</v>
      </c>
      <c r="G26" s="485"/>
      <c r="H26" s="485"/>
      <c r="I26" s="485"/>
      <c r="K26" s="487"/>
      <c r="M26" s="510" t="s">
        <v>160</v>
      </c>
      <c r="N26" s="511">
        <f t="shared" ref="N26:S26" si="14">SUM(N22:N25)</f>
        <v>0</v>
      </c>
      <c r="O26" s="511">
        <f t="shared" si="14"/>
        <v>0</v>
      </c>
      <c r="P26" s="512">
        <f t="shared" si="14"/>
        <v>6797.26</v>
      </c>
      <c r="Q26" s="512">
        <f t="shared" si="14"/>
        <v>4641487.9</v>
      </c>
      <c r="R26" s="512">
        <f t="shared" si="14"/>
        <v>6797.26</v>
      </c>
      <c r="S26" s="512">
        <f t="shared" si="14"/>
        <v>4641487.9</v>
      </c>
    </row>
    <row r="27" spans="3:19">
      <c r="C27" s="159" t="s">
        <v>1</v>
      </c>
      <c r="D27" s="189">
        <f t="shared" si="12"/>
        <v>1137.617</v>
      </c>
      <c r="E27" s="189">
        <f t="shared" si="12"/>
        <v>606591.2</v>
      </c>
      <c r="F27" s="189">
        <f t="shared" si="13"/>
        <v>533.212144333286</v>
      </c>
      <c r="G27" s="485"/>
      <c r="H27" s="485"/>
      <c r="I27" s="485"/>
      <c r="K27" s="487"/>
      <c r="M27" s="482"/>
      <c r="N27" s="501"/>
      <c r="O27" s="502"/>
      <c r="P27" s="503"/>
      <c r="Q27" s="523"/>
      <c r="R27" s="503"/>
      <c r="S27" s="527"/>
    </row>
    <row r="28" spans="4:19">
      <c r="D28" s="154">
        <f>SUM(D25:D27)</f>
        <v>34940.075</v>
      </c>
      <c r="E28" s="154">
        <f t="shared" ref="E28" si="15">SUM(E25:E27)</f>
        <v>24350381.58</v>
      </c>
      <c r="F28" s="154">
        <f t="shared" si="13"/>
        <v>696.918411880913</v>
      </c>
      <c r="G28" s="154"/>
      <c r="H28" s="154"/>
      <c r="I28" s="154"/>
      <c r="K28" s="487"/>
      <c r="M28" s="510" t="s">
        <v>163</v>
      </c>
      <c r="N28" s="511">
        <f t="shared" ref="N28:S28" si="16">+N19+N26</f>
        <v>7089.31</v>
      </c>
      <c r="O28" s="512">
        <f t="shared" si="16"/>
        <v>4472564.45</v>
      </c>
      <c r="P28" s="511">
        <f t="shared" si="16"/>
        <v>27850.765</v>
      </c>
      <c r="Q28" s="512">
        <f t="shared" si="16"/>
        <v>19877817.13</v>
      </c>
      <c r="R28" s="512">
        <f t="shared" si="16"/>
        <v>34940.075</v>
      </c>
      <c r="S28" s="512">
        <f t="shared" si="16"/>
        <v>24350381.58</v>
      </c>
    </row>
    <row r="29" spans="11:19">
      <c r="K29" s="487"/>
      <c r="M29" s="482" t="s">
        <v>60</v>
      </c>
      <c r="N29" s="503">
        <v>3169.71</v>
      </c>
      <c r="O29" s="508">
        <f>613418.98-26506</f>
        <v>586912.98</v>
      </c>
      <c r="P29" s="503">
        <v>183.82</v>
      </c>
      <c r="Q29" s="530">
        <v>27573</v>
      </c>
      <c r="R29" s="503">
        <f t="shared" ref="R29:S31" si="17">+N29+P29</f>
        <v>3353.53</v>
      </c>
      <c r="S29" s="527">
        <f t="shared" si="17"/>
        <v>614485.98</v>
      </c>
    </row>
    <row r="30" spans="4:19">
      <c r="D30" s="154" t="e">
        <f>'Sales monthly'!M15-'Monthly Average price-Jan-25'!D28</f>
        <v>#REF!</v>
      </c>
      <c r="K30" s="487"/>
      <c r="M30" s="482" t="s">
        <v>59</v>
      </c>
      <c r="N30" s="503">
        <v>41.45</v>
      </c>
      <c r="O30" s="502">
        <v>10362.5</v>
      </c>
      <c r="P30" s="503">
        <v>8.56</v>
      </c>
      <c r="Q30" s="523">
        <v>2140</v>
      </c>
      <c r="R30" s="503">
        <f t="shared" si="17"/>
        <v>50.01</v>
      </c>
      <c r="S30" s="527">
        <f t="shared" si="17"/>
        <v>12502.5</v>
      </c>
    </row>
    <row r="31" spans="11:19">
      <c r="K31" s="487"/>
      <c r="M31" s="482" t="s">
        <v>62</v>
      </c>
      <c r="N31" s="503">
        <v>0</v>
      </c>
      <c r="O31" s="502">
        <v>7500</v>
      </c>
      <c r="P31" s="503">
        <v>0</v>
      </c>
      <c r="Q31" s="522">
        <v>0</v>
      </c>
      <c r="R31" s="503">
        <f t="shared" si="17"/>
        <v>0</v>
      </c>
      <c r="S31" s="527">
        <f t="shared" si="17"/>
        <v>7500</v>
      </c>
    </row>
    <row r="32" spans="11:19">
      <c r="K32" s="487"/>
      <c r="M32" s="10"/>
      <c r="N32" s="513"/>
      <c r="O32" s="513"/>
      <c r="P32" s="514"/>
      <c r="Q32" s="514"/>
      <c r="R32" s="514"/>
      <c r="S32" s="514"/>
    </row>
    <row r="33" spans="11:19">
      <c r="K33" s="487"/>
      <c r="M33" s="515"/>
      <c r="N33" s="516">
        <f>+SUM(N28:N32)</f>
        <v>10300.47</v>
      </c>
      <c r="O33" s="517">
        <f>SUM(O28:O32)</f>
        <v>5077339.93</v>
      </c>
      <c r="P33" s="518">
        <f>+SUM(P28:P32)</f>
        <v>28043.145</v>
      </c>
      <c r="Q33" s="524">
        <f>SUM(Q28:Q32)</f>
        <v>19907530.13</v>
      </c>
      <c r="R33" s="518">
        <f>+SUM(R28:R32)</f>
        <v>38343.615</v>
      </c>
      <c r="S33" s="524">
        <f>SUM(S28:S32)</f>
        <v>24984870.06</v>
      </c>
    </row>
    <row r="34" spans="11:19">
      <c r="K34" s="487"/>
      <c r="M34" s="10" t="s">
        <v>68</v>
      </c>
      <c r="N34" s="519"/>
      <c r="O34" s="520">
        <v>0</v>
      </c>
      <c r="P34" s="521"/>
      <c r="Q34" s="532">
        <v>0</v>
      </c>
      <c r="R34" s="532"/>
      <c r="S34" s="532">
        <v>0</v>
      </c>
    </row>
    <row r="35" spans="5:19">
      <c r="E35" s="486" t="s">
        <v>374</v>
      </c>
      <c r="F35" s="487"/>
      <c r="G35" s="487"/>
      <c r="H35" s="487"/>
      <c r="K35" s="487"/>
      <c r="M35" s="515"/>
      <c r="N35" s="519"/>
      <c r="O35" s="517">
        <f>+O33-O34</f>
        <v>5077339.93</v>
      </c>
      <c r="P35" s="521"/>
      <c r="Q35" s="524">
        <f>+Q33-Q34</f>
        <v>19907530.13</v>
      </c>
      <c r="R35" s="524"/>
      <c r="S35" s="524">
        <f>+S33-S34</f>
        <v>24984870.06</v>
      </c>
    </row>
    <row r="36" spans="11:19">
      <c r="K36" s="487"/>
      <c r="M36" s="482" t="s">
        <v>164</v>
      </c>
      <c r="N36" s="501"/>
      <c r="O36" s="502">
        <v>0</v>
      </c>
      <c r="P36" s="503"/>
      <c r="Q36" s="523">
        <f>-O36/1.05</f>
        <v>0</v>
      </c>
      <c r="R36" s="503"/>
      <c r="S36" s="532">
        <f>+O36+Q36</f>
        <v>0</v>
      </c>
    </row>
    <row r="37" spans="11:19">
      <c r="K37" s="487"/>
      <c r="M37" s="510" t="s">
        <v>71</v>
      </c>
      <c r="N37" s="511"/>
      <c r="O37" s="512">
        <f>+O35+O36</f>
        <v>5077339.93</v>
      </c>
      <c r="P37" s="522"/>
      <c r="Q37" s="522">
        <f>+Q35+Q36</f>
        <v>19907530.13</v>
      </c>
      <c r="R37" s="522"/>
      <c r="S37" s="524">
        <f>+O37+Q37</f>
        <v>24984870.06</v>
      </c>
    </row>
    <row r="38" spans="11:19">
      <c r="K38" s="487"/>
      <c r="M38" s="482" t="s">
        <v>165</v>
      </c>
      <c r="N38" s="501"/>
      <c r="O38" s="502"/>
      <c r="P38" s="523"/>
      <c r="Q38" s="523">
        <f>+(999958.44+116037.2-3277.12-204904.28-95090.69)*2</f>
        <v>1625447.1</v>
      </c>
      <c r="R38" s="523"/>
      <c r="S38" s="532">
        <f>+O38+Q38</f>
        <v>1625447.1</v>
      </c>
    </row>
    <row r="39" spans="11:19">
      <c r="K39" s="487"/>
      <c r="M39" s="515" t="s">
        <v>73</v>
      </c>
      <c r="N39" s="516"/>
      <c r="O39" s="517">
        <f t="shared" ref="O39:Q39" si="18">+O37+O38</f>
        <v>5077339.93</v>
      </c>
      <c r="P39" s="524"/>
      <c r="Q39" s="524">
        <f t="shared" si="18"/>
        <v>21532977.23</v>
      </c>
      <c r="R39" s="524"/>
      <c r="S39" s="524">
        <f>+S37+S38</f>
        <v>26610317.16</v>
      </c>
    </row>
    <row r="40" spans="11:11">
      <c r="K40" s="487"/>
    </row>
  </sheetData>
  <mergeCells count="8">
    <mergeCell ref="C3:F3"/>
    <mergeCell ref="N3:O3"/>
    <mergeCell ref="P3:Q3"/>
    <mergeCell ref="R3:S3"/>
    <mergeCell ref="C4:F4"/>
    <mergeCell ref="D5:F5"/>
    <mergeCell ref="C5:C6"/>
    <mergeCell ref="M3:M4"/>
  </mergeCells>
  <pageMargins left="0.708661417322835" right="0.708661417322835" top="0.748031496062992" bottom="0.748031496062992" header="0.31496062992126" footer="0.31496062992126"/>
  <pageSetup paperSize="9" scale="125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L56"/>
  <sheetViews>
    <sheetView zoomScale="85" zoomScaleNormal="85" workbookViewId="0">
      <pane xSplit="2" ySplit="3" topLeftCell="C7" activePane="bottomRight" state="frozen"/>
      <selection/>
      <selection pane="topRight"/>
      <selection pane="bottomLeft"/>
      <selection pane="bottomRight" activeCell="E25" sqref="E25"/>
    </sheetView>
  </sheetViews>
  <sheetFormatPr defaultColWidth="9" defaultRowHeight="14"/>
  <cols>
    <col min="2" max="2" width="42.8181818181818" customWidth="1"/>
    <col min="3" max="3" width="2.90909090909091" customWidth="1"/>
    <col min="4" max="4" width="14.4545454545455" customWidth="1"/>
    <col min="5" max="5" width="20.0909090909091" customWidth="1"/>
    <col min="6" max="6" width="12.8181818181818" customWidth="1"/>
    <col min="7" max="7" width="14.4545454545455" customWidth="1"/>
    <col min="8" max="8" width="11.8181818181818" customWidth="1"/>
    <col min="9" max="9" width="14.4545454545455" customWidth="1"/>
    <col min="10" max="10" width="12.8181818181818" customWidth="1"/>
  </cols>
  <sheetData>
    <row r="1" spans="2:2">
      <c r="B1" t="s">
        <v>375</v>
      </c>
    </row>
    <row r="2" spans="2:7">
      <c r="B2" s="459" t="s">
        <v>275</v>
      </c>
      <c r="C2" s="460"/>
      <c r="D2" s="461">
        <v>45658</v>
      </c>
      <c r="E2" s="461"/>
      <c r="F2" s="461"/>
      <c r="G2" s="461"/>
    </row>
    <row r="3" spans="2:10">
      <c r="B3" s="459"/>
      <c r="C3" s="9"/>
      <c r="D3" s="459" t="s">
        <v>10</v>
      </c>
      <c r="E3" s="459" t="s">
        <v>1</v>
      </c>
      <c r="F3" s="459" t="s">
        <v>3</v>
      </c>
      <c r="G3" s="459" t="s">
        <v>58</v>
      </c>
      <c r="I3" s="459" t="s">
        <v>376</v>
      </c>
      <c r="J3" s="459" t="s">
        <v>50</v>
      </c>
    </row>
    <row r="4" spans="2:7">
      <c r="B4" t="s">
        <v>264</v>
      </c>
      <c r="C4" s="448"/>
      <c r="D4" s="450">
        <f>'Input Sheet'!AG140</f>
        <v>314.709999999999</v>
      </c>
      <c r="E4" s="450">
        <f>'Input Sheet'!L144</f>
        <v>0</v>
      </c>
      <c r="F4" s="450">
        <f>'Input Sheet'!AG141</f>
        <v>210.000000000002</v>
      </c>
      <c r="G4" s="448"/>
    </row>
    <row r="5" spans="2:10">
      <c r="B5" s="16" t="s">
        <v>377</v>
      </c>
      <c r="C5" s="448"/>
      <c r="D5" s="450">
        <v>1821138.08129204</v>
      </c>
      <c r="E5" s="447">
        <v>361895.899682803</v>
      </c>
      <c r="F5" s="450">
        <v>1172485.22337553</v>
      </c>
      <c r="G5" s="448">
        <v>0</v>
      </c>
      <c r="H5" t="s">
        <v>378</v>
      </c>
      <c r="I5" s="447">
        <f>F5</f>
        <v>1172485.22337553</v>
      </c>
      <c r="J5">
        <v>0</v>
      </c>
    </row>
    <row r="6" spans="2:9">
      <c r="B6" s="16" t="s">
        <v>379</v>
      </c>
      <c r="C6" s="448"/>
      <c r="D6" s="448"/>
      <c r="E6" s="447"/>
      <c r="F6" s="448">
        <v>631815.440475553</v>
      </c>
      <c r="G6" s="448"/>
      <c r="H6" t="s">
        <v>380</v>
      </c>
      <c r="I6" s="447">
        <f>F6</f>
        <v>631815.440475553</v>
      </c>
    </row>
    <row r="7" spans="2:10">
      <c r="B7" t="s">
        <v>381</v>
      </c>
      <c r="C7" s="448"/>
      <c r="D7" s="450">
        <f ca="1">'Expenses Category'!F5+'Expenses Category'!F7</f>
        <v>6823361.74</v>
      </c>
      <c r="E7" s="447">
        <f ca="1">'Expenses Category'!F6+'Expenses Category'!F8</f>
        <v>37534.54</v>
      </c>
      <c r="F7" s="450">
        <f ca="1">'Expenses Category'!F9+'Expenses Category'!F10</f>
        <v>3439136.09</v>
      </c>
      <c r="G7" s="448">
        <f ca="1">SUM(D7:F8)</f>
        <v>16059992.28</v>
      </c>
      <c r="H7" s="441"/>
      <c r="I7" s="447">
        <f ca="1">+F7-J7</f>
        <v>3439136.09</v>
      </c>
      <c r="J7" s="450">
        <f ca="1">+J13*K13</f>
        <v>0</v>
      </c>
    </row>
    <row r="8" spans="2:10">
      <c r="B8" t="s">
        <v>382</v>
      </c>
      <c r="C8" s="448"/>
      <c r="D8" s="450">
        <f ca="1">'Expenses Category'!F11*'Costing Breakup'!D4/SUM('Costing Breakup'!D4:F4)</f>
        <v>3454702.56575269</v>
      </c>
      <c r="E8" s="447">
        <f ca="1">'Expenses Category'!F11*'Costing Breakup'!E4/SUM('Costing Breakup'!D4:F4)</f>
        <v>0</v>
      </c>
      <c r="F8" s="450">
        <f ca="1">'Expenses Category'!F11*'Costing Breakup'!F4/SUM('Costing Breakup'!D4:F4)</f>
        <v>2305257.34424731</v>
      </c>
      <c r="G8" s="448"/>
      <c r="I8" s="447">
        <f ca="1">+F8*I13/SUM(I13:J13)</f>
        <v>2305257.34424731</v>
      </c>
      <c r="J8" s="450">
        <f ca="1">+F8-I8</f>
        <v>0</v>
      </c>
    </row>
    <row r="9" spans="3:12">
      <c r="C9" s="448"/>
      <c r="D9" s="447">
        <f ca="1">SUM(D5:D8)</f>
        <v>12099202.3870447</v>
      </c>
      <c r="E9" s="447">
        <f ca="1">SUM(E5:E8)</f>
        <v>399430.439682803</v>
      </c>
      <c r="F9" s="447">
        <f ca="1">SUM(F5:F8)</f>
        <v>7548694.0980984</v>
      </c>
      <c r="G9" s="448">
        <f ca="1">SUM(D9:F9)</f>
        <v>20047326.9248259</v>
      </c>
      <c r="I9" s="447">
        <f ca="1">SUM(I5:I8)</f>
        <v>7548694.0980984</v>
      </c>
      <c r="J9" s="447">
        <f ca="1">SUM(J5:J8)</f>
        <v>0</v>
      </c>
      <c r="K9" s="441"/>
      <c r="L9" s="441"/>
    </row>
    <row r="10" spans="2:9">
      <c r="B10" t="s">
        <v>383</v>
      </c>
      <c r="C10" s="450"/>
      <c r="D10" s="450">
        <f ca="1">'Product &amp; stock detail -Jan-25'!I30+'Product &amp; stock detail -Jan-25'!K30</f>
        <v>1044763.79640913</v>
      </c>
      <c r="E10" s="447">
        <f ca="1">'Product &amp; stock detail -Jan-25'!L30</f>
        <v>399430.439682803</v>
      </c>
      <c r="F10" s="447">
        <f ca="1">'Product &amp; stock detail -Jan-25'!M30</f>
        <v>1654256.89113606</v>
      </c>
      <c r="G10" s="450"/>
      <c r="I10" s="447">
        <f ca="1">$F$10</f>
        <v>1654256.89113606</v>
      </c>
    </row>
    <row r="11" spans="2:10">
      <c r="B11" t="s">
        <v>384</v>
      </c>
      <c r="C11" s="448"/>
      <c r="D11" s="449">
        <f ca="1">D9-D10</f>
        <v>11054438.5906356</v>
      </c>
      <c r="E11" s="449">
        <f ca="1">E9-E10</f>
        <v>0</v>
      </c>
      <c r="F11" s="449">
        <f ca="1">F9-F10</f>
        <v>5894437.20696233</v>
      </c>
      <c r="G11" s="448">
        <f ca="1">SUM(D11:F11)</f>
        <v>16948875.7975979</v>
      </c>
      <c r="I11" s="449">
        <f ca="1">I9-I10</f>
        <v>5894437.20696233</v>
      </c>
      <c r="J11" s="449">
        <f ca="1">J9-J10</f>
        <v>0</v>
      </c>
    </row>
    <row r="12" spans="5:5">
      <c r="E12" s="447"/>
    </row>
    <row r="13" spans="1:11">
      <c r="A13" s="441" t="e">
        <f>SUM(#REF!)</f>
        <v>#REF!</v>
      </c>
      <c r="B13" s="16" t="s">
        <v>385</v>
      </c>
      <c r="C13" s="462"/>
      <c r="D13" s="442">
        <f>'Product &amp; stock detail -Jan-25'!C17</f>
        <v>18825.498</v>
      </c>
      <c r="E13" s="447">
        <f>'Product &amp; stock detail -Jan-25'!D17*0</f>
        <v>0</v>
      </c>
      <c r="F13" s="441">
        <f>'Product &amp; stock detail -Jan-25'!E17</f>
        <v>19718.89</v>
      </c>
      <c r="G13" s="463" t="s">
        <v>386</v>
      </c>
      <c r="H13" s="450"/>
      <c r="I13" s="441">
        <f>F13-J13</f>
        <v>19718.89</v>
      </c>
      <c r="J13">
        <v>0</v>
      </c>
      <c r="K13">
        <f ca="1">+'Expenses Category'!F10/SUM(I13:J13)</f>
        <v>47.7847069485149</v>
      </c>
    </row>
    <row r="14" spans="1:12">
      <c r="A14" s="441" t="e">
        <f>SUM(#REF!)</f>
        <v>#REF!</v>
      </c>
      <c r="B14" s="16" t="s">
        <v>387</v>
      </c>
      <c r="C14" s="16"/>
      <c r="D14" s="16">
        <f>SUMIF('Clos Stock op cf val -Jan 25'!$A$3:$A$15,'Costing Breakup'!D3,'Clos Stock op cf val -Jan 25'!$D$3:$D$15)</f>
        <v>82.4200000000002</v>
      </c>
      <c r="E14" s="447">
        <f>SUMIF('Clos Stock op cf val -Jan 25'!$A$3:$A$15,'Costing Breakup'!E3,'Clos Stock op cf val -Jan 25'!$D$3:$D$15)</f>
        <v>8007.39</v>
      </c>
      <c r="F14">
        <f>SUMIF('Clos Stock op cf val -Jan 25'!$A$3:$A$15,'Costing Breakup'!F3,'Clos Stock op cf val -Jan 25'!$D$3:$D$15)</f>
        <v>24093.22</v>
      </c>
      <c r="G14" s="464" t="s">
        <v>388</v>
      </c>
      <c r="I14">
        <f>F14-J14</f>
        <v>0</v>
      </c>
      <c r="J14">
        <f>F14</f>
        <v>24093.22</v>
      </c>
      <c r="L14" t="e">
        <f>#REF!-'[1]Clos Stock op cf val -Nov24'!E17</f>
        <v>#REF!</v>
      </c>
    </row>
    <row r="15" spans="1:10">
      <c r="A15" s="441" t="e">
        <f>SUM(A13:A14)</f>
        <v>#REF!</v>
      </c>
      <c r="B15" s="16"/>
      <c r="C15" s="16"/>
      <c r="D15" s="442">
        <f>D13+D14</f>
        <v>18907.918</v>
      </c>
      <c r="E15" s="447">
        <f t="shared" ref="E15:F15" si="0">E13+E14</f>
        <v>8007.39</v>
      </c>
      <c r="F15" s="441">
        <f t="shared" si="0"/>
        <v>43812.11</v>
      </c>
      <c r="I15" s="441">
        <f t="shared" ref="I15:J15" si="1">I13+I14</f>
        <v>19718.89</v>
      </c>
      <c r="J15" s="441">
        <f t="shared" si="1"/>
        <v>24093.22</v>
      </c>
    </row>
    <row r="19" spans="2:9">
      <c r="B19" t="s">
        <v>389</v>
      </c>
      <c r="C19" s="465"/>
      <c r="D19" s="466">
        <v>43452.3037128911</v>
      </c>
      <c r="E19" s="466">
        <v>1504005.88496972</v>
      </c>
      <c r="F19" s="466">
        <v>2051192.61523341</v>
      </c>
      <c r="G19" s="447">
        <v>3598650.80391603</v>
      </c>
      <c r="I19" s="448"/>
    </row>
    <row r="20" spans="2:10">
      <c r="B20" t="s">
        <v>390</v>
      </c>
      <c r="C20" s="465"/>
      <c r="D20" s="448">
        <f ca="1">D11+D19</f>
        <v>11097890.8943485</v>
      </c>
      <c r="E20" s="448">
        <f ca="1">(E11+E19)</f>
        <v>1504005.88496972</v>
      </c>
      <c r="F20" s="448">
        <f ca="1">F11+F19</f>
        <v>7945629.82219574</v>
      </c>
      <c r="G20" s="447">
        <f ca="1">SUM(D20:F20)</f>
        <v>20547526.601514</v>
      </c>
      <c r="I20" s="448">
        <f ca="1" t="shared" ref="I20:J20" si="2">I11+I19</f>
        <v>5894437.20696233</v>
      </c>
      <c r="J20" s="448">
        <f ca="1" t="shared" si="2"/>
        <v>0</v>
      </c>
    </row>
    <row r="21" spans="2:10">
      <c r="B21" t="s">
        <v>391</v>
      </c>
      <c r="D21" s="467">
        <f ca="1">D20/D15</f>
        <v>586.944098993263</v>
      </c>
      <c r="E21" s="467">
        <f ca="1">E20/E15</f>
        <v>187.827230217302</v>
      </c>
      <c r="F21" s="468">
        <f ca="1">I21</f>
        <v>298.923377885993</v>
      </c>
      <c r="I21" s="468">
        <f ca="1" t="shared" ref="I21" si="3">I20/I15</f>
        <v>298.923377885993</v>
      </c>
      <c r="J21" s="468">
        <f ca="1">(J20/J15)-0.0048115607740839</f>
        <v>-0.0048115607740839</v>
      </c>
    </row>
    <row r="22" spans="10:10">
      <c r="J22">
        <v>130</v>
      </c>
    </row>
    <row r="23" spans="6:10">
      <c r="F23" s="464" t="s">
        <v>392</v>
      </c>
      <c r="J23">
        <f>J22/J15</f>
        <v>0.00539570883426956</v>
      </c>
    </row>
    <row r="25" spans="2:2">
      <c r="B25" t="s">
        <v>391</v>
      </c>
    </row>
    <row r="26" spans="2:2">
      <c r="B26" t="s">
        <v>393</v>
      </c>
    </row>
    <row r="27" spans="2:2">
      <c r="B27" t="s">
        <v>394</v>
      </c>
    </row>
    <row r="28" spans="2:2">
      <c r="B28" t="s">
        <v>33</v>
      </c>
    </row>
    <row r="29" s="16" customFormat="1" spans="2:3">
      <c r="B29" s="451" t="s">
        <v>395</v>
      </c>
      <c r="C29"/>
    </row>
    <row r="30" spans="2:2">
      <c r="B30" s="455"/>
    </row>
    <row r="31" spans="2:2">
      <c r="B31" s="455"/>
    </row>
    <row r="32" spans="2:2">
      <c r="B32" s="455"/>
    </row>
    <row r="33" spans="2:2">
      <c r="B33" s="455"/>
    </row>
    <row r="34" spans="2:5">
      <c r="B34" s="455"/>
      <c r="E34" t="s">
        <v>396</v>
      </c>
    </row>
    <row r="35" spans="5:5">
      <c r="E35" t="s">
        <v>397</v>
      </c>
    </row>
    <row r="36" spans="5:5">
      <c r="E36" t="s">
        <v>398</v>
      </c>
    </row>
    <row r="38" spans="1:2">
      <c r="A38" t="e">
        <f>SUM(#REF!)</f>
        <v>#REF!</v>
      </c>
      <c r="B38" t="s">
        <v>107</v>
      </c>
    </row>
    <row r="39" spans="1:5">
      <c r="A39" t="e">
        <f>SUM(#REF!)</f>
        <v>#REF!</v>
      </c>
      <c r="B39" t="s">
        <v>109</v>
      </c>
      <c r="E39" t="s">
        <v>399</v>
      </c>
    </row>
    <row r="40" spans="1:1">
      <c r="A40" t="e">
        <f>SUM(A38:A39)</f>
        <v>#REF!</v>
      </c>
    </row>
    <row r="42" spans="1:2">
      <c r="A42" t="e">
        <f>SUM(#REF!)</f>
        <v>#REF!</v>
      </c>
      <c r="B42" t="s">
        <v>107</v>
      </c>
    </row>
    <row r="43" spans="1:2">
      <c r="A43" t="e">
        <f>SUM(#REF!)</f>
        <v>#REF!</v>
      </c>
      <c r="B43" t="s">
        <v>109</v>
      </c>
    </row>
    <row r="44" spans="1:5">
      <c r="A44" t="e">
        <f>SUM(#REF!)</f>
        <v>#REF!</v>
      </c>
      <c r="E44" t="s">
        <v>400</v>
      </c>
    </row>
    <row r="46" spans="2:2">
      <c r="B46" t="s">
        <v>107</v>
      </c>
    </row>
    <row r="47" spans="2:2">
      <c r="B47" t="s">
        <v>109</v>
      </c>
    </row>
    <row r="52" spans="2:2">
      <c r="B52" t="s">
        <v>401</v>
      </c>
    </row>
    <row r="53" spans="2:2">
      <c r="B53" t="s">
        <v>402</v>
      </c>
    </row>
    <row r="56" spans="2:2">
      <c r="B56" t="s">
        <v>403</v>
      </c>
    </row>
  </sheetData>
  <mergeCells count="2">
    <mergeCell ref="D2:G2"/>
    <mergeCell ref="B2:B3"/>
  </mergeCells>
  <printOptions horizontalCentered="1"/>
  <pageMargins left="0.236220472440945" right="0.236220472440945" top="0.748031496062992" bottom="0.748031496062992" header="0.31496062992126" footer="0.31496062992126"/>
  <pageSetup paperSize="9" scale="42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85"/>
  <sheetViews>
    <sheetView showGridLines="0" zoomScale="94" zoomScaleNormal="94" workbookViewId="0">
      <selection activeCell="J13" sqref="J13"/>
    </sheetView>
  </sheetViews>
  <sheetFormatPr defaultColWidth="9" defaultRowHeight="14"/>
  <cols>
    <col min="2" max="2" width="17.6363636363636" customWidth="1"/>
    <col min="3" max="3" width="10.1818181818182" customWidth="1"/>
    <col min="4" max="4" width="13.9090909090909" customWidth="1"/>
    <col min="5" max="5" width="9.90909090909091" customWidth="1"/>
    <col min="6" max="6" width="12.8181818181818" customWidth="1"/>
    <col min="7" max="7" width="9" customWidth="1"/>
    <col min="8" max="8" width="14.5454545454545" customWidth="1"/>
    <col min="9" max="9" width="12.8181818181818" customWidth="1"/>
    <col min="10" max="10" width="25.4272727272727" customWidth="1"/>
    <col min="11" max="11" width="12.9090909090909" customWidth="1"/>
    <col min="12" max="12" width="10.6363636363636" customWidth="1"/>
    <col min="13" max="13" width="13.5454545454545" customWidth="1"/>
    <col min="14" max="14" width="14.4545454545455" customWidth="1"/>
    <col min="15" max="15" width="13.4545454545455" customWidth="1"/>
    <col min="16" max="16" width="12.9090909090909" customWidth="1"/>
    <col min="17" max="17" width="9.09090909090909" customWidth="1"/>
  </cols>
  <sheetData>
    <row r="1" ht="20.5" spans="3:3">
      <c r="C1" s="445" t="s">
        <v>404</v>
      </c>
    </row>
    <row r="2" s="444" customFormat="1" ht="42" spans="2:11">
      <c r="B2" s="446" t="s">
        <v>361</v>
      </c>
      <c r="C2" s="446" t="s">
        <v>166</v>
      </c>
      <c r="D2" s="446" t="s">
        <v>405</v>
      </c>
      <c r="E2" s="446" t="s">
        <v>406</v>
      </c>
      <c r="F2" s="446" t="s">
        <v>407</v>
      </c>
      <c r="G2" s="446" t="s">
        <v>408</v>
      </c>
      <c r="H2" s="446" t="s">
        <v>353</v>
      </c>
      <c r="I2" s="446" t="s">
        <v>409</v>
      </c>
      <c r="J2" s="446" t="s">
        <v>410</v>
      </c>
      <c r="K2" s="446"/>
    </row>
    <row r="3" hidden="1" spans="1:16">
      <c r="A3" t="s">
        <v>1</v>
      </c>
      <c r="B3" t="s">
        <v>97</v>
      </c>
      <c r="C3" s="447">
        <f>HLOOKUP(B3,'Product &amp; stock detail -Jan-25'!$K$27:$AA$28,2,0)</f>
        <v>1000</v>
      </c>
      <c r="D3" s="447">
        <f>MIN(IF((C3&gt;E3),(C3-E3),0),C3)</f>
        <v>1000</v>
      </c>
      <c r="E3" s="447">
        <f>MIN(HLOOKUP(B3,'Product &amp; stock detail -Jan-25'!$N$16:$AA$21,6,0),C3)</f>
        <v>0</v>
      </c>
      <c r="F3" s="447">
        <f ca="1" t="shared" ref="F3:F15" si="0">VLOOKUP(A3,$C$20:$E$22,3,0)</f>
        <v>187.827230217302</v>
      </c>
      <c r="G3" s="447">
        <f ca="1" t="shared" ref="G3:G15" si="1">VLOOKUP(A3,$C$20:$E$22,2,0)</f>
        <v>187.827230217302</v>
      </c>
      <c r="H3" s="447">
        <f t="shared" ref="H3:H14" si="2">SUM(D3:E3)-C3</f>
        <v>0</v>
      </c>
      <c r="I3" s="447">
        <f ca="1" t="shared" ref="I3:I14" si="3">D3*G3</f>
        <v>187827.230217302</v>
      </c>
      <c r="J3" s="447">
        <f ca="1" t="shared" ref="J3:J15" si="4">IFERROR((((D3*G3)+(E3*F3))/C3),0)</f>
        <v>187.827230217302</v>
      </c>
      <c r="K3" s="447">
        <f ca="1">H3*G3</f>
        <v>0</v>
      </c>
      <c r="P3" t="s">
        <v>97</v>
      </c>
    </row>
    <row r="4" hidden="1" spans="1:16">
      <c r="A4" t="s">
        <v>1</v>
      </c>
      <c r="B4" t="s">
        <v>98</v>
      </c>
      <c r="C4" s="447">
        <f>HLOOKUP(B4,'Product &amp; stock detail -Jan-25'!$K$27:$AA$28,2,0)</f>
        <v>3712</v>
      </c>
      <c r="D4" s="447">
        <f t="shared" ref="D4:D15" si="5">MIN(IF((C4&gt;E4),(C4-E4),0),C4)</f>
        <v>3711.99</v>
      </c>
      <c r="E4" s="447">
        <f>MIN(HLOOKUP(B4,'Product &amp; stock detail -Jan-25'!$N$16:$AA$21,6,0),C4)</f>
        <v>0.0100000000002183</v>
      </c>
      <c r="F4" s="447">
        <f ca="1" t="shared" si="0"/>
        <v>187.827230217302</v>
      </c>
      <c r="G4" s="447">
        <f ca="1" t="shared" si="1"/>
        <v>187.827230217302</v>
      </c>
      <c r="H4" s="447">
        <f t="shared" si="2"/>
        <v>0</v>
      </c>
      <c r="I4" s="447">
        <f ca="1" t="shared" si="3"/>
        <v>697212.800294323</v>
      </c>
      <c r="J4" s="447">
        <f ca="1" t="shared" si="4"/>
        <v>187.827230217302</v>
      </c>
      <c r="K4" s="447">
        <f ca="1">H4*G4</f>
        <v>0</v>
      </c>
      <c r="L4" s="456">
        <f ca="1">E4*F4</f>
        <v>1.87827230221402</v>
      </c>
      <c r="M4">
        <f ca="1">D4*J4</f>
        <v>697212.800294323</v>
      </c>
      <c r="P4" t="s">
        <v>98</v>
      </c>
    </row>
    <row r="5" hidden="1" spans="1:16">
      <c r="A5" t="s">
        <v>1</v>
      </c>
      <c r="B5" t="s">
        <v>99</v>
      </c>
      <c r="C5" s="447">
        <f>HLOOKUP(B5,'Product &amp; stock detail -Jan-25'!$K$27:$AA$28,2,0)</f>
        <v>2936</v>
      </c>
      <c r="D5" s="447">
        <f t="shared" si="5"/>
        <v>2935.6</v>
      </c>
      <c r="E5" s="447">
        <f>MIN(HLOOKUP(B5,'Product &amp; stock detail -Jan-25'!$N$16:$AA$21,6,0),C5)</f>
        <v>0.399999999999636</v>
      </c>
      <c r="F5" s="447">
        <f ca="1" t="shared" si="0"/>
        <v>187.827230217302</v>
      </c>
      <c r="G5" s="447">
        <f ca="1" t="shared" si="1"/>
        <v>187.827230217302</v>
      </c>
      <c r="H5" s="447">
        <f t="shared" si="2"/>
        <v>0</v>
      </c>
      <c r="I5" s="447">
        <f ca="1" t="shared" si="3"/>
        <v>551385.617025912</v>
      </c>
      <c r="J5" s="447">
        <f ca="1" t="shared" si="4"/>
        <v>187.827230217302</v>
      </c>
      <c r="K5" s="447"/>
      <c r="L5" s="456">
        <f ca="1">E5*F5</f>
        <v>75.1308920868525</v>
      </c>
      <c r="M5">
        <f ca="1">D5*J5</f>
        <v>551385.617025912</v>
      </c>
      <c r="P5" t="s">
        <v>99</v>
      </c>
    </row>
    <row r="6" hidden="1" spans="1:16">
      <c r="A6" t="s">
        <v>1</v>
      </c>
      <c r="B6" t="s">
        <v>100</v>
      </c>
      <c r="C6" s="447">
        <f>HLOOKUP(B6,'Product &amp; stock detail -Jan-25'!$K$27:$AA$28,2,0)</f>
        <v>360</v>
      </c>
      <c r="D6" s="447">
        <f t="shared" si="5"/>
        <v>359.8</v>
      </c>
      <c r="E6" s="447">
        <f>MIN(HLOOKUP(B6,'Product &amp; stock detail -Jan-25'!$N$16:$AA$21,6,0),C6)</f>
        <v>0.200000000000045</v>
      </c>
      <c r="F6" s="447">
        <f ca="1" t="shared" si="0"/>
        <v>187.827230217302</v>
      </c>
      <c r="G6" s="447">
        <f ca="1" t="shared" si="1"/>
        <v>187.827230217302</v>
      </c>
      <c r="H6" s="447">
        <f t="shared" si="2"/>
        <v>0</v>
      </c>
      <c r="I6" s="447">
        <f ca="1" t="shared" si="3"/>
        <v>67580.2374321853</v>
      </c>
      <c r="J6" s="447">
        <f ca="1" t="shared" si="4"/>
        <v>187.827230217302</v>
      </c>
      <c r="K6" s="447">
        <f ca="1">H6*G6</f>
        <v>0</v>
      </c>
      <c r="L6" s="456"/>
      <c r="P6" t="s">
        <v>100</v>
      </c>
    </row>
    <row r="7" spans="1:16">
      <c r="A7" t="s">
        <v>3</v>
      </c>
      <c r="B7" t="s">
        <v>101</v>
      </c>
      <c r="C7" s="447">
        <f>HLOOKUP(B7,'Product &amp; stock detail -Jan-25'!$K$27:$AA$28,2,0)</f>
        <v>4920.73</v>
      </c>
      <c r="D7" s="447">
        <f t="shared" si="5"/>
        <v>0</v>
      </c>
      <c r="E7" s="447">
        <f>MIN(HLOOKUP(B7,'Product &amp; stock detail -Jan-25'!$N$16:$AA$21,6,0),C7)</f>
        <v>4920.73</v>
      </c>
      <c r="F7" s="447">
        <f ca="1" t="shared" si="0"/>
        <v>298.923377885993</v>
      </c>
      <c r="G7" s="447">
        <f ca="1" t="shared" si="1"/>
        <v>210.605146825184</v>
      </c>
      <c r="H7" s="447">
        <f t="shared" si="2"/>
        <v>0</v>
      </c>
      <c r="I7" s="447">
        <f ca="1" t="shared" si="3"/>
        <v>0</v>
      </c>
      <c r="J7" s="447">
        <f ca="1" t="shared" si="4"/>
        <v>298.923377885993</v>
      </c>
      <c r="K7" s="447"/>
      <c r="L7" s="456"/>
      <c r="P7" t="s">
        <v>101</v>
      </c>
    </row>
    <row r="8" spans="1:16">
      <c r="A8" t="s">
        <v>3</v>
      </c>
      <c r="B8" t="s">
        <v>102</v>
      </c>
      <c r="C8" s="447">
        <f>HLOOKUP(B8,'Product &amp; stock detail -Jan-25'!$K$27:$AA$28,2,0)</f>
        <v>1090</v>
      </c>
      <c r="D8" s="447">
        <f t="shared" si="5"/>
        <v>0</v>
      </c>
      <c r="E8" s="447">
        <f>MIN(HLOOKUP(B8,'Product &amp; stock detail -Jan-25'!$N$16:$AA$21,6,0),C8)</f>
        <v>1090</v>
      </c>
      <c r="F8" s="447">
        <f ca="1" t="shared" si="0"/>
        <v>298.923377885993</v>
      </c>
      <c r="G8" s="447">
        <f ca="1" t="shared" si="1"/>
        <v>210.605146825184</v>
      </c>
      <c r="H8" s="447">
        <f t="shared" si="2"/>
        <v>0</v>
      </c>
      <c r="I8" s="447">
        <f ca="1" t="shared" si="3"/>
        <v>0</v>
      </c>
      <c r="J8" s="447">
        <f ca="1" t="shared" si="4"/>
        <v>298.923377885993</v>
      </c>
      <c r="K8" s="447"/>
      <c r="L8" s="456"/>
      <c r="P8" t="s">
        <v>102</v>
      </c>
    </row>
    <row r="9" hidden="1" spans="1:16">
      <c r="A9" t="s">
        <v>10</v>
      </c>
      <c r="B9" t="s">
        <v>104</v>
      </c>
      <c r="C9" s="447">
        <f>HLOOKUP(B9,'Product &amp; stock detail -Jan-25'!$K$27:$AA$28,2,0)</f>
        <v>2791.09</v>
      </c>
      <c r="D9" s="447">
        <f t="shared" si="5"/>
        <v>0</v>
      </c>
      <c r="E9" s="447">
        <f>MIN(HLOOKUP(B9,'Product &amp; stock detail -Jan-25'!$N$16:$AA$21,6,0),C9)</f>
        <v>2791.09</v>
      </c>
      <c r="F9" s="447">
        <f ca="1" t="shared" si="0"/>
        <v>586.944098993263</v>
      </c>
      <c r="G9" s="447">
        <f ca="1" t="shared" si="1"/>
        <v>527.20582034568</v>
      </c>
      <c r="H9" s="447">
        <f t="shared" si="2"/>
        <v>0</v>
      </c>
      <c r="I9" s="447">
        <f ca="1" t="shared" si="3"/>
        <v>0</v>
      </c>
      <c r="J9" s="447">
        <f ca="1" t="shared" si="4"/>
        <v>586.944098993263</v>
      </c>
      <c r="K9" s="447"/>
      <c r="L9" s="456"/>
      <c r="P9" t="s">
        <v>104</v>
      </c>
    </row>
    <row r="10" hidden="1" spans="1:16">
      <c r="A10" t="s">
        <v>10</v>
      </c>
      <c r="B10" t="s">
        <v>106</v>
      </c>
      <c r="C10" s="447">
        <f>HLOOKUP(B10,'Product &amp; stock detail -Jan-25'!$K$27:$AA$28,2,0)</f>
        <v>709.37</v>
      </c>
      <c r="D10" s="447">
        <f t="shared" si="5"/>
        <v>82.4200000000002</v>
      </c>
      <c r="E10" s="447">
        <f>MIN(HLOOKUP(B10,'Product &amp; stock detail -Jan-25'!$N$16:$AA$21,6,0),C10)</f>
        <v>626.95</v>
      </c>
      <c r="F10" s="447">
        <f ca="1" t="shared" si="0"/>
        <v>586.944098993263</v>
      </c>
      <c r="G10" s="447">
        <f ca="1" t="shared" si="1"/>
        <v>527.20582034568</v>
      </c>
      <c r="H10" s="447">
        <f t="shared" si="2"/>
        <v>0</v>
      </c>
      <c r="I10" s="447">
        <f ca="1" t="shared" si="3"/>
        <v>43452.3037128911</v>
      </c>
      <c r="J10" s="447">
        <f ca="1" t="shared" si="4"/>
        <v>580.00325158481</v>
      </c>
      <c r="K10" s="447"/>
      <c r="L10" s="456"/>
      <c r="P10" t="s">
        <v>106</v>
      </c>
    </row>
    <row r="11" spans="1:16">
      <c r="A11" t="s">
        <v>3</v>
      </c>
      <c r="B11" t="s">
        <v>301</v>
      </c>
      <c r="C11" s="447">
        <f>HLOOKUP(B11,'Product &amp; stock detail -Jan-25'!$K$27:$AA$28,2,0)</f>
        <v>24093.45</v>
      </c>
      <c r="D11" s="447">
        <f t="shared" si="5"/>
        <v>24093.22</v>
      </c>
      <c r="E11" s="447">
        <f>MIN(HLOOKUP(B11,'Product &amp; stock detail -Jan-25'!$N$16:$AA$21,6,0),C11)</f>
        <v>0.229999999999563</v>
      </c>
      <c r="F11" s="447">
        <f ca="1" t="shared" si="0"/>
        <v>298.923377885993</v>
      </c>
      <c r="G11" s="447">
        <f>'[1]Product &amp; stock detail -Dec-24'!$W$29</f>
        <v>85.1356778061801</v>
      </c>
      <c r="H11" s="447">
        <f t="shared" si="2"/>
        <v>0</v>
      </c>
      <c r="I11" s="447">
        <f t="shared" si="3"/>
        <v>2051192.61523341</v>
      </c>
      <c r="J11" s="447">
        <f ca="1" t="shared" si="4"/>
        <v>85.1377186584041</v>
      </c>
      <c r="K11" s="447">
        <f>H11*G11</f>
        <v>0</v>
      </c>
      <c r="L11" s="456"/>
      <c r="M11">
        <f ca="1">D11*J11</f>
        <v>2051241.78593504</v>
      </c>
      <c r="P11" t="s">
        <v>301</v>
      </c>
    </row>
    <row r="12" spans="1:16">
      <c r="A12" t="s">
        <v>3</v>
      </c>
      <c r="B12" t="s">
        <v>125</v>
      </c>
      <c r="C12" s="447">
        <f>HLOOKUP(B12,'Product &amp; stock detail -Jan-25'!$K$27:$AA$28,2,0)</f>
        <v>0</v>
      </c>
      <c r="D12" s="447">
        <f t="shared" si="5"/>
        <v>0</v>
      </c>
      <c r="E12" s="447">
        <f>MIN(HLOOKUP(B12,'Product &amp; stock detail -Jan-25'!$N$16:$AA$21,6,0),C12)</f>
        <v>0</v>
      </c>
      <c r="F12" s="447">
        <f ca="1" t="shared" si="0"/>
        <v>298.923377885993</v>
      </c>
      <c r="G12" s="447">
        <f ca="1" t="shared" si="1"/>
        <v>210.605146825184</v>
      </c>
      <c r="H12" s="447">
        <f t="shared" si="2"/>
        <v>0</v>
      </c>
      <c r="I12" s="447">
        <f ca="1" t="shared" si="3"/>
        <v>0</v>
      </c>
      <c r="J12" s="447">
        <f ca="1" t="shared" si="4"/>
        <v>0</v>
      </c>
      <c r="K12" s="447"/>
      <c r="L12" s="456"/>
      <c r="P12" t="s">
        <v>125</v>
      </c>
    </row>
    <row r="13" spans="1:16">
      <c r="A13" t="s">
        <v>3</v>
      </c>
      <c r="B13" t="s">
        <v>126</v>
      </c>
      <c r="C13" s="447">
        <f>HLOOKUP(B13,'Product &amp; stock detail -Jan-25'!$K$27:$AA$28,2,0)</f>
        <v>60</v>
      </c>
      <c r="D13" s="447">
        <f t="shared" si="5"/>
        <v>0</v>
      </c>
      <c r="E13" s="447">
        <f>MIN(HLOOKUP(B13,'Product &amp; stock detail -Jan-25'!$N$16:$AA$21,6,0),C13)</f>
        <v>60</v>
      </c>
      <c r="F13" s="447">
        <f ca="1" t="shared" si="0"/>
        <v>298.923377885993</v>
      </c>
      <c r="G13" s="447">
        <f ca="1" t="shared" si="1"/>
        <v>210.605146825184</v>
      </c>
      <c r="H13" s="447">
        <f t="shared" si="2"/>
        <v>0</v>
      </c>
      <c r="I13" s="447">
        <f ca="1" t="shared" si="3"/>
        <v>0</v>
      </c>
      <c r="J13" s="447">
        <f ca="1" t="shared" si="4"/>
        <v>298.923377885993</v>
      </c>
      <c r="K13" s="447"/>
      <c r="L13" s="456"/>
      <c r="P13" t="s">
        <v>126</v>
      </c>
    </row>
    <row r="14" hidden="1" spans="1:16">
      <c r="A14" t="s">
        <v>1</v>
      </c>
      <c r="B14" t="s">
        <v>302</v>
      </c>
      <c r="C14" s="447">
        <f>HLOOKUP(B14,'Product &amp; stock detail -Jan-25'!$K$27:$AA$28,2,0)*0</f>
        <v>0</v>
      </c>
      <c r="D14" s="447">
        <f t="shared" si="5"/>
        <v>0</v>
      </c>
      <c r="E14" s="447">
        <f>MIN(HLOOKUP(B14,'Product &amp; stock detail -Jan-25'!$N$16:$AA$21,6,0),C14)</f>
        <v>0</v>
      </c>
      <c r="F14" s="447">
        <f ca="1" t="shared" si="0"/>
        <v>187.827230217302</v>
      </c>
      <c r="G14" s="447">
        <f ca="1" t="shared" si="1"/>
        <v>187.827230217302</v>
      </c>
      <c r="H14" s="447">
        <f t="shared" si="2"/>
        <v>0</v>
      </c>
      <c r="I14" s="447">
        <f ca="1" t="shared" si="3"/>
        <v>0</v>
      </c>
      <c r="J14" s="447">
        <f ca="1" t="shared" si="4"/>
        <v>0</v>
      </c>
      <c r="K14" s="447"/>
      <c r="L14" s="456">
        <f ca="1">E14*F14</f>
        <v>0</v>
      </c>
      <c r="P14" t="s">
        <v>302</v>
      </c>
    </row>
    <row r="15" spans="1:16">
      <c r="A15" t="s">
        <v>3</v>
      </c>
      <c r="B15" t="s">
        <v>128</v>
      </c>
      <c r="C15" s="447">
        <f>HLOOKUP(B15,'Product &amp; stock detail -Jan-25'!$K$27:$AA$28,2,0)</f>
        <v>0</v>
      </c>
      <c r="D15" s="447">
        <f t="shared" si="5"/>
        <v>0</v>
      </c>
      <c r="E15" s="447">
        <f>MIN(HLOOKUP(B15,'Product &amp; stock detail -Jan-25'!$N$16:$AA$21,6,0),C15)</f>
        <v>-3000</v>
      </c>
      <c r="F15" s="447">
        <f ca="1" t="shared" si="0"/>
        <v>298.923377885993</v>
      </c>
      <c r="G15" s="447">
        <f ca="1" t="shared" si="1"/>
        <v>210.605146825184</v>
      </c>
      <c r="H15" s="447">
        <f>(SUM(D15:E15)-C15)*0</f>
        <v>0</v>
      </c>
      <c r="I15" s="447">
        <f ca="1">C15*G15*0</f>
        <v>0</v>
      </c>
      <c r="J15" s="447">
        <f ca="1" t="shared" si="4"/>
        <v>0</v>
      </c>
      <c r="K15" s="447"/>
      <c r="M15">
        <f ca="1">SUM(M4:M14)</f>
        <v>3299840.20325527</v>
      </c>
      <c r="P15" t="s">
        <v>128</v>
      </c>
    </row>
    <row r="16" spans="3:11">
      <c r="C16" s="447"/>
      <c r="D16" s="447"/>
      <c r="E16" s="447"/>
      <c r="F16" s="447"/>
      <c r="G16" s="447"/>
      <c r="H16" s="447"/>
      <c r="I16" s="447"/>
      <c r="J16" s="447"/>
      <c r="K16" s="447"/>
    </row>
    <row r="17" spans="1:11">
      <c r="A17" s="448">
        <f>SUM(D17:D18)</f>
        <v>32183.03</v>
      </c>
      <c r="C17" s="449">
        <f>SUM(C3:C15)</f>
        <v>41672.64</v>
      </c>
      <c r="D17" s="449">
        <f>SUM(D3:D15)</f>
        <v>32183.03</v>
      </c>
      <c r="E17" s="449">
        <f>SUM(E3:E15)</f>
        <v>6489.61</v>
      </c>
      <c r="F17" s="447"/>
      <c r="G17" s="447"/>
      <c r="H17" s="449">
        <f>SUM(H3:H15)</f>
        <v>0</v>
      </c>
      <c r="I17" s="449">
        <f ca="1">SUM(I3:I15)</f>
        <v>3598650.80391603</v>
      </c>
      <c r="J17" s="447"/>
      <c r="K17" s="447"/>
    </row>
    <row r="18" spans="1:10">
      <c r="A18">
        <f>SUM('[1]Product &amp; stock detail - Sep-24'!N18:Z18)</f>
        <v>17738.78</v>
      </c>
      <c r="B18" s="448"/>
      <c r="C18" s="448">
        <f>C17-'Input Sheet'!AC60+'Input Sheet'!AC58+'Input Sheet'!AC56</f>
        <v>2204</v>
      </c>
      <c r="D18" s="448"/>
      <c r="J18" s="448"/>
    </row>
    <row r="19" spans="1:9">
      <c r="A19" s="448">
        <f>A17-A18</f>
        <v>14444.25</v>
      </c>
      <c r="D19" t="s">
        <v>411</v>
      </c>
      <c r="E19" t="s">
        <v>412</v>
      </c>
      <c r="G19">
        <f>1300*210</f>
        <v>273000</v>
      </c>
      <c r="I19" s="441">
        <f>SUM('[1]Profit computation-Aug'!K7:K19)</f>
        <v>5106700.0931147</v>
      </c>
    </row>
    <row r="20" spans="3:9">
      <c r="C20" t="s">
        <v>1</v>
      </c>
      <c r="D20" s="450">
        <f>'[1]Clos Stock op cf val -Dec24'!E20</f>
        <v>187.827230217302</v>
      </c>
      <c r="E20" s="450">
        <f ca="1">'Costing Breakup'!$E$21</f>
        <v>187.827230217302</v>
      </c>
      <c r="F20" s="450"/>
      <c r="I20" s="448">
        <f ca="1">I17-I19</f>
        <v>-1508049.28919867</v>
      </c>
    </row>
    <row r="21" spans="3:6">
      <c r="C21" t="s">
        <v>3</v>
      </c>
      <c r="D21" s="450">
        <f>'[1]Clos Stock op cf val -Dec24'!E21</f>
        <v>210.605146825184</v>
      </c>
      <c r="E21" s="450">
        <f ca="1">'Costing Breakup'!$F$21</f>
        <v>298.923377885993</v>
      </c>
      <c r="F21" s="450"/>
    </row>
    <row r="22" spans="3:6">
      <c r="C22" t="s">
        <v>10</v>
      </c>
      <c r="D22" s="450">
        <f>'[1]Clos Stock op cf val -Dec24'!E22</f>
        <v>527.20582034568</v>
      </c>
      <c r="E22" s="450">
        <f ca="1">'Costing Breakup'!$D$21</f>
        <v>586.944098993263</v>
      </c>
      <c r="F22" s="450"/>
    </row>
    <row r="23" spans="9:9">
      <c r="I23" s="441"/>
    </row>
    <row r="24" s="16" customFormat="1" spans="2:2">
      <c r="B24" s="451" t="s">
        <v>395</v>
      </c>
    </row>
    <row r="26" spans="2:15">
      <c r="B26" s="447">
        <v>6728</v>
      </c>
      <c r="C26" t="s">
        <v>413</v>
      </c>
      <c r="I26" s="447">
        <f ca="1">SUM('Profit computation-Jan-25'!L7:L19)</f>
        <v>2584099.98213432</v>
      </c>
      <c r="K26" t="s">
        <v>414</v>
      </c>
      <c r="N26" s="441">
        <f ca="1">SUM('Profit computation-Jan-25'!L20:L40)</f>
        <v>11367211.9122793</v>
      </c>
      <c r="O26" s="441"/>
    </row>
    <row r="27" spans="2:17">
      <c r="B27" s="447">
        <f>D17</f>
        <v>32183.03</v>
      </c>
      <c r="C27" t="s">
        <v>415</v>
      </c>
      <c r="I27" s="447">
        <f ca="1">'Clos Stock op cf val -Jan 25'!I17</f>
        <v>3598650.80391603</v>
      </c>
      <c r="J27" s="456"/>
      <c r="K27" t="s">
        <v>416</v>
      </c>
      <c r="N27" s="441">
        <f ca="1">SUM('Product &amp; stock detail -Jan-25'!N30:AA30)</f>
        <v>9180443.3904507</v>
      </c>
      <c r="O27" s="441"/>
      <c r="Q27" s="441"/>
    </row>
    <row r="28" spans="2:15">
      <c r="B28" s="447"/>
      <c r="C28" t="s">
        <v>417</v>
      </c>
      <c r="I28" s="447">
        <f>'[1]Product &amp; stock detail -Dec-24'!AA30*0</f>
        <v>0</v>
      </c>
      <c r="K28" t="s">
        <v>418</v>
      </c>
      <c r="N28" s="441">
        <f ca="1">I27</f>
        <v>3598650.80391603</v>
      </c>
      <c r="O28" s="441">
        <f ca="1">I27-N28</f>
        <v>0</v>
      </c>
    </row>
    <row r="29" spans="3:14">
      <c r="C29" t="s">
        <v>419</v>
      </c>
      <c r="I29" s="447">
        <f>-'Product &amp; stock detail -Jan-25'!P24*0+'Product &amp; stock detail -Jan-25'!W23*0</f>
        <v>0</v>
      </c>
      <c r="N29" s="441"/>
    </row>
    <row r="30" spans="2:14">
      <c r="B30" s="447">
        <f>SUM('[1]Product &amp; stock detail -Dec-24'!N28:AA28)</f>
        <v>43828.38</v>
      </c>
      <c r="C30" t="s">
        <v>420</v>
      </c>
      <c r="I30" s="447">
        <f>SUM('[1]Product &amp; stock detail -Dec-24'!N30:AA30)</f>
        <v>6814566.2265259</v>
      </c>
      <c r="N30" s="441"/>
    </row>
    <row r="31" spans="2:18">
      <c r="B31" s="443">
        <f>B30-SUM(B26:B27)</f>
        <v>4917.35000000001</v>
      </c>
      <c r="I31" s="443">
        <f ca="1">I30-SUM(I26:I27)-SUM(I28:I29)</f>
        <v>631815.440475552</v>
      </c>
      <c r="N31" s="441">
        <f ca="1">N26+N27-N28</f>
        <v>16949004.4988139</v>
      </c>
      <c r="Q31">
        <v>1319676</v>
      </c>
      <c r="R31">
        <f>Q31/2</f>
        <v>659838</v>
      </c>
    </row>
    <row r="32" spans="9:16">
      <c r="I32" s="443">
        <f ca="1">I31+K56</f>
        <v>1819398.00566311</v>
      </c>
      <c r="J32" t="s">
        <v>373</v>
      </c>
      <c r="K32" t="s">
        <v>421</v>
      </c>
      <c r="N32" s="441">
        <f ca="1">'Costing Breakup'!G7</f>
        <v>16059992.28</v>
      </c>
      <c r="O32" s="441"/>
      <c r="P32" s="441"/>
    </row>
    <row r="33" spans="9:14">
      <c r="I33" s="448"/>
      <c r="N33" s="441"/>
    </row>
    <row r="34" spans="14:16">
      <c r="N34" s="441">
        <f ca="1">N31-N32</f>
        <v>889012.21881393</v>
      </c>
      <c r="O34" s="441"/>
      <c r="P34" s="441"/>
    </row>
    <row r="35" spans="8:11">
      <c r="H35" t="s">
        <v>10</v>
      </c>
      <c r="I35" t="s">
        <v>1</v>
      </c>
      <c r="J35" t="s">
        <v>3</v>
      </c>
      <c r="K35" t="s">
        <v>58</v>
      </c>
    </row>
    <row r="36" spans="2:2">
      <c r="B36" t="s">
        <v>422</v>
      </c>
    </row>
    <row r="37" spans="3:12">
      <c r="C37" t="s">
        <v>423</v>
      </c>
      <c r="H37" s="447">
        <f>'[1]Product &amp; stock detail -Dec-24'!U30+'[1]Product &amp; stock detail -Dec-24'!V30</f>
        <v>1952179.88804161</v>
      </c>
      <c r="I37" s="447">
        <f>SUM('[1]Product &amp; stock detail -Dec-24'!O30:R30)+'[1]Product &amp; stock detail -Dec-24'!Z30</f>
        <v>1653944.60630759</v>
      </c>
      <c r="J37" s="447">
        <f>SUM('[1]Product &amp; stock detail -Dec-24'!S30:T30)+SUM('[1]Product &amp; stock detail -Dec-24'!W30:Y30)+'[1]Product &amp; stock detail -Dec-24'!AA30</f>
        <v>3208441.7321767</v>
      </c>
      <c r="K37" s="447">
        <f>SUM(H37:J37)</f>
        <v>6814566.2265259</v>
      </c>
      <c r="L37" s="447">
        <f>K37-I30</f>
        <v>0</v>
      </c>
    </row>
    <row r="38" spans="8:12">
      <c r="H38" s="447"/>
      <c r="I38" s="447"/>
      <c r="J38" s="447"/>
      <c r="K38" s="447"/>
      <c r="L38" s="447"/>
    </row>
    <row r="39" spans="3:12">
      <c r="C39" t="s">
        <v>424</v>
      </c>
      <c r="H39" s="447">
        <f ca="1">SUMIF('Profit computation-Jan-25'!$C$7:$C$19,"White",'Profit computation-Jan-25'!$L$7:$L$19)</f>
        <v>1908727.58432872</v>
      </c>
      <c r="I39" s="447">
        <f ca="1">SUMIF('Profit computation-Jan-25'!$C$7:$C$19,"Brown",'Profit computation-Jan-25'!$L$7:$L$19)</f>
        <v>149938.721337868</v>
      </c>
      <c r="J39" s="447">
        <f ca="1">SUMIF('Profit computation-Jan-25'!$C$7:$C$19,"Black",'Profit computation-Jan-25'!$L$7:$L$19)</f>
        <v>525433.676467731</v>
      </c>
      <c r="K39" s="447">
        <f ca="1">SUM(H39:J39)</f>
        <v>2584099.98213432</v>
      </c>
      <c r="L39" s="447">
        <f ca="1">K39-I26</f>
        <v>0</v>
      </c>
    </row>
    <row r="40" spans="3:12">
      <c r="C40" t="s">
        <v>415</v>
      </c>
      <c r="H40" s="447">
        <f ca="1">SUMIF($A$3:$A$15,H35,$I$3:$I$15)</f>
        <v>43452.3037128911</v>
      </c>
      <c r="I40" s="447">
        <f ca="1" t="shared" ref="I40:J40" si="6">SUMIF($A$3:$A$15,I35,$I$3:$I$15)</f>
        <v>1504005.88496972</v>
      </c>
      <c r="J40" s="447">
        <f ca="1" t="shared" si="6"/>
        <v>2051192.61523341</v>
      </c>
      <c r="K40" s="447">
        <f ca="1">SUM(H40:J40)</f>
        <v>3598650.80391603</v>
      </c>
      <c r="L40" s="447">
        <f ca="1">K40-I17</f>
        <v>0</v>
      </c>
    </row>
    <row r="41" spans="8:12">
      <c r="H41" s="447">
        <f ca="1">SUM(H39:H40)</f>
        <v>1952179.88804161</v>
      </c>
      <c r="I41" s="447">
        <f ca="1" t="shared" ref="I41:K41" si="7">SUM(I39:I40)</f>
        <v>1653944.60630759</v>
      </c>
      <c r="J41" s="447">
        <f ca="1" t="shared" si="7"/>
        <v>2576626.29170115</v>
      </c>
      <c r="K41" s="447">
        <f ca="1" t="shared" si="7"/>
        <v>6182750.78605035</v>
      </c>
      <c r="L41" s="447"/>
    </row>
    <row r="43" spans="8:11">
      <c r="H43" s="452">
        <f ca="1">H37-H41</f>
        <v>0</v>
      </c>
      <c r="I43" s="452">
        <f ca="1" t="shared" ref="I43:K43" si="8">I37-I41</f>
        <v>0</v>
      </c>
      <c r="J43" s="452">
        <f ca="1" t="shared" si="8"/>
        <v>631815.440475553</v>
      </c>
      <c r="K43" s="452">
        <f ca="1" t="shared" si="8"/>
        <v>631815.440475553</v>
      </c>
    </row>
    <row r="45" spans="2:11">
      <c r="B45" t="s">
        <v>425</v>
      </c>
      <c r="H45" s="447">
        <f ca="1">'Expenses Category'!F5+'Expenses Category'!F7</f>
        <v>6823361.74</v>
      </c>
      <c r="I45" s="447">
        <f ca="1">'Expenses Category'!F6+'Expenses Category'!F8</f>
        <v>37534.54</v>
      </c>
      <c r="J45" s="447">
        <f ca="1">'Expenses Category'!F9+'Expenses Category'!F10</f>
        <v>3439136.09</v>
      </c>
      <c r="K45" s="448">
        <f ca="1">SUM(H45:J45)</f>
        <v>10300032.37</v>
      </c>
    </row>
    <row r="46" spans="2:11">
      <c r="B46" t="s">
        <v>426</v>
      </c>
      <c r="H46" s="447">
        <f ca="1">'Costing Breakup'!D8</f>
        <v>3454702.56575269</v>
      </c>
      <c r="I46" s="447">
        <f ca="1">'Costing Breakup'!E8</f>
        <v>0</v>
      </c>
      <c r="J46" s="447">
        <f ca="1">'Costing Breakup'!F8</f>
        <v>2305257.34424731</v>
      </c>
      <c r="K46" s="448">
        <f ca="1">SUM(H46:J46)</f>
        <v>5759959.91</v>
      </c>
    </row>
    <row r="47" spans="2:11">
      <c r="B47" t="s">
        <v>427</v>
      </c>
      <c r="H47" s="447">
        <f ca="1">'Costing Breakup'!D5-'Costing Breakup'!D10</f>
        <v>776374.284882914</v>
      </c>
      <c r="I47" s="447">
        <f ca="1">'Costing Breakup'!E5-'Costing Breakup'!E10</f>
        <v>-37534.54</v>
      </c>
      <c r="J47" s="447">
        <f ca="1">'Costing Breakup'!F5-'Costing Breakup'!F10</f>
        <v>-481771.667760534</v>
      </c>
      <c r="K47" s="448">
        <f ca="1">SUM(H47:J47)</f>
        <v>257068.077122379</v>
      </c>
    </row>
    <row r="48" spans="8:11">
      <c r="H48" s="447"/>
      <c r="I48" s="447"/>
      <c r="J48" s="447"/>
      <c r="K48" s="448"/>
    </row>
    <row r="49" spans="8:11">
      <c r="H49" s="453">
        <f ca="1">SUM(H45:H47)</f>
        <v>11054438.5906356</v>
      </c>
      <c r="I49" s="457">
        <f ca="1" t="shared" ref="I49:K49" si="9">SUM(I45:I47)</f>
        <v>0</v>
      </c>
      <c r="J49" s="453">
        <f ca="1" t="shared" si="9"/>
        <v>5262621.76648678</v>
      </c>
      <c r="K49" s="457">
        <f ca="1" t="shared" si="9"/>
        <v>16317060.3571224</v>
      </c>
    </row>
    <row r="50" spans="8:14">
      <c r="H50" s="447"/>
      <c r="I50" s="447"/>
      <c r="J50" s="447"/>
      <c r="K50" s="448"/>
      <c r="N50" s="448"/>
    </row>
    <row r="51" spans="2:11">
      <c r="B51" t="s">
        <v>428</v>
      </c>
      <c r="H51" s="447">
        <f ca="1">SUMIF('Profit computation-Jan-25'!$C$20:$C$40,'Clos Stock op cf val -Jan 25'!H35,'Profit computation-Jan-25'!$L$20:$L$40)</f>
        <v>7223789.84670742</v>
      </c>
      <c r="I51" s="447">
        <f ca="1">SUMIF('Profit computation-Jan-25'!$C$20:$C$40,'Clos Stock op cf val -Jan 25'!I35,'Profit computation-Jan-25'!$L$20:$L$40)</f>
        <v>63736.7288202486</v>
      </c>
      <c r="J51" s="447">
        <f ca="1">SUMIF('Profit computation-Jan-25'!$C$20:$C$40,'Clos Stock op cf val -Jan 25'!J35,'Profit computation-Jan-25'!$L$20:$L$40)</f>
        <v>4079685.33675158</v>
      </c>
      <c r="K51" s="448">
        <f ca="1">SUM(H51:J51)</f>
        <v>11367211.9122793</v>
      </c>
    </row>
    <row r="52" spans="2:13">
      <c r="B52" t="s">
        <v>166</v>
      </c>
      <c r="H52" s="447">
        <f ca="1">SUM('Product &amp; stock detail -Jan-25'!U30:V30)</f>
        <v>2054574.34076196</v>
      </c>
      <c r="I52" s="447">
        <f ca="1">SUM('Product &amp; stock detail -Jan-25'!O30:R30)+'Product &amp; stock detail -Jan-25'!Z30</f>
        <v>1440447.02853649</v>
      </c>
      <c r="J52" s="447">
        <f ca="1">SUM('Product &amp; stock detail -Jan-25'!S30:T30)+SUM('Product &amp; stock detail -Jan-25'!W30:Y30)</f>
        <v>3865895.31427314</v>
      </c>
      <c r="K52" s="448">
        <f ca="1">SUM(H52:J52)</f>
        <v>7360916.68357159</v>
      </c>
      <c r="L52">
        <f>SUM('[1]Product &amp; stock detail -Dec-24'!N30:AA30)</f>
        <v>6814566.2265259</v>
      </c>
      <c r="M52" s="448">
        <f ca="1">K52-L52</f>
        <v>546350.457045689</v>
      </c>
    </row>
    <row r="53" spans="2:11">
      <c r="B53" t="s">
        <v>429</v>
      </c>
      <c r="H53" s="447">
        <f ca="1">SUMIF($A$3:$A$15,H35,$I$3:$I$15)</f>
        <v>43452.3037128911</v>
      </c>
      <c r="I53" s="447">
        <f ca="1">SUMIF($A$3:$A$15,I35,$I$3:$I$15)</f>
        <v>1504005.88496972</v>
      </c>
      <c r="J53" s="447">
        <f ca="1">SUMIF($A$3:$A$15,J35,$I$3:$I$15)</f>
        <v>2051192.61523341</v>
      </c>
      <c r="K53" s="448">
        <f ca="1">SUM(H53:J53)</f>
        <v>3598650.80391603</v>
      </c>
    </row>
    <row r="54" spans="8:16">
      <c r="H54" s="454">
        <f ca="1">SUM(H51:H52)-H53</f>
        <v>9234911.88375649</v>
      </c>
      <c r="I54" s="454">
        <f ca="1" t="shared" ref="I54:K54" si="10">SUM(I51:I52)-I53</f>
        <v>177.872387015494</v>
      </c>
      <c r="J54" s="454">
        <f ca="1" t="shared" si="10"/>
        <v>5894388.03579132</v>
      </c>
      <c r="K54" s="454">
        <f ca="1" t="shared" si="10"/>
        <v>15129477.7919348</v>
      </c>
      <c r="N54" s="447" t="e">
        <f>'Costing Breakup'!#REF!</f>
        <v>#REF!</v>
      </c>
      <c r="O54" s="447" t="e">
        <f>'Costing Breakup'!#REF!</f>
        <v>#REF!</v>
      </c>
      <c r="P54" s="447" t="e">
        <f>'Costing Breakup'!#REF!</f>
        <v>#REF!</v>
      </c>
    </row>
    <row r="55" spans="14:16">
      <c r="N55" s="447" t="e">
        <f>'Costing Breakup'!#REF!</f>
        <v>#REF!</v>
      </c>
      <c r="O55" s="447" t="e">
        <f>'Costing Breakup'!#REF!</f>
        <v>#REF!</v>
      </c>
      <c r="P55" s="447" t="e">
        <f>'Costing Breakup'!#REF!</f>
        <v>#REF!</v>
      </c>
    </row>
    <row r="56" spans="8:16">
      <c r="H56" s="448">
        <f ca="1">H49-H54</f>
        <v>1819526.70687911</v>
      </c>
      <c r="I56" s="448">
        <f ca="1">I49-I54</f>
        <v>-177.872387015494</v>
      </c>
      <c r="J56" s="448">
        <f ca="1" t="shared" ref="J56:K56" si="11">J49-J54</f>
        <v>-631766.269304535</v>
      </c>
      <c r="K56" s="448">
        <f ca="1" t="shared" si="11"/>
        <v>1187582.56518756</v>
      </c>
      <c r="M56" s="448" t="e">
        <f ca="1">SUM(N56:P56)-SUM(K51:K52)</f>
        <v>#REF!</v>
      </c>
      <c r="N56" s="447" t="e">
        <f>N54-N55</f>
        <v>#REF!</v>
      </c>
      <c r="O56" s="447" t="e">
        <f t="shared" ref="O56:P56" si="12">O54-O55</f>
        <v>#REF!</v>
      </c>
      <c r="P56" s="447" t="e">
        <f t="shared" si="12"/>
        <v>#REF!</v>
      </c>
    </row>
    <row r="58" spans="1:9">
      <c r="A58" s="455" t="s">
        <v>430</v>
      </c>
      <c r="I58" s="448"/>
    </row>
    <row r="59" spans="10:10">
      <c r="J59" s="448"/>
    </row>
    <row r="60" spans="2:11">
      <c r="B60" t="s">
        <v>282</v>
      </c>
      <c r="H60" s="447">
        <f>SUM('Product &amp; stock detail -Jan-25'!U20:V20)</f>
        <v>3702.88</v>
      </c>
      <c r="I60" s="447">
        <f>SUM('Product &amp; stock detail -Jan-25'!O20:R20)+SUM('Product &amp; stock detail -Jan-25'!Z20)</f>
        <v>8805.67</v>
      </c>
      <c r="J60" s="447">
        <f>SUM('Product &amp; stock detail -Jan-25'!S20:T20)+SUM('Product &amp; stock detail -Jan-25'!W20:Y20)</f>
        <v>28319.83</v>
      </c>
      <c r="K60" s="448">
        <f>SUM(H60:J60)</f>
        <v>40828.38</v>
      </c>
    </row>
    <row r="61" spans="2:11">
      <c r="B61" t="s">
        <v>431</v>
      </c>
      <c r="H61" s="447">
        <f>'Product &amp; stock detail -Jan-25'!C17</f>
        <v>18825.498</v>
      </c>
      <c r="I61" s="447">
        <f>'Product &amp; stock detail -Jan-25'!D17</f>
        <v>0.946999999999889</v>
      </c>
      <c r="J61" s="447">
        <f>'Product &amp; stock detail -Jan-25'!E17</f>
        <v>19718.89</v>
      </c>
      <c r="K61" s="448">
        <f t="shared" ref="K61:K66" si="13">SUM(H61:J61)</f>
        <v>38545.335</v>
      </c>
    </row>
    <row r="62" spans="2:17">
      <c r="B62" t="s">
        <v>432</v>
      </c>
      <c r="H62" s="447">
        <f>SUM(H63:H64)</f>
        <v>15927.918</v>
      </c>
      <c r="I62" s="447">
        <f t="shared" ref="I62:J62" si="14">SUM(I63:I64)</f>
        <v>1137.617</v>
      </c>
      <c r="J62" s="447">
        <f t="shared" si="14"/>
        <v>17874.54</v>
      </c>
      <c r="K62" s="448">
        <f t="shared" si="13"/>
        <v>34940.075</v>
      </c>
      <c r="N62">
        <v>32258.61</v>
      </c>
      <c r="O62">
        <v>2568.9</v>
      </c>
      <c r="P62">
        <v>43370.591</v>
      </c>
      <c r="Q62">
        <v>78198.101</v>
      </c>
    </row>
    <row r="63" spans="2:11">
      <c r="B63" t="s">
        <v>433</v>
      </c>
      <c r="H63" s="447">
        <f>SUMIF('Monthly Average price-Jan-25'!$A$7:$A$19,"White",'Monthly Average price-Jan-25'!J7:J19)</f>
        <v>3620.46</v>
      </c>
      <c r="I63" s="447">
        <f>SUMIF('Monthly Average price-Jan-25'!$A$7:$A$19,"Brown",'Monthly Average price-Jan-25'!J7:J19)</f>
        <v>798.28</v>
      </c>
      <c r="J63" s="447">
        <f>SUMIF('Monthly Average price-Jan-25'!$A$7:$A$19,"Black",'Monthly Average price-Jan-25'!J7:J19)</f>
        <v>4226.61</v>
      </c>
      <c r="K63" s="448"/>
    </row>
    <row r="64" spans="2:11">
      <c r="B64" t="s">
        <v>434</v>
      </c>
      <c r="H64" s="447">
        <f>SUMIF('Monthly Average price-Jan-25'!$A$7:$A$19,"White",'Monthly Average price-Jan-25'!H7:H19)</f>
        <v>12307.458</v>
      </c>
      <c r="I64" s="447">
        <f>SUMIF('Monthly Average price-Jan-25'!$A$7:$A$19,"Brown",'Monthly Average price-Jan-25'!H7:H19)</f>
        <v>339.337</v>
      </c>
      <c r="J64" s="447">
        <f>SUMIF('Monthly Average price-Jan-25'!$A$7:$A$19,"Black",'Monthly Average price-Jan-25'!H7:H19)</f>
        <v>13647.93</v>
      </c>
      <c r="K64" s="448"/>
    </row>
    <row r="65" spans="2:11">
      <c r="B65" t="s">
        <v>435</v>
      </c>
      <c r="H65" s="447">
        <f>H60+H61-H62</f>
        <v>6600.46</v>
      </c>
      <c r="I65" s="447">
        <f t="shared" ref="I65:J65" si="15">I60+I61-I62</f>
        <v>7669</v>
      </c>
      <c r="J65" s="447">
        <f t="shared" si="15"/>
        <v>30164.18</v>
      </c>
      <c r="K65" s="448">
        <f t="shared" si="13"/>
        <v>44433.64</v>
      </c>
    </row>
    <row r="66" spans="2:12">
      <c r="B66" t="s">
        <v>436</v>
      </c>
      <c r="H66" s="447">
        <f>SUM('Product &amp; stock detail -Jan-25'!U18:V18)</f>
        <v>3500.46</v>
      </c>
      <c r="I66" s="447">
        <f>SUM('Product &amp; stock detail -Jan-25'!O18:R18)+'Product &amp; stock detail -Jan-25'!Z18</f>
        <v>7669</v>
      </c>
      <c r="J66" s="447">
        <f>SUM('Product &amp; stock detail -Jan-25'!S18:T18)+SUM('Product &amp; stock detail -Jan-25'!W18:Y18)</f>
        <v>30164.18</v>
      </c>
      <c r="K66" s="448">
        <f t="shared" si="13"/>
        <v>41333.64</v>
      </c>
      <c r="L66" s="448"/>
    </row>
    <row r="67" spans="2:15">
      <c r="B67" s="455" t="s">
        <v>353</v>
      </c>
      <c r="C67" s="455"/>
      <c r="D67" s="455"/>
      <c r="E67" s="455"/>
      <c r="F67" s="455"/>
      <c r="G67" s="455"/>
      <c r="H67" s="449">
        <f>H65-H66</f>
        <v>3100</v>
      </c>
      <c r="I67" s="449">
        <f t="shared" ref="I67:K67" si="16">I65-I66</f>
        <v>0</v>
      </c>
      <c r="J67" s="449">
        <f t="shared" si="16"/>
        <v>0</v>
      </c>
      <c r="K67" s="449">
        <f t="shared" si="16"/>
        <v>3100</v>
      </c>
      <c r="L67" t="s">
        <v>437</v>
      </c>
      <c r="N67" s="450">
        <f>I67*166</f>
        <v>0</v>
      </c>
      <c r="O67" s="448">
        <f>D4+D5+D14</f>
        <v>6647.59</v>
      </c>
    </row>
    <row r="68" spans="2:12">
      <c r="B68" s="455"/>
      <c r="C68" s="455"/>
      <c r="D68" s="455"/>
      <c r="E68" s="455"/>
      <c r="F68" s="455"/>
      <c r="G68" s="455"/>
      <c r="H68" s="449"/>
      <c r="I68" s="449">
        <f>I67*D20</f>
        <v>0</v>
      </c>
      <c r="J68" s="449">
        <f>J67*85</f>
        <v>0</v>
      </c>
      <c r="K68" s="449"/>
      <c r="L68" t="s">
        <v>438</v>
      </c>
    </row>
    <row r="69" spans="9:9">
      <c r="I69" s="448"/>
    </row>
    <row r="70" spans="1:10">
      <c r="A70" s="455" t="s">
        <v>439</v>
      </c>
      <c r="J70" s="448">
        <f ca="1">J68+I68-I31</f>
        <v>-631815.440475552</v>
      </c>
    </row>
    <row r="72" spans="2:13">
      <c r="B72" t="s">
        <v>440</v>
      </c>
      <c r="H72" s="441">
        <f ca="1">H64*E22</f>
        <v>7223789.84670742</v>
      </c>
      <c r="I72" s="441">
        <f ca="1">I64*E20</f>
        <v>63736.7288202486</v>
      </c>
      <c r="J72" s="441">
        <f ca="1">J64*E21</f>
        <v>4079685.33675158</v>
      </c>
      <c r="K72" s="448">
        <f ca="1">SUM(H72:J72)</f>
        <v>11367211.9122793</v>
      </c>
      <c r="M72" s="450">
        <f ca="1">J72-J51</f>
        <v>0</v>
      </c>
    </row>
    <row r="73" spans="2:14">
      <c r="B73" t="s">
        <v>441</v>
      </c>
      <c r="H73" s="441">
        <f ca="1">H77*E22</f>
        <v>3825725.11500204</v>
      </c>
      <c r="I73" s="441">
        <f ca="1">I77*E20</f>
        <v>-63558.8564332328</v>
      </c>
      <c r="J73" s="441">
        <f ca="1">J77*E21</f>
        <v>1814751.87021075</v>
      </c>
      <c r="K73" s="448">
        <f ca="1">SUM(H73:J73)</f>
        <v>5576918.12877956</v>
      </c>
      <c r="M73" s="441">
        <f ca="1">J73+I27</f>
        <v>5413402.67412678</v>
      </c>
      <c r="N73" s="441">
        <f ca="1">M73-'[1]Product &amp; stock detail - Sep-24'!AC30</f>
        <v>1442972.82444617</v>
      </c>
    </row>
    <row r="74" spans="8:14">
      <c r="H74" s="458">
        <f ca="1">SUM(H72:H73)</f>
        <v>11049514.9617095</v>
      </c>
      <c r="I74" s="441">
        <f ca="1" t="shared" ref="I74:J74" si="17">SUM(I72:I73)</f>
        <v>177.872387015763</v>
      </c>
      <c r="J74" s="458">
        <f ca="1" t="shared" si="17"/>
        <v>5894437.20696233</v>
      </c>
      <c r="K74" s="448"/>
      <c r="M74" s="450">
        <f ca="1">I74-I49</f>
        <v>177.872387015763</v>
      </c>
      <c r="N74" s="450">
        <f ca="1">M74-'[1]Profit computation-Aug'!M61</f>
        <v>-72382.2746048108</v>
      </c>
    </row>
    <row r="75" spans="8:13">
      <c r="H75" s="441">
        <f ca="1">H74-H49</f>
        <v>-4923.62892613374</v>
      </c>
      <c r="I75" s="441">
        <f ca="1" t="shared" ref="I75:J75" si="18">I74-I49</f>
        <v>177.872387015763</v>
      </c>
      <c r="J75" s="441">
        <f ca="1" t="shared" si="18"/>
        <v>631815.440475552</v>
      </c>
      <c r="K75" s="448"/>
      <c r="M75" s="441"/>
    </row>
    <row r="77" spans="2:10">
      <c r="B77" t="s">
        <v>442</v>
      </c>
      <c r="H77" s="448">
        <f>H61-H64</f>
        <v>6518.04</v>
      </c>
      <c r="I77" s="448">
        <f t="shared" ref="I77:J77" si="19">I61-I64</f>
        <v>-338.39</v>
      </c>
      <c r="J77" s="448">
        <f t="shared" si="19"/>
        <v>6070.96</v>
      </c>
    </row>
    <row r="78" spans="8:10">
      <c r="H78" s="448">
        <f>H77</f>
        <v>6518.04</v>
      </c>
      <c r="I78" s="448">
        <f>I77+SUMIF($A$3:$A$15,I35,$D$3:$D$15)</f>
        <v>7669</v>
      </c>
      <c r="J78" s="448">
        <f>J77+SUMIF($A$3:$A$15,J35,$D$3:$D$15)</f>
        <v>30164.18</v>
      </c>
    </row>
    <row r="79" spans="8:8">
      <c r="H79">
        <f>SUM('[1]Product &amp; stock detail - Oct-24'!N28:AA28)</f>
        <v>21813.68</v>
      </c>
    </row>
    <row r="81" spans="8:9">
      <c r="H81" s="448">
        <f>SUM(H78:J78)-H79</f>
        <v>22537.54</v>
      </c>
      <c r="I81" s="450"/>
    </row>
    <row r="83" spans="9:9">
      <c r="I83" s="456">
        <v>140113.744463077</v>
      </c>
    </row>
    <row r="85" spans="9:9">
      <c r="I85" s="441">
        <f ca="1">I83-I75</f>
        <v>139935.872076061</v>
      </c>
    </row>
  </sheetData>
  <autoFilter xmlns:etc="http://www.wps.cn/officeDocument/2017/etCustomData" ref="A2:J15" etc:filterBottomFollowUsedRange="0">
    <filterColumn colId="0">
      <customFilters>
        <customFilter operator="equal" val="Black"/>
      </customFilters>
    </filterColumn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3:L9"/>
  <sheetViews>
    <sheetView workbookViewId="0">
      <pane xSplit="2" ySplit="5" topLeftCell="C6" activePane="bottomRight" state="frozen"/>
      <selection/>
      <selection pane="topRight"/>
      <selection pane="bottomLeft"/>
      <selection pane="bottomRight" activeCell="E13" sqref="E13"/>
    </sheetView>
  </sheetViews>
  <sheetFormatPr defaultColWidth="9" defaultRowHeight="14"/>
  <cols>
    <col min="2" max="2" width="14.1818181818182" customWidth="1"/>
    <col min="3" max="3" width="10.1818181818182" customWidth="1"/>
    <col min="4" max="4" width="9" customWidth="1"/>
    <col min="5" max="5" width="12.8181818181818" customWidth="1"/>
    <col min="6" max="6" width="10.1818181818182" customWidth="1"/>
    <col min="7" max="7" width="10.9090909090909" customWidth="1"/>
    <col min="8" max="8" width="11.8181818181818" customWidth="1"/>
    <col min="9" max="9" width="10.1818181818182" customWidth="1"/>
    <col min="10" max="10" width="9" customWidth="1"/>
    <col min="11" max="11" width="11.8181818181818" customWidth="1"/>
  </cols>
  <sheetData>
    <row r="3" spans="2:11">
      <c r="B3" s="437" t="s">
        <v>275</v>
      </c>
      <c r="C3" s="438">
        <v>45658</v>
      </c>
      <c r="D3" s="439"/>
      <c r="E3" s="439"/>
      <c r="F3" s="439"/>
      <c r="G3" s="439"/>
      <c r="H3" s="439"/>
      <c r="I3" s="439"/>
      <c r="J3" s="439"/>
      <c r="K3" s="439"/>
    </row>
    <row r="4" spans="2:11">
      <c r="B4" s="437"/>
      <c r="C4" s="440" t="s">
        <v>443</v>
      </c>
      <c r="D4" s="440"/>
      <c r="E4" s="440"/>
      <c r="F4" s="440" t="s">
        <v>444</v>
      </c>
      <c r="G4" s="440"/>
      <c r="H4" s="440"/>
      <c r="I4" s="440" t="s">
        <v>118</v>
      </c>
      <c r="J4" s="440"/>
      <c r="K4" s="440"/>
    </row>
    <row r="5" spans="2:11">
      <c r="B5" s="437"/>
      <c r="C5" s="440" t="s">
        <v>139</v>
      </c>
      <c r="D5" s="440" t="s">
        <v>329</v>
      </c>
      <c r="E5" s="440" t="s">
        <v>9</v>
      </c>
      <c r="F5" s="440" t="s">
        <v>139</v>
      </c>
      <c r="G5" s="440" t="s">
        <v>329</v>
      </c>
      <c r="H5" s="440" t="s">
        <v>9</v>
      </c>
      <c r="I5" s="440" t="s">
        <v>139</v>
      </c>
      <c r="J5" s="440" t="s">
        <v>329</v>
      </c>
      <c r="K5" s="440" t="s">
        <v>9</v>
      </c>
    </row>
    <row r="6" spans="2:12">
      <c r="B6" t="s">
        <v>282</v>
      </c>
      <c r="C6" s="441">
        <v>1712</v>
      </c>
      <c r="D6" s="441">
        <v>75.6227768237864</v>
      </c>
      <c r="E6" s="441">
        <v>129466.193922322</v>
      </c>
      <c r="F6" s="441">
        <v>5026</v>
      </c>
      <c r="G6" s="441">
        <v>72.0047552094714</v>
      </c>
      <c r="H6" s="441">
        <v>361895.899682803</v>
      </c>
      <c r="I6" s="441">
        <v>20048</v>
      </c>
      <c r="J6" s="441">
        <v>58.4838998092344</v>
      </c>
      <c r="K6" s="441">
        <v>1172485.22337553</v>
      </c>
      <c r="L6" t="s">
        <v>445</v>
      </c>
    </row>
    <row r="7" spans="2:11">
      <c r="B7" s="16" t="s">
        <v>431</v>
      </c>
      <c r="C7" s="442">
        <f>'Product &amp; stock detail -Jan-25'!C17</f>
        <v>18825.498</v>
      </c>
      <c r="D7" s="443">
        <f ca="1">IFERROR((E7/C7),0)</f>
        <v>88.2608545070096</v>
      </c>
      <c r="E7" s="442">
        <f ca="1">'Cost sheet - Detailed'!AG71</f>
        <v>1661554.54</v>
      </c>
      <c r="F7" s="442">
        <f>'Product &amp; stock detail -Jan-25'!D17*0</f>
        <v>0</v>
      </c>
      <c r="G7" s="443">
        <f ca="1">IFERROR((H7/F7),0)</f>
        <v>0</v>
      </c>
      <c r="H7" s="442">
        <f ca="1">'Cost sheet - Detailed'!BO71</f>
        <v>37534.54</v>
      </c>
      <c r="I7" s="442">
        <f>'Product &amp; stock detail -Jan-25'!E17</f>
        <v>19718.89</v>
      </c>
      <c r="J7" s="443">
        <f ca="1">IFERROR((K7/I7),0)</f>
        <v>126.623491991689</v>
      </c>
      <c r="K7" s="442">
        <f ca="1">'Cost sheet - Detailed'!FM71</f>
        <v>2496874.71</v>
      </c>
    </row>
    <row r="8" spans="3:11">
      <c r="C8" s="441">
        <f>C6+C7</f>
        <v>20537.498</v>
      </c>
      <c r="D8" s="441">
        <f ca="1">E8/C8</f>
        <v>87.2073479409382</v>
      </c>
      <c r="E8" s="441">
        <f ca="1">E6+E7</f>
        <v>1791020.73392232</v>
      </c>
      <c r="F8" s="441">
        <f t="shared" ref="E8:F8" si="0">F6+F7</f>
        <v>5026</v>
      </c>
      <c r="G8" s="441">
        <f ca="1">H8/F8</f>
        <v>79.4728292245927</v>
      </c>
      <c r="H8" s="441">
        <f ca="1" t="shared" ref="H8:I8" si="1">H6+H7</f>
        <v>399430.439682803</v>
      </c>
      <c r="I8" s="441">
        <f t="shared" si="1"/>
        <v>39766.89</v>
      </c>
      <c r="J8" s="441">
        <f ca="1">K8/I8</f>
        <v>92.2717349376713</v>
      </c>
      <c r="K8" s="441">
        <f ca="1" t="shared" ref="K8" si="2">K6+K7</f>
        <v>3669359.93337553</v>
      </c>
    </row>
    <row r="9" spans="2:12">
      <c r="B9" t="s">
        <v>166</v>
      </c>
      <c r="C9" s="441">
        <f>'Input Sheet'!AF47</f>
        <v>1569.346875</v>
      </c>
      <c r="D9" s="441">
        <f ca="1">D8</f>
        <v>87.2073479409382</v>
      </c>
      <c r="E9" s="441">
        <f ca="1">C9*D9</f>
        <v>136858.578968149</v>
      </c>
      <c r="F9" s="441">
        <f>'Input Sheet'!AF48</f>
        <v>5026</v>
      </c>
      <c r="G9" s="441">
        <f ca="1">G8</f>
        <v>79.4728292245927</v>
      </c>
      <c r="H9" s="441">
        <f ca="1">F9*G9</f>
        <v>399430.439682803</v>
      </c>
      <c r="I9" s="441">
        <f>'Input Sheet'!AF49</f>
        <v>17928.1</v>
      </c>
      <c r="J9" s="441">
        <f ca="1">J8</f>
        <v>92.2717349376713</v>
      </c>
      <c r="K9" s="441">
        <f ca="1">I9*J9</f>
        <v>1654256.89113606</v>
      </c>
      <c r="L9" t="s">
        <v>446</v>
      </c>
    </row>
  </sheetData>
  <mergeCells count="5">
    <mergeCell ref="C3:K3"/>
    <mergeCell ref="C4:E4"/>
    <mergeCell ref="F4:H4"/>
    <mergeCell ref="I4:K4"/>
    <mergeCell ref="B3:B5"/>
  </mergeCells>
  <pageMargins left="0.25" right="0.25" top="0.75" bottom="0.75" header="0.3" footer="0.3"/>
  <pageSetup paperSize="9" scale="28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Y100"/>
  <sheetViews>
    <sheetView showGridLines="0" zoomScale="80" zoomScaleNormal="80" zoomScaleSheetLayoutView="80" topLeftCell="A59" workbookViewId="0">
      <selection activeCell="AG71" sqref="AG71"/>
    </sheetView>
  </sheetViews>
  <sheetFormatPr defaultColWidth="9.81818181818182" defaultRowHeight="16.5"/>
  <cols>
    <col min="1" max="1" width="1.81818181818182" style="273" customWidth="1"/>
    <col min="2" max="2" width="37.4545454545455" style="273" hidden="1" customWidth="1"/>
    <col min="3" max="3" width="47.1818181818182" style="273" customWidth="1"/>
    <col min="4" max="5" width="17" style="273" hidden="1" customWidth="1"/>
    <col min="6" max="6" width="7.36363636363636" style="273" hidden="1" customWidth="1"/>
    <col min="7" max="7" width="17" style="273" hidden="1" customWidth="1"/>
    <col min="8" max="8" width="7.36363636363636" style="273" hidden="1" customWidth="1"/>
    <col min="9" max="9" width="17" style="273" hidden="1" customWidth="1"/>
    <col min="10" max="10" width="7.36363636363636" style="273" hidden="1" customWidth="1"/>
    <col min="11" max="11" width="17" style="273" hidden="1" customWidth="1"/>
    <col min="12" max="12" width="7.36363636363636" style="273" hidden="1" customWidth="1"/>
    <col min="13" max="13" width="17" style="273" hidden="1" customWidth="1"/>
    <col min="14" max="14" width="8.36363636363636" style="273" hidden="1" customWidth="1"/>
    <col min="15" max="15" width="12" style="273" hidden="1" customWidth="1"/>
    <col min="16" max="16" width="8.36363636363636" style="273" hidden="1" customWidth="1"/>
    <col min="17" max="17" width="12" style="273" hidden="1" customWidth="1"/>
    <col min="18" max="18" width="8.36363636363636" style="273" hidden="1" customWidth="1"/>
    <col min="19" max="19" width="17" style="273" hidden="1" customWidth="1"/>
    <col min="20" max="20" width="7.36363636363636" style="273" hidden="1" customWidth="1"/>
    <col min="21" max="21" width="17" style="273" hidden="1" customWidth="1"/>
    <col min="22" max="22" width="7.36363636363636" style="273" hidden="1" customWidth="1"/>
    <col min="23" max="23" width="17" style="273" hidden="1" customWidth="1"/>
    <col min="24" max="24" width="7.36363636363636" style="273" hidden="1" customWidth="1"/>
    <col min="25" max="25" width="17" style="273" hidden="1" customWidth="1"/>
    <col min="26" max="26" width="7.36363636363636" style="273" hidden="1" customWidth="1"/>
    <col min="27" max="27" width="17" style="273" hidden="1" customWidth="1"/>
    <col min="28" max="28" width="7.36363636363636" style="273" hidden="1" customWidth="1"/>
    <col min="29" max="29" width="17" style="273" hidden="1" customWidth="1"/>
    <col min="30" max="30" width="7.36363636363636" style="273" hidden="1" customWidth="1"/>
    <col min="31" max="31" width="17" style="273" hidden="1" customWidth="1"/>
    <col min="32" max="32" width="7.36363636363636" style="273" hidden="1" customWidth="1"/>
    <col min="33" max="33" width="17" style="273" customWidth="1"/>
    <col min="34" max="34" width="7.36363636363636" style="273" customWidth="1"/>
    <col min="35" max="35" width="2.54545454545455" style="273" customWidth="1"/>
    <col min="36" max="36" width="36.0909090909091" style="273" hidden="1" customWidth="1"/>
    <col min="37" max="37" width="46.1818181818182" style="273" customWidth="1"/>
    <col min="38" max="39" width="17" style="273" hidden="1" customWidth="1"/>
    <col min="40" max="40" width="7.36363636363636" style="273" hidden="1" customWidth="1"/>
    <col min="41" max="41" width="17" style="273" hidden="1" customWidth="1"/>
    <col min="42" max="42" width="7.36363636363636" style="273" hidden="1" customWidth="1"/>
    <col min="43" max="43" width="17" style="273" hidden="1" customWidth="1"/>
    <col min="44" max="44" width="0.181818181818182" style="273" hidden="1" customWidth="1"/>
    <col min="45" max="46" width="25.1818181818182" style="273" hidden="1" customWidth="1"/>
    <col min="47" max="47" width="17" style="273" hidden="1" customWidth="1"/>
    <col min="48" max="48" width="7.36363636363636" style="273" hidden="1" customWidth="1"/>
    <col min="49" max="49" width="10.8181818181818" style="273" hidden="1" customWidth="1"/>
    <col min="50" max="50" width="8.36363636363636" style="273" hidden="1" customWidth="1"/>
    <col min="51" max="51" width="12" style="273" hidden="1" customWidth="1"/>
    <col min="52" max="52" width="8.36363636363636" style="273" hidden="1" customWidth="1"/>
    <col min="53" max="53" width="17" style="273" hidden="1" customWidth="1"/>
    <col min="54" max="54" width="7.36363636363636" style="273" hidden="1" customWidth="1"/>
    <col min="55" max="55" width="17" style="273" hidden="1" customWidth="1"/>
    <col min="56" max="56" width="7.36363636363636" style="273" hidden="1" customWidth="1"/>
    <col min="57" max="57" width="17" style="273" hidden="1" customWidth="1"/>
    <col min="58" max="58" width="7.36363636363636" style="273" hidden="1" customWidth="1"/>
    <col min="59" max="59" width="17" style="273" hidden="1" customWidth="1"/>
    <col min="60" max="60" width="7.36363636363636" style="273" hidden="1" customWidth="1"/>
    <col min="61" max="61" width="17" style="273" hidden="1" customWidth="1"/>
    <col min="62" max="62" width="7.36363636363636" style="273" hidden="1" customWidth="1"/>
    <col min="63" max="63" width="17" style="273" hidden="1" customWidth="1"/>
    <col min="64" max="64" width="7.36363636363636" style="273" hidden="1" customWidth="1"/>
    <col min="65" max="65" width="17" style="273" hidden="1" customWidth="1"/>
    <col min="66" max="66" width="7.36363636363636" style="273" hidden="1" customWidth="1"/>
    <col min="67" max="67" width="17" style="273" customWidth="1"/>
    <col min="68" max="68" width="7.36363636363636" style="273" customWidth="1"/>
    <col min="69" max="69" width="2.54545454545455" style="273" customWidth="1"/>
    <col min="70" max="70" width="45.4545454545455" style="273" customWidth="1"/>
    <col min="71" max="71" width="47.1818181818182" style="273" hidden="1" customWidth="1"/>
    <col min="72" max="73" width="17" style="273" hidden="1" customWidth="1"/>
    <col min="74" max="74" width="7.36363636363636" style="273" hidden="1" customWidth="1"/>
    <col min="75" max="75" width="17" style="273" hidden="1" customWidth="1"/>
    <col min="76" max="76" width="7.36363636363636" style="273" hidden="1" customWidth="1"/>
    <col min="77" max="77" width="17" style="273" hidden="1" customWidth="1"/>
    <col min="78" max="78" width="7.36363636363636" style="273" hidden="1" customWidth="1"/>
    <col min="79" max="79" width="17" style="273" hidden="1" customWidth="1"/>
    <col min="80" max="80" width="7.36363636363636" style="273" hidden="1" customWidth="1"/>
    <col min="81" max="81" width="17" style="273" hidden="1" customWidth="1"/>
    <col min="82" max="82" width="7.36363636363636" style="273" hidden="1" customWidth="1"/>
    <col min="83" max="83" width="12" style="273" hidden="1" customWidth="1"/>
    <col min="84" max="84" width="8.36363636363636" style="273" hidden="1" customWidth="1"/>
    <col min="85" max="85" width="12" style="273" hidden="1" customWidth="1"/>
    <col min="86" max="86" width="8.36363636363636" style="273" hidden="1" customWidth="1"/>
    <col min="87" max="87" width="17" style="273" hidden="1" customWidth="1"/>
    <col min="88" max="88" width="7.36363636363636" style="273" hidden="1" customWidth="1"/>
    <col min="89" max="89" width="17" style="273" hidden="1" customWidth="1"/>
    <col min="90" max="90" width="7.36363636363636" style="273" hidden="1" customWidth="1"/>
    <col min="91" max="91" width="17" style="273" hidden="1" customWidth="1"/>
    <col min="92" max="92" width="7.36363636363636" style="273" hidden="1" customWidth="1"/>
    <col min="93" max="93" width="17" style="273" hidden="1" customWidth="1"/>
    <col min="94" max="94" width="7.36363636363636" style="273" hidden="1" customWidth="1"/>
    <col min="95" max="95" width="17" style="273" hidden="1" customWidth="1"/>
    <col min="96" max="96" width="7.36363636363636" style="273" hidden="1" customWidth="1"/>
    <col min="97" max="97" width="17" style="273" hidden="1" customWidth="1"/>
    <col min="98" max="98" width="7.36363636363636" style="273" hidden="1" customWidth="1"/>
    <col min="99" max="99" width="17" style="273" hidden="1" customWidth="1"/>
    <col min="100" max="100" width="7.36363636363636" style="273" hidden="1" customWidth="1"/>
    <col min="101" max="101" width="12.1818181818182" style="273" customWidth="1"/>
    <col min="102" max="102" width="7.81818181818182" style="273" customWidth="1"/>
    <col min="103" max="103" width="2.54545454545455" style="273" customWidth="1"/>
    <col min="104" max="104" width="33.9090909090909" style="273" customWidth="1"/>
    <col min="105" max="105" width="47.1818181818182" style="273" hidden="1" customWidth="1"/>
    <col min="106" max="106" width="10.4545454545455" style="273" hidden="1" customWidth="1"/>
    <col min="107" max="107" width="17" style="273" hidden="1" customWidth="1"/>
    <col min="108" max="108" width="7.36363636363636" style="273" hidden="1" customWidth="1"/>
    <col min="109" max="109" width="17" style="273" hidden="1" customWidth="1"/>
    <col min="110" max="110" width="7.36363636363636" style="273" hidden="1" customWidth="1"/>
    <col min="111" max="111" width="17" style="273" hidden="1" customWidth="1"/>
    <col min="112" max="112" width="7.36363636363636" style="273" hidden="1" customWidth="1"/>
    <col min="113" max="113" width="10.8181818181818" style="273" hidden="1" customWidth="1"/>
    <col min="114" max="114" width="8.36363636363636" style="273" hidden="1" customWidth="1"/>
    <col min="115" max="115" width="17" style="273" hidden="1" customWidth="1"/>
    <col min="116" max="116" width="7.36363636363636" style="273" hidden="1" customWidth="1"/>
    <col min="117" max="117" width="8.90909090909091" style="273" hidden="1" customWidth="1"/>
    <col min="118" max="118" width="8.36363636363636" style="273" hidden="1" customWidth="1"/>
    <col min="119" max="119" width="10.8181818181818" style="273" hidden="1" customWidth="1"/>
    <col min="120" max="120" width="8.36363636363636" style="273" hidden="1" customWidth="1"/>
    <col min="121" max="121" width="17" style="273" hidden="1" customWidth="1"/>
    <col min="122" max="122" width="7.36363636363636" style="273" hidden="1" customWidth="1"/>
    <col min="123" max="123" width="17" style="273" hidden="1" customWidth="1"/>
    <col min="124" max="124" width="7.36363636363636" style="273" hidden="1" customWidth="1"/>
    <col min="125" max="125" width="17" style="273" hidden="1" customWidth="1"/>
    <col min="126" max="126" width="7.36363636363636" style="273" hidden="1" customWidth="1"/>
    <col min="127" max="127" width="17" style="273" hidden="1" customWidth="1"/>
    <col min="128" max="128" width="7.36363636363636" style="273" hidden="1" customWidth="1"/>
    <col min="129" max="129" width="17" style="273" hidden="1" customWidth="1"/>
    <col min="130" max="130" width="7.36363636363636" style="273" hidden="1" customWidth="1"/>
    <col min="131" max="131" width="17" style="273" hidden="1" customWidth="1"/>
    <col min="132" max="132" width="7.36363636363636" style="273" hidden="1" customWidth="1"/>
    <col min="133" max="133" width="17" style="273" hidden="1" customWidth="1"/>
    <col min="134" max="134" width="7.36363636363636" style="273" hidden="1" customWidth="1"/>
    <col min="135" max="135" width="17" style="273" customWidth="1"/>
    <col min="136" max="136" width="7.36363636363636" style="273" customWidth="1"/>
    <col min="137" max="137" width="2.54545454545455" style="273" customWidth="1"/>
    <col min="138" max="138" width="47.1818181818182" style="273" customWidth="1"/>
    <col min="139" max="139" width="47.1818181818182" style="273" hidden="1" customWidth="1"/>
    <col min="140" max="141" width="17" style="273" hidden="1" customWidth="1"/>
    <col min="142" max="142" width="7.36363636363636" style="273" hidden="1" customWidth="1"/>
    <col min="143" max="143" width="17" style="273" hidden="1" customWidth="1"/>
    <col min="144" max="144" width="7.36363636363636" style="273" hidden="1" customWidth="1"/>
    <col min="145" max="145" width="17" style="273" hidden="1" customWidth="1"/>
    <col min="146" max="146" width="7.36363636363636" style="273" hidden="1" customWidth="1"/>
    <col min="147" max="147" width="17" style="273" hidden="1" customWidth="1"/>
    <col min="148" max="148" width="7.36363636363636" style="273" hidden="1" customWidth="1"/>
    <col min="149" max="149" width="10.8181818181818" style="273" hidden="1" customWidth="1"/>
    <col min="150" max="150" width="8.54545454545454" style="273" hidden="1" customWidth="1"/>
    <col min="151" max="151" width="12" style="273" hidden="1" customWidth="1"/>
    <col min="152" max="152" width="8.36363636363636" style="273" hidden="1" customWidth="1"/>
    <col min="153" max="153" width="12" style="273" hidden="1" customWidth="1"/>
    <col min="154" max="154" width="8.36363636363636" style="273" hidden="1" customWidth="1"/>
    <col min="155" max="155" width="17" style="273" hidden="1" customWidth="1"/>
    <col min="156" max="156" width="7.36363636363636" style="273" hidden="1" customWidth="1"/>
    <col min="157" max="157" width="17" style="273" hidden="1" customWidth="1"/>
    <col min="158" max="158" width="7.36363636363636" style="273" hidden="1" customWidth="1"/>
    <col min="159" max="159" width="17" style="273" hidden="1" customWidth="1"/>
    <col min="160" max="160" width="7.36363636363636" style="273" hidden="1" customWidth="1"/>
    <col min="161" max="161" width="17" style="273" hidden="1" customWidth="1"/>
    <col min="162" max="162" width="7.36363636363636" style="273" hidden="1" customWidth="1"/>
    <col min="163" max="163" width="17" style="273" hidden="1" customWidth="1"/>
    <col min="164" max="164" width="7.36363636363636" style="273" hidden="1" customWidth="1"/>
    <col min="165" max="165" width="17" style="273" hidden="1" customWidth="1"/>
    <col min="166" max="166" width="7.36363636363636" style="273" hidden="1" customWidth="1"/>
    <col min="167" max="167" width="17" style="273" hidden="1" customWidth="1"/>
    <col min="168" max="168" width="7.36363636363636" style="273" hidden="1" customWidth="1"/>
    <col min="169" max="169" width="17" style="273" customWidth="1"/>
    <col min="170" max="170" width="7.36363636363636" style="273" customWidth="1"/>
    <col min="171" max="171" width="2.54545454545455" style="273" customWidth="1"/>
    <col min="172" max="172" width="47.1818181818182" style="273" customWidth="1"/>
    <col min="173" max="173" width="47.1818181818182" style="273" hidden="1" customWidth="1"/>
    <col min="174" max="175" width="17" style="273" hidden="1" customWidth="1"/>
    <col min="176" max="176" width="7.36363636363636" style="273" hidden="1" customWidth="1"/>
    <col min="177" max="177" width="17" style="273" hidden="1" customWidth="1"/>
    <col min="178" max="178" width="7.36363636363636" style="273" hidden="1" customWidth="1"/>
    <col min="179" max="179" width="17" style="273" hidden="1" customWidth="1"/>
    <col min="180" max="180" width="7.36363636363636" style="273" hidden="1" customWidth="1"/>
    <col min="181" max="181" width="17" style="273" hidden="1" customWidth="1"/>
    <col min="182" max="182" width="7.36363636363636" style="273" hidden="1" customWidth="1"/>
    <col min="183" max="183" width="17" style="273" hidden="1" customWidth="1"/>
    <col min="184" max="184" width="7.36363636363636" style="273" hidden="1" customWidth="1"/>
    <col min="185" max="185" width="10.8181818181818" style="273" hidden="1" customWidth="1"/>
    <col min="186" max="186" width="8.36363636363636" style="273" hidden="1" customWidth="1"/>
    <col min="187" max="187" width="10.8181818181818" style="273" hidden="1" customWidth="1"/>
    <col min="188" max="188" width="8.36363636363636" style="273" hidden="1" customWidth="1"/>
    <col min="189" max="189" width="17" style="273" hidden="1" customWidth="1"/>
    <col min="190" max="190" width="7.36363636363636" style="273" hidden="1" customWidth="1"/>
    <col min="191" max="191" width="17" style="273" hidden="1" customWidth="1"/>
    <col min="192" max="192" width="7.36363636363636" style="273" hidden="1" customWidth="1"/>
    <col min="193" max="193" width="17" style="273" hidden="1" customWidth="1"/>
    <col min="194" max="194" width="0.181818181818182" style="273" hidden="1" customWidth="1"/>
    <col min="195" max="195" width="17" style="273" hidden="1" customWidth="1"/>
    <col min="196" max="196" width="7.36363636363636" style="273" hidden="1" customWidth="1"/>
    <col min="197" max="197" width="17" style="273" hidden="1" customWidth="1"/>
    <col min="198" max="198" width="7.36363636363636" style="273" hidden="1" customWidth="1"/>
    <col min="199" max="199" width="17" style="273" hidden="1" customWidth="1"/>
    <col min="200" max="200" width="7.36363636363636" style="273" hidden="1" customWidth="1"/>
    <col min="201" max="201" width="17" style="273" hidden="1" customWidth="1"/>
    <col min="202" max="202" width="7.36363636363636" style="273" hidden="1" customWidth="1"/>
    <col min="203" max="203" width="17" style="273" customWidth="1"/>
    <col min="204" max="204" width="7.36363636363636" style="273" customWidth="1"/>
    <col min="205" max="205" width="2.54545454545455" style="273" customWidth="1"/>
    <col min="206" max="206" width="47.1818181818182" style="273" customWidth="1"/>
    <col min="207" max="207" width="47.1818181818182" style="273" hidden="1" customWidth="1"/>
    <col min="208" max="209" width="11.6363636363636" style="273" hidden="1" customWidth="1"/>
    <col min="210" max="210" width="8.09090909090909" style="273" hidden="1" customWidth="1"/>
    <col min="211" max="211" width="11.6363636363636" style="273" hidden="1" customWidth="1"/>
    <col min="212" max="212" width="8.09090909090909" style="273" hidden="1" customWidth="1"/>
    <col min="213" max="213" width="11.6363636363636" style="273" hidden="1" customWidth="1"/>
    <col min="214" max="214" width="8.09090909090909" style="273" hidden="1" customWidth="1"/>
    <col min="215" max="215" width="11.6363636363636" style="273" hidden="1" customWidth="1"/>
    <col min="216" max="216" width="8.09090909090909" style="273" hidden="1" customWidth="1"/>
    <col min="217" max="217" width="12" style="273" hidden="1" customWidth="1"/>
    <col min="218" max="218" width="8.09090909090909" style="273" hidden="1" customWidth="1"/>
    <col min="219" max="219" width="12" style="273" hidden="1" customWidth="1"/>
    <col min="220" max="220" width="8.81818181818182" style="273" hidden="1" customWidth="1"/>
    <col min="221" max="221" width="14.4545454545455" style="273" hidden="1" customWidth="1"/>
    <col min="222" max="222" width="8.36363636363636" style="273" hidden="1" customWidth="1"/>
    <col min="223" max="223" width="17" style="273" hidden="1" customWidth="1"/>
    <col min="224" max="224" width="9.36363636363636" style="273" hidden="1" customWidth="1"/>
    <col min="225" max="225" width="17" style="273" hidden="1" customWidth="1"/>
    <col min="226" max="226" width="9.36363636363636" style="273" hidden="1" customWidth="1"/>
    <col min="227" max="227" width="17" style="273" hidden="1" customWidth="1"/>
    <col min="228" max="228" width="9.36363636363636" style="273" hidden="1" customWidth="1"/>
    <col min="229" max="229" width="17" style="273" hidden="1" customWidth="1"/>
    <col min="230" max="230" width="9.36363636363636" style="273" hidden="1" customWidth="1"/>
    <col min="231" max="231" width="17" style="273" hidden="1" customWidth="1"/>
    <col min="232" max="232" width="9.36363636363636" style="273" hidden="1" customWidth="1"/>
    <col min="233" max="233" width="17" style="273" hidden="1" customWidth="1"/>
    <col min="234" max="234" width="9.36363636363636" style="273" hidden="1" customWidth="1"/>
    <col min="235" max="235" width="17" style="273" hidden="1" customWidth="1"/>
    <col min="236" max="236" width="9.36363636363636" style="273" hidden="1" customWidth="1"/>
    <col min="237" max="237" width="17" style="273" customWidth="1"/>
    <col min="238" max="238" width="9.36363636363636" style="273" customWidth="1"/>
    <col min="239" max="239" width="2.54545454545455" style="273" customWidth="1"/>
    <col min="240" max="240" width="47.1818181818182" style="273" customWidth="1"/>
    <col min="241" max="241" width="47.1818181818182" style="273" hidden="1" customWidth="1"/>
    <col min="242" max="242" width="9.81818181818182" style="273" hidden="1" customWidth="1"/>
    <col min="243" max="243" width="17" style="273" hidden="1" customWidth="1"/>
    <col min="244" max="244" width="7.36363636363636" style="273" hidden="1" customWidth="1"/>
    <col min="245" max="245" width="17" style="273" hidden="1" customWidth="1"/>
    <col min="246" max="246" width="7.36363636363636" style="273" hidden="1" customWidth="1"/>
    <col min="247" max="247" width="17" style="273" hidden="1" customWidth="1"/>
    <col min="248" max="248" width="7.36363636363636" style="273" hidden="1" customWidth="1"/>
    <col min="249" max="249" width="17" style="273" hidden="1" customWidth="1"/>
    <col min="250" max="250" width="7.36363636363636" style="273" hidden="1" customWidth="1"/>
    <col min="251" max="251" width="17" style="273" hidden="1" customWidth="1"/>
    <col min="252" max="252" width="7.36363636363636" style="273" hidden="1" customWidth="1"/>
    <col min="253" max="253" width="12" style="273" hidden="1" customWidth="1"/>
    <col min="254" max="254" width="8.36363636363636" style="273" hidden="1" customWidth="1"/>
    <col min="255" max="255" width="12" style="273" hidden="1" customWidth="1"/>
    <col min="256" max="256" width="8.36363636363636" style="273" hidden="1" customWidth="1"/>
    <col min="257" max="257" width="17" style="273" hidden="1" customWidth="1"/>
    <col min="258" max="258" width="8.54545454545454" style="273" hidden="1" customWidth="1"/>
    <col min="259" max="259" width="17" style="273" hidden="1" customWidth="1"/>
    <col min="260" max="260" width="8.81818181818182" style="273" hidden="1" customWidth="1"/>
    <col min="261" max="261" width="17" style="273" hidden="1" customWidth="1"/>
    <col min="262" max="262" width="8.81818181818182" style="273" hidden="1" customWidth="1"/>
    <col min="263" max="263" width="17" style="273" hidden="1" customWidth="1"/>
    <col min="264" max="264" width="8.81818181818182" style="273" hidden="1" customWidth="1"/>
    <col min="265" max="265" width="17" style="273" hidden="1" customWidth="1"/>
    <col min="266" max="266" width="8.81818181818182" style="273" hidden="1" customWidth="1"/>
    <col min="267" max="267" width="17" style="273" hidden="1" customWidth="1"/>
    <col min="268" max="268" width="8.81818181818182" style="273" hidden="1" customWidth="1"/>
    <col min="269" max="269" width="17" style="273" hidden="1" customWidth="1"/>
    <col min="270" max="270" width="8.81818181818182" style="273" hidden="1" customWidth="1"/>
    <col min="271" max="271" width="17" style="273" customWidth="1"/>
    <col min="272" max="272" width="8.81818181818182" style="273" customWidth="1"/>
    <col min="273" max="273" width="2.54545454545455" style="273" customWidth="1"/>
    <col min="274" max="274" width="47.1818181818182" style="273" hidden="1" customWidth="1"/>
    <col min="275" max="275" width="47.1818181818182" style="273" customWidth="1"/>
    <col min="276" max="276" width="47.1818181818182" style="273" hidden="1" customWidth="1"/>
    <col min="277" max="282" width="17" style="273" hidden="1" customWidth="1"/>
    <col min="283" max="284" width="14.0909090909091" style="273" hidden="1" customWidth="1"/>
    <col min="285" max="291" width="17" style="273" hidden="1" customWidth="1"/>
    <col min="292" max="292" width="17" style="273" customWidth="1"/>
    <col min="293" max="293" width="2.54545454545455" style="273" customWidth="1"/>
    <col min="294" max="294" width="47.1818181818182" style="273" hidden="1" customWidth="1"/>
    <col min="295" max="295" width="40.6363636363636" style="273" customWidth="1"/>
    <col min="296" max="301" width="17" style="273" hidden="1" customWidth="1"/>
    <col min="302" max="302" width="12" style="273" hidden="1" customWidth="1"/>
    <col min="303" max="303" width="0.0909090909090909" style="273" hidden="1" customWidth="1"/>
    <col min="304" max="305" width="13" style="273" hidden="1" customWidth="1"/>
    <col min="306" max="306" width="12.1818181818182" style="274" hidden="1" customWidth="1"/>
    <col min="307" max="310" width="15.1818181818182" style="274" hidden="1" customWidth="1"/>
    <col min="311" max="311" width="12" style="274" customWidth="1"/>
    <col min="312" max="16384" width="9.81818181818182" style="273"/>
  </cols>
  <sheetData>
    <row r="1" spans="2:272">
      <c r="B1" s="275" t="s">
        <v>275</v>
      </c>
      <c r="C1" s="275" t="s">
        <v>275</v>
      </c>
      <c r="D1" s="276"/>
      <c r="E1" s="277"/>
      <c r="F1" s="278"/>
      <c r="G1" s="277"/>
      <c r="H1" s="278"/>
      <c r="I1" s="277"/>
      <c r="J1" s="278"/>
      <c r="K1" s="277"/>
      <c r="L1" s="278"/>
      <c r="M1" s="277"/>
      <c r="N1" s="278"/>
      <c r="O1" s="277"/>
      <c r="P1" s="278"/>
      <c r="Q1" s="277"/>
      <c r="R1" s="278"/>
      <c r="S1" s="277"/>
      <c r="T1" s="278"/>
      <c r="U1" s="277"/>
      <c r="V1" s="278"/>
      <c r="W1" s="277"/>
      <c r="X1" s="278"/>
      <c r="Y1" s="277"/>
      <c r="Z1" s="278"/>
      <c r="AA1" s="277"/>
      <c r="AB1" s="278"/>
      <c r="AC1" s="277"/>
      <c r="AD1" s="278"/>
      <c r="AE1" s="277"/>
      <c r="AF1" s="278"/>
      <c r="AG1" s="276">
        <v>45658</v>
      </c>
      <c r="AH1" s="276"/>
      <c r="AJ1" s="275" t="s">
        <v>275</v>
      </c>
      <c r="AK1" s="275" t="s">
        <v>275</v>
      </c>
      <c r="AL1" s="276"/>
      <c r="AM1" s="277"/>
      <c r="AN1" s="278"/>
      <c r="AO1" s="277"/>
      <c r="AP1" s="278"/>
      <c r="AQ1" s="277"/>
      <c r="AR1" s="278"/>
      <c r="AS1" s="277"/>
      <c r="AT1" s="278"/>
      <c r="AU1" s="277"/>
      <c r="AV1" s="278"/>
      <c r="AW1" s="277"/>
      <c r="AX1" s="278"/>
      <c r="AY1" s="277"/>
      <c r="AZ1" s="278"/>
      <c r="BA1" s="277"/>
      <c r="BB1" s="278"/>
      <c r="BC1" s="277"/>
      <c r="BD1" s="278"/>
      <c r="BE1" s="277"/>
      <c r="BF1" s="278"/>
      <c r="BG1" s="277"/>
      <c r="BH1" s="278"/>
      <c r="BI1" s="277"/>
      <c r="BJ1" s="278"/>
      <c r="BK1" s="277"/>
      <c r="BL1" s="278"/>
      <c r="BM1" s="277"/>
      <c r="BN1" s="278"/>
      <c r="BO1" s="276">
        <v>45658</v>
      </c>
      <c r="BP1" s="276"/>
      <c r="BR1" s="275" t="s">
        <v>275</v>
      </c>
      <c r="BS1" s="275"/>
      <c r="BT1" s="276"/>
      <c r="BU1" s="276"/>
      <c r="BV1" s="276"/>
      <c r="BW1" s="276"/>
      <c r="BX1" s="276"/>
      <c r="BY1" s="276"/>
      <c r="BZ1" s="276"/>
      <c r="CA1" s="276"/>
      <c r="CB1" s="276"/>
      <c r="CC1" s="276"/>
      <c r="CD1" s="276"/>
      <c r="CE1" s="276"/>
      <c r="CF1" s="276"/>
      <c r="CG1" s="276"/>
      <c r="CH1" s="276"/>
      <c r="CI1" s="276"/>
      <c r="CJ1" s="276"/>
      <c r="CK1" s="276"/>
      <c r="CL1" s="276"/>
      <c r="CM1" s="276"/>
      <c r="CN1" s="276"/>
      <c r="CO1" s="276"/>
      <c r="CP1" s="276"/>
      <c r="CQ1" s="276"/>
      <c r="CR1" s="276"/>
      <c r="CS1" s="276"/>
      <c r="CT1" s="276"/>
      <c r="CU1" s="276"/>
      <c r="CV1" s="276"/>
      <c r="CW1" s="276">
        <f>BO1</f>
        <v>45658</v>
      </c>
      <c r="CX1" s="276"/>
      <c r="CZ1" s="275" t="s">
        <v>275</v>
      </c>
      <c r="DA1" s="275"/>
      <c r="DB1" s="276"/>
      <c r="DC1" s="276"/>
      <c r="DD1" s="276"/>
      <c r="DE1" s="276"/>
      <c r="DF1" s="276"/>
      <c r="DG1" s="276"/>
      <c r="DH1" s="276"/>
      <c r="DI1" s="276"/>
      <c r="DJ1" s="276"/>
      <c r="DK1" s="276"/>
      <c r="DL1" s="276"/>
      <c r="DM1" s="276"/>
      <c r="DN1" s="276"/>
      <c r="DO1" s="276"/>
      <c r="DP1" s="276"/>
      <c r="DQ1" s="276"/>
      <c r="DR1" s="276"/>
      <c r="DS1" s="276"/>
      <c r="DT1" s="276"/>
      <c r="DU1" s="276"/>
      <c r="DV1" s="276"/>
      <c r="DW1" s="276"/>
      <c r="DX1" s="276"/>
      <c r="DY1" s="276"/>
      <c r="DZ1" s="276"/>
      <c r="EA1" s="276"/>
      <c r="EB1" s="276"/>
      <c r="EC1" s="276"/>
      <c r="ED1" s="276"/>
      <c r="EE1" s="276">
        <v>45658</v>
      </c>
      <c r="EF1" s="276"/>
      <c r="EH1" s="275" t="s">
        <v>275</v>
      </c>
      <c r="EI1" s="275"/>
      <c r="EJ1" s="276"/>
      <c r="EK1" s="276"/>
      <c r="EL1" s="276"/>
      <c r="EM1" s="276"/>
      <c r="EN1" s="276"/>
      <c r="EO1" s="276"/>
      <c r="EP1" s="276"/>
      <c r="EQ1" s="276"/>
      <c r="ER1" s="276"/>
      <c r="ES1" s="276"/>
      <c r="ET1" s="276"/>
      <c r="EU1" s="276"/>
      <c r="EV1" s="276"/>
      <c r="EW1" s="276"/>
      <c r="EX1" s="276"/>
      <c r="EY1" s="276"/>
      <c r="EZ1" s="276"/>
      <c r="FA1" s="276"/>
      <c r="FB1" s="276"/>
      <c r="FC1" s="276"/>
      <c r="FD1" s="276"/>
      <c r="FE1" s="276"/>
      <c r="FF1" s="276"/>
      <c r="FG1" s="276"/>
      <c r="FH1" s="276"/>
      <c r="FI1" s="276"/>
      <c r="FJ1" s="276"/>
      <c r="FK1" s="276"/>
      <c r="FL1" s="276"/>
      <c r="FM1" s="276">
        <f>EE1</f>
        <v>45658</v>
      </c>
      <c r="FN1" s="276"/>
      <c r="FP1" s="275" t="s">
        <v>275</v>
      </c>
      <c r="FQ1" s="275"/>
      <c r="FR1" s="276"/>
      <c r="FS1" s="276"/>
      <c r="FT1" s="276"/>
      <c r="FU1" s="276"/>
      <c r="FV1" s="276"/>
      <c r="FW1" s="276"/>
      <c r="FX1" s="276"/>
      <c r="FY1" s="276"/>
      <c r="FZ1" s="276"/>
      <c r="GA1" s="276"/>
      <c r="GB1" s="276"/>
      <c r="GC1" s="276"/>
      <c r="GD1" s="276"/>
      <c r="GE1" s="276"/>
      <c r="GF1" s="276"/>
      <c r="GG1" s="276"/>
      <c r="GH1" s="276"/>
      <c r="GI1" s="276"/>
      <c r="GJ1" s="276"/>
      <c r="GK1" s="276"/>
      <c r="GL1" s="276"/>
      <c r="GM1" s="276"/>
      <c r="GN1" s="276"/>
      <c r="GO1" s="276"/>
      <c r="GP1" s="276"/>
      <c r="GQ1" s="276"/>
      <c r="GR1" s="276"/>
      <c r="GS1" s="276"/>
      <c r="GT1" s="276"/>
      <c r="GU1" s="276">
        <f>FM1</f>
        <v>45658</v>
      </c>
      <c r="GV1" s="276"/>
      <c r="GX1" s="275" t="s">
        <v>275</v>
      </c>
      <c r="GY1" s="275"/>
      <c r="GZ1" s="276"/>
      <c r="HA1" s="276"/>
      <c r="HB1" s="276"/>
      <c r="HC1" s="276"/>
      <c r="HD1" s="276"/>
      <c r="HE1" s="276"/>
      <c r="HF1" s="276"/>
      <c r="HG1" s="276"/>
      <c r="HH1" s="276"/>
      <c r="HI1" s="276"/>
      <c r="HJ1" s="276"/>
      <c r="HK1" s="276"/>
      <c r="HL1" s="276"/>
      <c r="HM1" s="276"/>
      <c r="HN1" s="276"/>
      <c r="HO1" s="276"/>
      <c r="HP1" s="276"/>
      <c r="HQ1" s="276"/>
      <c r="HR1" s="276"/>
      <c r="HS1" s="276"/>
      <c r="HT1" s="276"/>
      <c r="HU1" s="276"/>
      <c r="HV1" s="276"/>
      <c r="HW1" s="276"/>
      <c r="HX1" s="276"/>
      <c r="HY1" s="276"/>
      <c r="HZ1" s="276"/>
      <c r="IA1" s="276"/>
      <c r="IB1" s="276"/>
      <c r="IC1" s="276">
        <f>GU1</f>
        <v>45658</v>
      </c>
      <c r="ID1" s="276"/>
      <c r="IF1" s="275" t="s">
        <v>275</v>
      </c>
      <c r="IG1" s="275"/>
      <c r="IH1" s="276"/>
      <c r="II1" s="276"/>
      <c r="IJ1" s="276"/>
      <c r="IK1" s="276"/>
      <c r="IL1" s="276"/>
      <c r="IM1" s="276"/>
      <c r="IN1" s="276"/>
      <c r="IO1" s="276"/>
      <c r="IP1" s="276"/>
      <c r="IQ1" s="276"/>
      <c r="IR1" s="276"/>
      <c r="IS1" s="276"/>
      <c r="IT1" s="276"/>
      <c r="IU1" s="276"/>
      <c r="IV1" s="276"/>
      <c r="IW1" s="276"/>
      <c r="IX1" s="276"/>
      <c r="IY1" s="276"/>
      <c r="IZ1" s="276"/>
      <c r="JA1" s="276"/>
      <c r="JB1" s="276"/>
      <c r="JC1" s="276"/>
      <c r="JD1" s="276"/>
      <c r="JE1" s="276"/>
      <c r="JF1" s="276"/>
      <c r="JG1" s="276"/>
      <c r="JH1" s="276"/>
      <c r="JI1" s="276"/>
      <c r="JJ1" s="276"/>
      <c r="JK1" s="276">
        <f>GU1</f>
        <v>45658</v>
      </c>
      <c r="JL1" s="276"/>
    </row>
    <row r="2" spans="2:276">
      <c r="B2" s="279" t="s">
        <v>447</v>
      </c>
      <c r="C2" s="279" t="s">
        <v>447</v>
      </c>
      <c r="D2" s="280"/>
      <c r="E2" s="281"/>
      <c r="F2" s="282"/>
      <c r="G2" s="281"/>
      <c r="H2" s="282"/>
      <c r="I2" s="281"/>
      <c r="J2" s="282"/>
      <c r="K2" s="281"/>
      <c r="L2" s="282"/>
      <c r="M2" s="281"/>
      <c r="N2" s="282"/>
      <c r="O2" s="281"/>
      <c r="P2" s="282"/>
      <c r="Q2" s="281"/>
      <c r="R2" s="282"/>
      <c r="S2" s="281"/>
      <c r="T2" s="282"/>
      <c r="U2" s="281"/>
      <c r="V2" s="282"/>
      <c r="W2" s="281"/>
      <c r="X2" s="282"/>
      <c r="Y2" s="281"/>
      <c r="Z2" s="282"/>
      <c r="AA2" s="281"/>
      <c r="AB2" s="282"/>
      <c r="AC2" s="281"/>
      <c r="AD2" s="282"/>
      <c r="AE2" s="281"/>
      <c r="AF2" s="282"/>
      <c r="AG2" s="281">
        <f>'[1]Product &amp; stock detail -Dec-24'!C5</f>
        <v>22154.88</v>
      </c>
      <c r="AH2" s="282"/>
      <c r="AI2" s="305"/>
      <c r="AJ2" s="306" t="s">
        <v>447</v>
      </c>
      <c r="AK2" s="306" t="s">
        <v>447</v>
      </c>
      <c r="AL2" s="307"/>
      <c r="AM2" s="308"/>
      <c r="AN2" s="309"/>
      <c r="AO2" s="308"/>
      <c r="AP2" s="309"/>
      <c r="AQ2" s="308"/>
      <c r="AR2" s="309"/>
      <c r="AS2" s="308"/>
      <c r="AT2" s="309"/>
      <c r="AU2" s="308"/>
      <c r="AV2" s="309"/>
      <c r="AW2" s="308"/>
      <c r="AX2" s="309"/>
      <c r="AY2" s="308"/>
      <c r="AZ2" s="309"/>
      <c r="BA2" s="308"/>
      <c r="BB2" s="309"/>
      <c r="BC2" s="308"/>
      <c r="BD2" s="309"/>
      <c r="BE2" s="308"/>
      <c r="BF2" s="309"/>
      <c r="BG2" s="308"/>
      <c r="BH2" s="309"/>
      <c r="BI2" s="308"/>
      <c r="BJ2" s="309"/>
      <c r="BK2" s="308"/>
      <c r="BL2" s="309"/>
      <c r="BM2" s="308"/>
      <c r="BN2" s="309"/>
      <c r="BO2" s="308">
        <v>0</v>
      </c>
      <c r="BP2" s="309"/>
      <c r="BQ2" s="305"/>
      <c r="BR2" s="315" t="s">
        <v>447</v>
      </c>
      <c r="BS2" s="315"/>
      <c r="BT2" s="316"/>
      <c r="BU2" s="324"/>
      <c r="BV2" s="324"/>
      <c r="BW2" s="324"/>
      <c r="BX2" s="324"/>
      <c r="BY2" s="324"/>
      <c r="BZ2" s="324"/>
      <c r="CA2" s="324"/>
      <c r="CB2" s="324"/>
      <c r="CC2" s="324"/>
      <c r="CD2" s="324"/>
      <c r="CE2" s="324"/>
      <c r="CF2" s="324"/>
      <c r="CG2" s="324"/>
      <c r="CH2" s="324"/>
      <c r="CI2" s="324"/>
      <c r="CJ2" s="324"/>
      <c r="CK2" s="324"/>
      <c r="CL2" s="324"/>
      <c r="CM2" s="324"/>
      <c r="CN2" s="324"/>
      <c r="CO2" s="324"/>
      <c r="CP2" s="324"/>
      <c r="CQ2" s="324"/>
      <c r="CR2" s="324"/>
      <c r="CS2" s="324"/>
      <c r="CT2" s="324"/>
      <c r="CU2" s="324"/>
      <c r="CV2" s="324"/>
      <c r="CW2" s="324">
        <v>31283.68</v>
      </c>
      <c r="CX2" s="324"/>
      <c r="CY2" s="305"/>
      <c r="CZ2" s="337" t="s">
        <v>447</v>
      </c>
      <c r="DA2" s="337"/>
      <c r="DB2" s="339"/>
      <c r="DC2" s="340"/>
      <c r="DD2" s="340"/>
      <c r="DE2" s="340"/>
      <c r="DF2" s="340"/>
      <c r="DG2" s="340"/>
      <c r="DH2" s="340"/>
      <c r="DI2" s="340"/>
      <c r="DJ2" s="340"/>
      <c r="DK2" s="340"/>
      <c r="DL2" s="340"/>
      <c r="DM2" s="340"/>
      <c r="DN2" s="340"/>
      <c r="DO2" s="340"/>
      <c r="DP2" s="340"/>
      <c r="DQ2" s="340"/>
      <c r="DR2" s="340"/>
      <c r="DS2" s="340"/>
      <c r="DT2" s="340"/>
      <c r="DU2" s="340"/>
      <c r="DV2" s="340"/>
      <c r="DW2" s="340"/>
      <c r="DX2" s="340"/>
      <c r="DY2" s="340"/>
      <c r="DZ2" s="340"/>
      <c r="EA2" s="340"/>
      <c r="EB2" s="340"/>
      <c r="EC2" s="340"/>
      <c r="ED2" s="340"/>
      <c r="EE2" s="340">
        <f>BO2</f>
        <v>0</v>
      </c>
      <c r="EF2" s="340"/>
      <c r="EG2" s="305"/>
      <c r="EH2" s="347" t="s">
        <v>448</v>
      </c>
      <c r="EI2" s="347"/>
      <c r="EJ2" s="348"/>
      <c r="EK2" s="349"/>
      <c r="EL2" s="349"/>
      <c r="EM2" s="349"/>
      <c r="EN2" s="349"/>
      <c r="EO2" s="349"/>
      <c r="EP2" s="349"/>
      <c r="EQ2" s="349"/>
      <c r="ER2" s="349"/>
      <c r="ES2" s="349"/>
      <c r="ET2" s="349"/>
      <c r="EU2" s="349"/>
      <c r="EV2" s="349"/>
      <c r="EW2" s="349"/>
      <c r="EX2" s="349"/>
      <c r="EY2" s="349"/>
      <c r="EZ2" s="349"/>
      <c r="FA2" s="349"/>
      <c r="FB2" s="349"/>
      <c r="FC2" s="349"/>
      <c r="FD2" s="349"/>
      <c r="FE2" s="349"/>
      <c r="FF2" s="349"/>
      <c r="FG2" s="349"/>
      <c r="FH2" s="349"/>
      <c r="FI2" s="349"/>
      <c r="FJ2" s="349"/>
      <c r="FK2" s="349"/>
      <c r="FL2" s="349"/>
      <c r="FM2" s="349">
        <f>'Product &amp; stock detail -Jan-25'!E5</f>
        <v>22987.47</v>
      </c>
      <c r="FN2" s="349"/>
      <c r="FO2" s="305"/>
      <c r="FP2" s="358" t="s">
        <v>448</v>
      </c>
      <c r="FQ2" s="358"/>
      <c r="FR2" s="359"/>
      <c r="FS2" s="360"/>
      <c r="FT2" s="360"/>
      <c r="FU2" s="360"/>
      <c r="FV2" s="360"/>
      <c r="FW2" s="360"/>
      <c r="FX2" s="360"/>
      <c r="FY2" s="360"/>
      <c r="FZ2" s="360"/>
      <c r="GA2" s="360"/>
      <c r="GB2" s="360"/>
      <c r="GC2" s="360"/>
      <c r="GD2" s="360"/>
      <c r="GE2" s="360"/>
      <c r="GF2" s="360"/>
      <c r="GG2" s="360"/>
      <c r="GH2" s="360"/>
      <c r="GI2" s="360"/>
      <c r="GJ2" s="360"/>
      <c r="GK2" s="360"/>
      <c r="GL2" s="360"/>
      <c r="GM2" s="360"/>
      <c r="GN2" s="360"/>
      <c r="GO2" s="360"/>
      <c r="GP2" s="360"/>
      <c r="GQ2" s="360"/>
      <c r="GR2" s="360"/>
      <c r="GS2" s="360"/>
      <c r="GT2" s="360"/>
      <c r="GU2" s="360">
        <f>FM2</f>
        <v>22987.47</v>
      </c>
      <c r="GV2" s="360"/>
      <c r="GW2" s="305"/>
      <c r="GX2" s="368" t="s">
        <v>448</v>
      </c>
      <c r="GY2" s="368"/>
      <c r="GZ2" s="369"/>
      <c r="HA2" s="372"/>
      <c r="HB2" s="372"/>
      <c r="HC2" s="372"/>
      <c r="HD2" s="372"/>
      <c r="HE2" s="372"/>
      <c r="HF2" s="372"/>
      <c r="HG2" s="372"/>
      <c r="HH2" s="372"/>
      <c r="HI2" s="372"/>
      <c r="HJ2" s="372"/>
      <c r="HK2" s="372"/>
      <c r="HL2" s="372"/>
      <c r="HM2" s="372"/>
      <c r="HN2" s="372"/>
      <c r="HO2" s="372"/>
      <c r="HP2" s="372"/>
      <c r="HQ2" s="372"/>
      <c r="HR2" s="372"/>
      <c r="HS2" s="372"/>
      <c r="HT2" s="372"/>
      <c r="HU2" s="372"/>
      <c r="HV2" s="372"/>
      <c r="HW2" s="372"/>
      <c r="HX2" s="372"/>
      <c r="HY2" s="372"/>
      <c r="HZ2" s="372"/>
      <c r="IA2" s="372"/>
      <c r="IB2" s="372"/>
      <c r="IC2" s="372">
        <f>'Product &amp; stock detail -Jan-25'!F5</f>
        <v>47137.05</v>
      </c>
      <c r="ID2" s="372"/>
      <c r="IF2" s="368" t="s">
        <v>448</v>
      </c>
      <c r="IG2" s="368"/>
      <c r="IH2" s="369"/>
      <c r="II2" s="372"/>
      <c r="IJ2" s="372"/>
      <c r="IK2" s="372"/>
      <c r="IL2" s="372"/>
      <c r="IM2" s="372"/>
      <c r="IN2" s="372"/>
      <c r="IO2" s="372"/>
      <c r="IP2" s="372"/>
      <c r="IQ2" s="372"/>
      <c r="IR2" s="372"/>
      <c r="IS2" s="372"/>
      <c r="IT2" s="372"/>
      <c r="IU2" s="372"/>
      <c r="IV2" s="372"/>
      <c r="IW2" s="372"/>
      <c r="IX2" s="372"/>
      <c r="IY2" s="372"/>
      <c r="IZ2" s="372"/>
      <c r="JA2" s="372"/>
      <c r="JB2" s="372"/>
      <c r="JC2" s="372"/>
      <c r="JD2" s="372"/>
      <c r="JE2" s="372"/>
      <c r="JF2" s="372"/>
      <c r="JG2" s="372"/>
      <c r="JH2" s="372"/>
      <c r="JI2" s="372"/>
      <c r="JJ2" s="372"/>
      <c r="JK2" s="372">
        <f>IC2</f>
        <v>47137.05</v>
      </c>
      <c r="JL2" s="372"/>
      <c r="JN2" s="346"/>
      <c r="JO2" s="346"/>
      <c r="JP2" s="346"/>
    </row>
    <row r="3" spans="2:277">
      <c r="B3" s="279" t="s">
        <v>449</v>
      </c>
      <c r="C3" s="279" t="s">
        <v>449</v>
      </c>
      <c r="D3" s="280"/>
      <c r="E3" s="283"/>
      <c r="F3" s="284"/>
      <c r="G3" s="281"/>
      <c r="H3" s="282"/>
      <c r="I3" s="281"/>
      <c r="J3" s="282"/>
      <c r="K3" s="281"/>
      <c r="L3" s="282"/>
      <c r="M3" s="281"/>
      <c r="N3" s="282"/>
      <c r="O3" s="281"/>
      <c r="P3" s="282"/>
      <c r="Q3" s="281"/>
      <c r="R3" s="282"/>
      <c r="S3" s="281"/>
      <c r="T3" s="282"/>
      <c r="U3" s="281"/>
      <c r="V3" s="282"/>
      <c r="W3" s="281"/>
      <c r="X3" s="282"/>
      <c r="Y3" s="281"/>
      <c r="Z3" s="282"/>
      <c r="AA3" s="281"/>
      <c r="AB3" s="282"/>
      <c r="AC3" s="281"/>
      <c r="AD3" s="282"/>
      <c r="AE3" s="281"/>
      <c r="AF3" s="282"/>
      <c r="AG3" s="281">
        <f>'Product &amp; stock detail -Jan-25'!C17*0+28740</f>
        <v>28740</v>
      </c>
      <c r="AH3" s="282"/>
      <c r="AI3" s="305"/>
      <c r="AJ3" s="306" t="s">
        <v>449</v>
      </c>
      <c r="AK3" s="306" t="s">
        <v>449</v>
      </c>
      <c r="AL3" s="307"/>
      <c r="AM3" s="308"/>
      <c r="AN3" s="309"/>
      <c r="AO3" s="308"/>
      <c r="AP3" s="309"/>
      <c r="AQ3" s="308"/>
      <c r="AR3" s="309"/>
      <c r="AS3" s="308"/>
      <c r="AT3" s="309"/>
      <c r="AU3" s="308"/>
      <c r="AV3" s="309"/>
      <c r="AW3" s="308"/>
      <c r="AX3" s="309"/>
      <c r="AY3" s="308"/>
      <c r="AZ3" s="309"/>
      <c r="BA3" s="308"/>
      <c r="BB3" s="309"/>
      <c r="BC3" s="308"/>
      <c r="BD3" s="309"/>
      <c r="BE3" s="308"/>
      <c r="BF3" s="309"/>
      <c r="BG3" s="308"/>
      <c r="BH3" s="309"/>
      <c r="BI3" s="308"/>
      <c r="BJ3" s="309"/>
      <c r="BK3" s="308"/>
      <c r="BL3" s="309"/>
      <c r="BM3" s="308"/>
      <c r="BN3" s="309"/>
      <c r="BO3" s="308">
        <v>0</v>
      </c>
      <c r="BP3" s="309"/>
      <c r="BQ3" s="305"/>
      <c r="BR3" s="317" t="s">
        <v>449</v>
      </c>
      <c r="BS3" s="317"/>
      <c r="BT3" s="318"/>
      <c r="BU3" s="325"/>
      <c r="BV3" s="326"/>
      <c r="BW3" s="325"/>
      <c r="BX3" s="326"/>
      <c r="BY3" s="325"/>
      <c r="BZ3" s="326"/>
      <c r="CA3" s="325"/>
      <c r="CB3" s="326"/>
      <c r="CC3" s="325"/>
      <c r="CD3" s="326"/>
      <c r="CE3" s="325"/>
      <c r="CF3" s="326"/>
      <c r="CG3" s="325"/>
      <c r="CH3" s="326"/>
      <c r="CI3" s="325"/>
      <c r="CJ3" s="326"/>
      <c r="CK3" s="325"/>
      <c r="CL3" s="326"/>
      <c r="CM3" s="325"/>
      <c r="CN3" s="326"/>
      <c r="CO3" s="325"/>
      <c r="CP3" s="326"/>
      <c r="CQ3" s="325"/>
      <c r="CR3" s="326"/>
      <c r="CS3" s="324"/>
      <c r="CT3" s="324"/>
      <c r="CU3" s="324"/>
      <c r="CV3" s="324"/>
      <c r="CW3" s="324">
        <v>33102.3</v>
      </c>
      <c r="CX3" s="324"/>
      <c r="CY3" s="305"/>
      <c r="CZ3" s="337" t="s">
        <v>449</v>
      </c>
      <c r="DA3" s="337"/>
      <c r="DB3" s="341"/>
      <c r="DC3" s="342"/>
      <c r="DD3" s="343"/>
      <c r="DE3" s="342"/>
      <c r="DF3" s="343"/>
      <c r="DG3" s="342"/>
      <c r="DH3" s="343"/>
      <c r="DI3" s="342"/>
      <c r="DJ3" s="343"/>
      <c r="DK3" s="342"/>
      <c r="DL3" s="343"/>
      <c r="DM3" s="342"/>
      <c r="DN3" s="343"/>
      <c r="DO3" s="342"/>
      <c r="DP3" s="343"/>
      <c r="DQ3" s="342"/>
      <c r="DR3" s="343"/>
      <c r="DS3" s="342"/>
      <c r="DT3" s="343"/>
      <c r="DU3" s="342"/>
      <c r="DV3" s="343"/>
      <c r="DW3" s="342"/>
      <c r="DX3" s="343"/>
      <c r="DY3" s="340"/>
      <c r="DZ3" s="340"/>
      <c r="EA3" s="340"/>
      <c r="EB3" s="340"/>
      <c r="EC3" s="340"/>
      <c r="ED3" s="340"/>
      <c r="EE3" s="340">
        <f>BO3</f>
        <v>0</v>
      </c>
      <c r="EF3" s="340"/>
      <c r="EG3" s="305"/>
      <c r="EH3" s="347" t="s">
        <v>449</v>
      </c>
      <c r="EI3" s="347"/>
      <c r="EJ3" s="348"/>
      <c r="EK3" s="350"/>
      <c r="EL3" s="351"/>
      <c r="EM3" s="350"/>
      <c r="EN3" s="351"/>
      <c r="EO3" s="350"/>
      <c r="EP3" s="351"/>
      <c r="EQ3" s="350"/>
      <c r="ER3" s="351"/>
      <c r="ES3" s="350"/>
      <c r="ET3" s="351"/>
      <c r="EU3" s="350"/>
      <c r="EV3" s="351"/>
      <c r="EW3" s="350"/>
      <c r="EX3" s="351"/>
      <c r="EY3" s="350"/>
      <c r="EZ3" s="351"/>
      <c r="FA3" s="350"/>
      <c r="FB3" s="351"/>
      <c r="FC3" s="350"/>
      <c r="FD3" s="351"/>
      <c r="FE3" s="350"/>
      <c r="FF3" s="351"/>
      <c r="FG3" s="350"/>
      <c r="FH3" s="351"/>
      <c r="FI3" s="350"/>
      <c r="FJ3" s="351"/>
      <c r="FK3" s="350"/>
      <c r="FL3" s="351"/>
      <c r="FM3" s="350">
        <f>'Product &amp; stock detail -Jan-25'!E9*0+28680</f>
        <v>28680</v>
      </c>
      <c r="FN3" s="351"/>
      <c r="FO3" s="305"/>
      <c r="FP3" s="358" t="s">
        <v>449</v>
      </c>
      <c r="FQ3" s="358"/>
      <c r="FR3" s="359"/>
      <c r="FS3" s="361"/>
      <c r="FT3" s="362"/>
      <c r="FU3" s="361"/>
      <c r="FV3" s="362"/>
      <c r="FW3" s="361"/>
      <c r="FX3" s="362"/>
      <c r="FY3" s="361"/>
      <c r="FZ3" s="362"/>
      <c r="GA3" s="361"/>
      <c r="GB3" s="362"/>
      <c r="GC3" s="361"/>
      <c r="GD3" s="362"/>
      <c r="GE3" s="361"/>
      <c r="GF3" s="362"/>
      <c r="GG3" s="361"/>
      <c r="GH3" s="362"/>
      <c r="GI3" s="361"/>
      <c r="GJ3" s="362"/>
      <c r="GK3" s="361"/>
      <c r="GL3" s="362"/>
      <c r="GM3" s="361"/>
      <c r="GN3" s="362"/>
      <c r="GO3" s="361"/>
      <c r="GP3" s="362"/>
      <c r="GQ3" s="360"/>
      <c r="GR3" s="360"/>
      <c r="GS3" s="360"/>
      <c r="GT3" s="360"/>
      <c r="GU3" s="360">
        <v>27419.5</v>
      </c>
      <c r="GV3" s="360"/>
      <c r="GW3" s="305"/>
      <c r="GX3" s="368" t="s">
        <v>449</v>
      </c>
      <c r="GY3" s="368"/>
      <c r="GZ3" s="369"/>
      <c r="HA3" s="373"/>
      <c r="HB3" s="374"/>
      <c r="HC3" s="373"/>
      <c r="HD3" s="374"/>
      <c r="HE3" s="373"/>
      <c r="HF3" s="374"/>
      <c r="HG3" s="373"/>
      <c r="HH3" s="374"/>
      <c r="HI3" s="373"/>
      <c r="HJ3" s="374"/>
      <c r="HK3" s="373"/>
      <c r="HL3" s="374"/>
      <c r="HM3" s="373"/>
      <c r="HN3" s="374"/>
      <c r="HO3" s="373"/>
      <c r="HP3" s="374"/>
      <c r="HQ3" s="373"/>
      <c r="HR3" s="374"/>
      <c r="HS3" s="373"/>
      <c r="HT3" s="374"/>
      <c r="HU3" s="373"/>
      <c r="HV3" s="374"/>
      <c r="HW3" s="373"/>
      <c r="HX3" s="374"/>
      <c r="HY3" s="373"/>
      <c r="HZ3" s="374"/>
      <c r="IA3" s="372"/>
      <c r="IB3" s="372"/>
      <c r="IC3" s="373">
        <f>'Product &amp; stock detail -Jan-25'!F17</f>
        <v>38545.335</v>
      </c>
      <c r="ID3" s="374"/>
      <c r="IF3" s="368" t="s">
        <v>449</v>
      </c>
      <c r="IG3" s="368"/>
      <c r="IH3" s="369"/>
      <c r="II3" s="373"/>
      <c r="IJ3" s="374"/>
      <c r="IK3" s="373"/>
      <c r="IL3" s="374"/>
      <c r="IM3" s="373"/>
      <c r="IN3" s="374"/>
      <c r="IO3" s="373"/>
      <c r="IP3" s="374"/>
      <c r="IQ3" s="373"/>
      <c r="IR3" s="374"/>
      <c r="IS3" s="373"/>
      <c r="IT3" s="374"/>
      <c r="IU3" s="373"/>
      <c r="IV3" s="374"/>
      <c r="IW3" s="373"/>
      <c r="IX3" s="374"/>
      <c r="IY3" s="373"/>
      <c r="IZ3" s="374"/>
      <c r="JA3" s="373"/>
      <c r="JB3" s="374"/>
      <c r="JC3" s="373"/>
      <c r="JD3" s="374"/>
      <c r="JE3" s="373"/>
      <c r="JF3" s="374"/>
      <c r="JG3" s="373"/>
      <c r="JH3" s="374"/>
      <c r="JI3" s="373"/>
      <c r="JJ3" s="374"/>
      <c r="JK3" s="373">
        <f>IC3</f>
        <v>38545.335</v>
      </c>
      <c r="JL3" s="374"/>
      <c r="JN3" s="346"/>
      <c r="JO3" s="346"/>
      <c r="JP3" s="346"/>
      <c r="JQ3" s="346"/>
    </row>
    <row r="4" spans="2:278">
      <c r="B4" s="285" t="s">
        <v>450</v>
      </c>
      <c r="C4" s="285" t="s">
        <v>450</v>
      </c>
      <c r="D4" s="286"/>
      <c r="E4" s="287"/>
      <c r="F4" s="288"/>
      <c r="G4" s="287"/>
      <c r="H4" s="288"/>
      <c r="I4" s="287"/>
      <c r="J4" s="288"/>
      <c r="K4" s="287"/>
      <c r="L4" s="288"/>
      <c r="M4" s="287"/>
      <c r="N4" s="288"/>
      <c r="O4" s="294"/>
      <c r="P4" s="295"/>
      <c r="Q4" s="294"/>
      <c r="R4" s="295"/>
      <c r="S4" s="294"/>
      <c r="T4" s="295"/>
      <c r="U4" s="296"/>
      <c r="V4" s="297"/>
      <c r="W4" s="296"/>
      <c r="X4" s="297"/>
      <c r="Y4" s="296"/>
      <c r="Z4" s="297"/>
      <c r="AA4" s="296"/>
      <c r="AB4" s="297"/>
      <c r="AC4" s="296"/>
      <c r="AD4" s="297"/>
      <c r="AE4" s="296"/>
      <c r="AF4" s="297"/>
      <c r="AG4" s="296">
        <f ca="1">IFERROR((SUM(AG11:AG26)/AG3),0)</f>
        <v>51.1153980514962</v>
      </c>
      <c r="AH4" s="297"/>
      <c r="AI4" s="305"/>
      <c r="AJ4" s="285" t="s">
        <v>450</v>
      </c>
      <c r="AK4" s="285" t="s">
        <v>450</v>
      </c>
      <c r="AL4" s="286"/>
      <c r="AM4" s="287"/>
      <c r="AN4" s="288"/>
      <c r="AO4" s="287"/>
      <c r="AP4" s="288"/>
      <c r="AQ4" s="287"/>
      <c r="AR4" s="288"/>
      <c r="AS4" s="287"/>
      <c r="AT4" s="288"/>
      <c r="AU4" s="287"/>
      <c r="AV4" s="288"/>
      <c r="AW4" s="287"/>
      <c r="AX4" s="288"/>
      <c r="AY4" s="287"/>
      <c r="AZ4" s="288"/>
      <c r="BA4" s="287"/>
      <c r="BB4" s="288"/>
      <c r="BC4" s="287"/>
      <c r="BD4" s="288"/>
      <c r="BE4" s="287"/>
      <c r="BF4" s="288"/>
      <c r="BG4" s="287"/>
      <c r="BH4" s="288"/>
      <c r="BI4" s="287"/>
      <c r="BJ4" s="288"/>
      <c r="BK4" s="287"/>
      <c r="BL4" s="288"/>
      <c r="BM4" s="287"/>
      <c r="BN4" s="288"/>
      <c r="BO4" s="287">
        <f ca="1">IFERROR((SUM(BO11:BO19)/BO3),0)</f>
        <v>0</v>
      </c>
      <c r="BP4" s="288"/>
      <c r="BQ4" s="305"/>
      <c r="BR4" s="285" t="s">
        <v>451</v>
      </c>
      <c r="BS4" s="285"/>
      <c r="BT4" s="286"/>
      <c r="BU4" s="287"/>
      <c r="BV4" s="288"/>
      <c r="BW4" s="287"/>
      <c r="BX4" s="288"/>
      <c r="BY4" s="287"/>
      <c r="BZ4" s="288"/>
      <c r="CA4" s="287"/>
      <c r="CB4" s="288"/>
      <c r="CC4" s="287"/>
      <c r="CD4" s="288"/>
      <c r="CE4" s="287"/>
      <c r="CF4" s="288"/>
      <c r="CG4" s="287"/>
      <c r="CH4" s="288"/>
      <c r="CI4" s="287"/>
      <c r="CJ4" s="288"/>
      <c r="CK4" s="287"/>
      <c r="CL4" s="288"/>
      <c r="CM4" s="287"/>
      <c r="CN4" s="288"/>
      <c r="CO4" s="287"/>
      <c r="CP4" s="288"/>
      <c r="CQ4" s="287"/>
      <c r="CR4" s="288"/>
      <c r="CS4" s="287"/>
      <c r="CT4" s="288"/>
      <c r="CU4" s="287"/>
      <c r="CV4" s="288"/>
      <c r="CW4" s="287">
        <f ca="1">CX11</f>
        <v>165</v>
      </c>
      <c r="CX4" s="288"/>
      <c r="CY4" s="305"/>
      <c r="CZ4" s="285" t="s">
        <v>452</v>
      </c>
      <c r="DA4" s="285"/>
      <c r="DB4" s="286"/>
      <c r="DC4" s="344"/>
      <c r="DD4" s="345"/>
      <c r="DE4" s="344"/>
      <c r="DF4" s="345"/>
      <c r="DG4" s="344"/>
      <c r="DH4" s="345"/>
      <c r="DI4" s="344"/>
      <c r="DJ4" s="345"/>
      <c r="DK4" s="344"/>
      <c r="DL4" s="345"/>
      <c r="DM4" s="344"/>
      <c r="DN4" s="345"/>
      <c r="DO4" s="344"/>
      <c r="DP4" s="345"/>
      <c r="DQ4" s="344"/>
      <c r="DR4" s="345"/>
      <c r="DS4" s="344"/>
      <c r="DT4" s="345"/>
      <c r="DU4" s="344"/>
      <c r="DV4" s="345"/>
      <c r="DW4" s="344"/>
      <c r="DX4" s="345"/>
      <c r="DY4" s="344"/>
      <c r="DZ4" s="345"/>
      <c r="EA4" s="344"/>
      <c r="EB4" s="345"/>
      <c r="EC4" s="344"/>
      <c r="ED4" s="345"/>
      <c r="EE4" s="344">
        <f ca="1">IFERROR((SUM(EE12:EE18)/(EE2-6618.78)),0)</f>
        <v>0</v>
      </c>
      <c r="EF4" s="345"/>
      <c r="EG4" s="305"/>
      <c r="EH4" s="285" t="s">
        <v>450</v>
      </c>
      <c r="EI4" s="285"/>
      <c r="EJ4" s="286"/>
      <c r="EK4" s="344"/>
      <c r="EL4" s="345"/>
      <c r="EM4" s="344"/>
      <c r="EN4" s="345"/>
      <c r="EO4" s="344"/>
      <c r="EP4" s="345"/>
      <c r="EQ4" s="344"/>
      <c r="ER4" s="345"/>
      <c r="ES4" s="344"/>
      <c r="ET4" s="345"/>
      <c r="EU4" s="344"/>
      <c r="EV4" s="345"/>
      <c r="EW4" s="344"/>
      <c r="EX4" s="345"/>
      <c r="EY4" s="344"/>
      <c r="EZ4" s="345"/>
      <c r="FA4" s="344"/>
      <c r="FB4" s="345"/>
      <c r="FC4" s="344"/>
      <c r="FD4" s="345"/>
      <c r="FE4" s="344"/>
      <c r="FF4" s="345"/>
      <c r="FG4" s="344"/>
      <c r="FH4" s="345"/>
      <c r="FI4" s="344"/>
      <c r="FJ4" s="345"/>
      <c r="FK4" s="344"/>
      <c r="FL4" s="345"/>
      <c r="FM4" s="344">
        <f ca="1">IFERROR((SUM(FM11:FM21)/FM3),0)</f>
        <v>77.7103026499303</v>
      </c>
      <c r="FN4" s="345"/>
      <c r="FO4" s="305"/>
      <c r="FP4" s="285" t="s">
        <v>450</v>
      </c>
      <c r="FQ4" s="285"/>
      <c r="FR4" s="286"/>
      <c r="FS4" s="344"/>
      <c r="FT4" s="345"/>
      <c r="FU4" s="344"/>
      <c r="FV4" s="345"/>
      <c r="FW4" s="344"/>
      <c r="FX4" s="345"/>
      <c r="FY4" s="344"/>
      <c r="FZ4" s="345"/>
      <c r="GA4" s="344"/>
      <c r="GB4" s="345"/>
      <c r="GC4" s="344"/>
      <c r="GD4" s="345"/>
      <c r="GE4" s="344"/>
      <c r="GF4" s="345"/>
      <c r="GG4" s="344"/>
      <c r="GH4" s="345"/>
      <c r="GI4" s="344"/>
      <c r="GJ4" s="345"/>
      <c r="GK4" s="344"/>
      <c r="GL4" s="345"/>
      <c r="GM4" s="344"/>
      <c r="GN4" s="345"/>
      <c r="GO4" s="344"/>
      <c r="GP4" s="345"/>
      <c r="GQ4" s="344"/>
      <c r="GR4" s="345"/>
      <c r="GS4" s="344"/>
      <c r="GT4" s="345"/>
      <c r="GU4" s="344">
        <f ca="1">GV11</f>
        <v>37.2722509262655</v>
      </c>
      <c r="GV4" s="345"/>
      <c r="GW4" s="305"/>
      <c r="GX4" s="285" t="s">
        <v>450</v>
      </c>
      <c r="GY4" s="285"/>
      <c r="GZ4" s="286"/>
      <c r="HA4" s="344"/>
      <c r="HB4" s="345"/>
      <c r="HC4" s="344"/>
      <c r="HD4" s="345"/>
      <c r="HE4" s="344"/>
      <c r="HF4" s="345"/>
      <c r="HG4" s="344"/>
      <c r="HH4" s="345"/>
      <c r="HI4" s="344"/>
      <c r="HJ4" s="345"/>
      <c r="HK4" s="344"/>
      <c r="HL4" s="345"/>
      <c r="HM4" s="344"/>
      <c r="HN4" s="345"/>
      <c r="HO4" s="344"/>
      <c r="HP4" s="345"/>
      <c r="HQ4" s="344"/>
      <c r="HR4" s="345"/>
      <c r="HS4" s="344"/>
      <c r="HT4" s="345"/>
      <c r="HU4" s="344"/>
      <c r="HV4" s="345"/>
      <c r="HW4" s="344"/>
      <c r="HX4" s="345"/>
      <c r="HY4" s="344"/>
      <c r="HZ4" s="345"/>
      <c r="IA4" s="344"/>
      <c r="IB4" s="345"/>
      <c r="IC4" s="344">
        <f ca="1">IFERROR((SUM(IC11:IC63)/IC3),0)</f>
        <v>149.433385648354</v>
      </c>
      <c r="ID4" s="345"/>
      <c r="IE4" s="305"/>
      <c r="IF4" s="285" t="s">
        <v>453</v>
      </c>
      <c r="IG4" s="285"/>
      <c r="IH4" s="286"/>
      <c r="II4" s="287"/>
      <c r="IJ4" s="288"/>
      <c r="IK4" s="287"/>
      <c r="IL4" s="288"/>
      <c r="IM4" s="287"/>
      <c r="IN4" s="288"/>
      <c r="IO4" s="287"/>
      <c r="IP4" s="288"/>
      <c r="IQ4" s="287"/>
      <c r="IR4" s="288"/>
      <c r="IS4" s="287"/>
      <c r="IT4" s="288"/>
      <c r="IU4" s="287"/>
      <c r="IV4" s="288"/>
      <c r="IW4" s="287"/>
      <c r="IX4" s="288"/>
      <c r="IY4" s="287"/>
      <c r="IZ4" s="288"/>
      <c r="JA4" s="287"/>
      <c r="JB4" s="288"/>
      <c r="JC4" s="287"/>
      <c r="JD4" s="288"/>
      <c r="JE4" s="287"/>
      <c r="JF4" s="288"/>
      <c r="JG4" s="287"/>
      <c r="JH4" s="288"/>
      <c r="JI4" s="287"/>
      <c r="JJ4" s="288"/>
      <c r="JK4" s="287">
        <f>IFERROR((JK71/JK3),0)</f>
        <v>57.1321834406161</v>
      </c>
      <c r="JL4" s="288"/>
      <c r="JM4" s="305"/>
      <c r="JN4" s="346"/>
      <c r="JO4" s="346"/>
      <c r="JP4" s="346"/>
      <c r="JR4" s="299"/>
    </row>
    <row r="5" spans="2:299">
      <c r="B5" s="285" t="s">
        <v>454</v>
      </c>
      <c r="C5" s="285" t="s">
        <v>454</v>
      </c>
      <c r="D5" s="289"/>
      <c r="E5" s="287"/>
      <c r="F5" s="288"/>
      <c r="G5" s="287"/>
      <c r="H5" s="288"/>
      <c r="I5" s="287"/>
      <c r="J5" s="288"/>
      <c r="K5" s="287"/>
      <c r="L5" s="288"/>
      <c r="M5" s="287"/>
      <c r="N5" s="288"/>
      <c r="O5" s="294"/>
      <c r="P5" s="295"/>
      <c r="Q5" s="294"/>
      <c r="R5" s="295"/>
      <c r="S5" s="294"/>
      <c r="T5" s="295"/>
      <c r="U5" s="296"/>
      <c r="V5" s="297"/>
      <c r="W5" s="296"/>
      <c r="X5" s="297"/>
      <c r="Y5" s="296"/>
      <c r="Z5" s="297"/>
      <c r="AA5" s="296"/>
      <c r="AB5" s="297"/>
      <c r="AC5" s="296"/>
      <c r="AD5" s="297"/>
      <c r="AE5" s="296"/>
      <c r="AF5" s="297"/>
      <c r="AG5" s="296">
        <f ca="1">IFERROR((SUM(AG30:AG69)/AG3),0)</f>
        <v>6.69791231732777</v>
      </c>
      <c r="AH5" s="297"/>
      <c r="AI5" s="305"/>
      <c r="AJ5" s="285" t="s">
        <v>454</v>
      </c>
      <c r="AK5" s="285" t="s">
        <v>454</v>
      </c>
      <c r="AL5" s="289"/>
      <c r="AM5" s="287"/>
      <c r="AN5" s="288"/>
      <c r="AO5" s="287"/>
      <c r="AP5" s="288"/>
      <c r="AQ5" s="287"/>
      <c r="AR5" s="288"/>
      <c r="AS5" s="287"/>
      <c r="AT5" s="288"/>
      <c r="AU5" s="287"/>
      <c r="AV5" s="288"/>
      <c r="AW5" s="287"/>
      <c r="AX5" s="288"/>
      <c r="AY5" s="287"/>
      <c r="AZ5" s="288"/>
      <c r="BA5" s="287"/>
      <c r="BB5" s="288"/>
      <c r="BC5" s="287"/>
      <c r="BD5" s="288"/>
      <c r="BE5" s="287"/>
      <c r="BF5" s="288"/>
      <c r="BG5" s="287"/>
      <c r="BH5" s="288"/>
      <c r="BI5" s="287"/>
      <c r="BJ5" s="288"/>
      <c r="BK5" s="287"/>
      <c r="BL5" s="288"/>
      <c r="BM5" s="287"/>
      <c r="BN5" s="288"/>
      <c r="BO5" s="287">
        <f ca="1">IFERROR((SUM(BO20:BO66)/BO3),0)</f>
        <v>0</v>
      </c>
      <c r="BP5" s="288"/>
      <c r="BQ5" s="305"/>
      <c r="BR5" s="285" t="s">
        <v>455</v>
      </c>
      <c r="BS5" s="285"/>
      <c r="BT5" s="286"/>
      <c r="BU5" s="287"/>
      <c r="BV5" s="288"/>
      <c r="BW5" s="287"/>
      <c r="BX5" s="288"/>
      <c r="BY5" s="287"/>
      <c r="BZ5" s="288"/>
      <c r="CA5" s="287"/>
      <c r="CB5" s="288"/>
      <c r="CC5" s="287"/>
      <c r="CD5" s="288"/>
      <c r="CE5" s="287"/>
      <c r="CF5" s="288"/>
      <c r="CG5" s="287"/>
      <c r="CH5" s="288"/>
      <c r="CI5" s="287"/>
      <c r="CJ5" s="288"/>
      <c r="CK5" s="287"/>
      <c r="CL5" s="288"/>
      <c r="CM5" s="287"/>
      <c r="CN5" s="288"/>
      <c r="CO5" s="287"/>
      <c r="CP5" s="288"/>
      <c r="CQ5" s="287"/>
      <c r="CR5" s="288"/>
      <c r="CS5" s="287"/>
      <c r="CT5" s="288"/>
      <c r="CU5" s="287"/>
      <c r="CV5" s="288"/>
      <c r="CW5" s="287">
        <v>0</v>
      </c>
      <c r="CX5" s="288"/>
      <c r="CY5" s="305"/>
      <c r="CZ5" s="285" t="s">
        <v>456</v>
      </c>
      <c r="DA5" s="285"/>
      <c r="DB5" s="289"/>
      <c r="DC5" s="344"/>
      <c r="DD5" s="345"/>
      <c r="DE5" s="344"/>
      <c r="DF5" s="345"/>
      <c r="DG5" s="344"/>
      <c r="DH5" s="345"/>
      <c r="DI5" s="344"/>
      <c r="DJ5" s="345"/>
      <c r="DK5" s="344"/>
      <c r="DL5" s="345"/>
      <c r="DM5" s="344"/>
      <c r="DN5" s="345"/>
      <c r="DO5" s="344"/>
      <c r="DP5" s="345"/>
      <c r="DQ5" s="344"/>
      <c r="DR5" s="345"/>
      <c r="DS5" s="344"/>
      <c r="DT5" s="345"/>
      <c r="DU5" s="344"/>
      <c r="DV5" s="345"/>
      <c r="DW5" s="344"/>
      <c r="DX5" s="345"/>
      <c r="DY5" s="344"/>
      <c r="DZ5" s="345"/>
      <c r="EA5" s="344"/>
      <c r="EB5" s="345"/>
      <c r="EC5" s="344"/>
      <c r="ED5" s="345"/>
      <c r="EE5" s="344">
        <f ca="1">EE11/6618.78</f>
        <v>0</v>
      </c>
      <c r="EF5" s="345"/>
      <c r="EG5" s="305"/>
      <c r="EH5" s="285" t="s">
        <v>454</v>
      </c>
      <c r="EI5" s="285"/>
      <c r="EJ5" s="289"/>
      <c r="EK5" s="344"/>
      <c r="EL5" s="345"/>
      <c r="EM5" s="344"/>
      <c r="EN5" s="345"/>
      <c r="EO5" s="344"/>
      <c r="EP5" s="345"/>
      <c r="EQ5" s="344"/>
      <c r="ER5" s="345"/>
      <c r="ES5" s="344"/>
      <c r="ET5" s="345"/>
      <c r="EU5" s="344"/>
      <c r="EV5" s="345"/>
      <c r="EW5" s="344"/>
      <c r="EX5" s="345"/>
      <c r="EY5" s="344"/>
      <c r="EZ5" s="345"/>
      <c r="FA5" s="344"/>
      <c r="FB5" s="345"/>
      <c r="FC5" s="344"/>
      <c r="FD5" s="345"/>
      <c r="FE5" s="344"/>
      <c r="FF5" s="345"/>
      <c r="FG5" s="344"/>
      <c r="FH5" s="345"/>
      <c r="FI5" s="344"/>
      <c r="FJ5" s="345"/>
      <c r="FK5" s="344"/>
      <c r="FL5" s="345"/>
      <c r="FM5" s="344">
        <f ca="1">IFERROR((SUM(FM26:FM66)/FM3),0)</f>
        <v>0</v>
      </c>
      <c r="FN5" s="345"/>
      <c r="FO5" s="305"/>
      <c r="FP5" s="285" t="s">
        <v>454</v>
      </c>
      <c r="FQ5" s="285"/>
      <c r="FR5" s="289"/>
      <c r="FS5" s="344"/>
      <c r="FT5" s="345"/>
      <c r="FU5" s="344"/>
      <c r="FV5" s="345"/>
      <c r="FW5" s="344"/>
      <c r="FX5" s="345"/>
      <c r="FY5" s="344"/>
      <c r="FZ5" s="345"/>
      <c r="GA5" s="344"/>
      <c r="GB5" s="345"/>
      <c r="GC5" s="344"/>
      <c r="GD5" s="345"/>
      <c r="GE5" s="344"/>
      <c r="GF5" s="345"/>
      <c r="GG5" s="344"/>
      <c r="GH5" s="345"/>
      <c r="GI5" s="344"/>
      <c r="GJ5" s="345"/>
      <c r="GK5" s="344"/>
      <c r="GL5" s="345"/>
      <c r="GM5" s="344"/>
      <c r="GN5" s="345"/>
      <c r="GO5" s="344"/>
      <c r="GP5" s="345"/>
      <c r="GQ5" s="344"/>
      <c r="GR5" s="345"/>
      <c r="GS5" s="344"/>
      <c r="GT5" s="345"/>
      <c r="GU5" s="344">
        <f ca="1">SUM(GV12:GV47)</f>
        <v>5.18504050460739</v>
      </c>
      <c r="GV5" s="345"/>
      <c r="GW5" s="305"/>
      <c r="GX5" s="285" t="s">
        <v>454</v>
      </c>
      <c r="GY5" s="285"/>
      <c r="GZ5" s="289"/>
      <c r="HA5" s="344"/>
      <c r="HB5" s="345"/>
      <c r="HC5" s="344"/>
      <c r="HD5" s="345"/>
      <c r="HE5" s="344"/>
      <c r="HF5" s="345"/>
      <c r="HG5" s="344"/>
      <c r="HH5" s="345"/>
      <c r="HI5" s="344"/>
      <c r="HJ5" s="345"/>
      <c r="HK5" s="344"/>
      <c r="HL5" s="345"/>
      <c r="HM5" s="344"/>
      <c r="HN5" s="345"/>
      <c r="HO5" s="344"/>
      <c r="HP5" s="345"/>
      <c r="HQ5" s="344"/>
      <c r="HR5" s="345"/>
      <c r="HS5" s="344"/>
      <c r="HT5" s="345"/>
      <c r="HU5" s="344"/>
      <c r="HV5" s="345"/>
      <c r="HW5" s="344"/>
      <c r="HX5" s="345"/>
      <c r="HY5" s="344"/>
      <c r="HZ5" s="345"/>
      <c r="IA5" s="344"/>
      <c r="IB5" s="345"/>
      <c r="IC5" s="344">
        <f>IFERROR((SUM(IC65:IC70)/IC3),0)</f>
        <v>0</v>
      </c>
      <c r="ID5" s="345"/>
      <c r="IE5" s="305"/>
      <c r="IF5" s="377"/>
      <c r="IG5" s="377"/>
      <c r="IH5" s="289"/>
      <c r="II5" s="379"/>
      <c r="IJ5" s="379"/>
      <c r="IK5" s="379"/>
      <c r="IL5" s="379"/>
      <c r="IM5" s="379"/>
      <c r="IN5" s="379"/>
      <c r="IO5" s="379"/>
      <c r="IP5" s="379"/>
      <c r="IQ5" s="379"/>
      <c r="IR5" s="379"/>
      <c r="IS5" s="379"/>
      <c r="IT5" s="379"/>
      <c r="IU5" s="379"/>
      <c r="IV5" s="379"/>
      <c r="IW5" s="379"/>
      <c r="IX5" s="379"/>
      <c r="IY5" s="379"/>
      <c r="IZ5" s="379"/>
      <c r="JA5" s="379"/>
      <c r="JB5" s="379"/>
      <c r="JC5" s="379"/>
      <c r="JD5" s="379"/>
      <c r="JE5" s="379"/>
      <c r="JF5" s="379"/>
      <c r="JG5" s="379"/>
      <c r="JH5" s="379"/>
      <c r="JI5" s="379"/>
      <c r="JJ5" s="379"/>
      <c r="JK5" s="379"/>
      <c r="JL5" s="379"/>
      <c r="JM5" s="305"/>
      <c r="JN5" s="346"/>
      <c r="JO5" s="346"/>
      <c r="JP5" s="346"/>
      <c r="JR5" s="299"/>
      <c r="JY5" s="299">
        <f>'[5]Cost sheet - Detailed'!$FQ$12-JY12</f>
        <v>533527.5</v>
      </c>
      <c r="JZ5" s="299">
        <f>JZ11-KA11</f>
        <v>0</v>
      </c>
      <c r="KA5" s="299"/>
      <c r="KB5" s="299"/>
      <c r="KC5" s="299"/>
      <c r="KD5" s="299"/>
      <c r="KE5" s="299"/>
      <c r="KF5" s="299"/>
      <c r="KM5" s="273" t="s">
        <v>457</v>
      </c>
    </row>
    <row r="6" spans="19:286">
      <c r="S6" s="298"/>
      <c r="U6" s="299"/>
      <c r="V6" s="299"/>
      <c r="X6" s="299"/>
      <c r="Z6" s="299"/>
      <c r="AA6" s="299"/>
      <c r="AB6" s="299"/>
      <c r="AC6" s="299"/>
      <c r="AD6" s="299"/>
      <c r="AE6" s="299"/>
      <c r="AF6" s="299"/>
      <c r="AG6" s="299"/>
      <c r="AH6" s="299"/>
      <c r="BR6" s="319" t="s">
        <v>456</v>
      </c>
      <c r="BS6" s="319"/>
      <c r="BT6" s="289"/>
      <c r="BU6" s="327"/>
      <c r="BV6" s="328"/>
      <c r="BW6" s="327"/>
      <c r="BX6" s="328"/>
      <c r="BY6" s="327"/>
      <c r="BZ6" s="328"/>
      <c r="CA6" s="327"/>
      <c r="CB6" s="328"/>
      <c r="CC6" s="327"/>
      <c r="CD6" s="328"/>
      <c r="CE6" s="327"/>
      <c r="CF6" s="328"/>
      <c r="CG6" s="327"/>
      <c r="CH6" s="328"/>
      <c r="CI6" s="327"/>
      <c r="CJ6" s="328"/>
      <c r="CK6" s="327"/>
      <c r="CL6" s="328"/>
      <c r="CM6" s="327"/>
      <c r="CN6" s="328"/>
      <c r="CO6" s="327"/>
      <c r="CP6" s="328"/>
      <c r="CQ6" s="327"/>
      <c r="CR6" s="328"/>
      <c r="CS6" s="327"/>
      <c r="CT6" s="328"/>
      <c r="CU6" s="327"/>
      <c r="CV6" s="328"/>
      <c r="CW6" s="327">
        <v>0</v>
      </c>
      <c r="CX6" s="328"/>
      <c r="DI6" s="346"/>
      <c r="DJ6" s="346"/>
      <c r="DK6" s="346"/>
      <c r="DL6" s="346"/>
      <c r="DM6" s="346"/>
      <c r="DN6" s="346"/>
      <c r="DO6" s="346"/>
      <c r="DP6" s="346"/>
      <c r="DQ6" s="346"/>
      <c r="DR6" s="346"/>
      <c r="DS6" s="346"/>
      <c r="DT6" s="346"/>
      <c r="DU6" s="346"/>
      <c r="DV6" s="346"/>
      <c r="DW6" s="346"/>
      <c r="DX6" s="346"/>
      <c r="DY6" s="346"/>
      <c r="DZ6" s="346"/>
      <c r="EA6" s="346"/>
      <c r="EB6" s="346"/>
      <c r="EC6" s="346"/>
      <c r="ED6" s="346"/>
      <c r="EE6" s="346"/>
      <c r="EF6" s="346"/>
      <c r="FG6" s="299"/>
      <c r="GO6" s="299"/>
      <c r="GT6" s="299"/>
      <c r="GU6" s="299"/>
      <c r="GV6" s="299"/>
      <c r="JN6" s="346"/>
      <c r="JO6" s="346" t="s">
        <v>458</v>
      </c>
      <c r="JP6" s="346"/>
      <c r="JZ6" s="299">
        <f>JZ12-KA12</f>
        <v>0</v>
      </c>
    </row>
    <row r="7" s="271" customFormat="1" ht="54" customHeight="1" spans="1:311">
      <c r="A7" s="290"/>
      <c r="B7" s="291" t="s">
        <v>459</v>
      </c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0"/>
      <c r="AJ7" s="291" t="s">
        <v>460</v>
      </c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1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1"/>
      <c r="BQ7" s="290"/>
      <c r="BR7" s="291" t="s">
        <v>461</v>
      </c>
      <c r="BS7" s="291"/>
      <c r="BT7" s="291"/>
      <c r="BU7" s="291"/>
      <c r="BV7" s="291"/>
      <c r="BW7" s="291"/>
      <c r="BX7" s="291"/>
      <c r="BY7" s="291"/>
      <c r="BZ7" s="291"/>
      <c r="CA7" s="291"/>
      <c r="CB7" s="291"/>
      <c r="CC7" s="291"/>
      <c r="CD7" s="291"/>
      <c r="CE7" s="291"/>
      <c r="CF7" s="291"/>
      <c r="CG7" s="291"/>
      <c r="CH7" s="291"/>
      <c r="CI7" s="291"/>
      <c r="CJ7" s="291"/>
      <c r="CK7" s="291"/>
      <c r="CL7" s="291"/>
      <c r="CM7" s="291"/>
      <c r="CN7" s="291"/>
      <c r="CO7" s="291"/>
      <c r="CP7" s="291"/>
      <c r="CQ7" s="291"/>
      <c r="CR7" s="291"/>
      <c r="CS7" s="291"/>
      <c r="CT7" s="291"/>
      <c r="CU7" s="291"/>
      <c r="CV7" s="291"/>
      <c r="CW7" s="291"/>
      <c r="CX7" s="291"/>
      <c r="CY7" s="290"/>
      <c r="CZ7" s="291" t="s">
        <v>462</v>
      </c>
      <c r="DA7" s="291"/>
      <c r="DB7" s="291"/>
      <c r="DC7" s="291"/>
      <c r="DD7" s="291"/>
      <c r="DE7" s="291"/>
      <c r="DF7" s="291"/>
      <c r="DG7" s="291"/>
      <c r="DH7" s="291"/>
      <c r="DI7" s="291"/>
      <c r="DJ7" s="291"/>
      <c r="DK7" s="291"/>
      <c r="DL7" s="291"/>
      <c r="DM7" s="291"/>
      <c r="DN7" s="291"/>
      <c r="DO7" s="291"/>
      <c r="DP7" s="291"/>
      <c r="DQ7" s="291"/>
      <c r="DR7" s="291"/>
      <c r="DS7" s="291"/>
      <c r="DT7" s="291"/>
      <c r="DU7" s="291"/>
      <c r="DV7" s="291"/>
      <c r="DW7" s="291"/>
      <c r="DX7" s="291"/>
      <c r="DY7" s="291"/>
      <c r="DZ7" s="291"/>
      <c r="EA7" s="291"/>
      <c r="EB7" s="291"/>
      <c r="EC7" s="291"/>
      <c r="ED7" s="291"/>
      <c r="EE7" s="291"/>
      <c r="EF7" s="291"/>
      <c r="EG7" s="290"/>
      <c r="EH7" s="352" t="s">
        <v>463</v>
      </c>
      <c r="EI7" s="352"/>
      <c r="EJ7" s="352"/>
      <c r="EK7" s="352"/>
      <c r="EL7" s="352"/>
      <c r="EM7" s="352"/>
      <c r="EN7" s="352"/>
      <c r="EO7" s="352"/>
      <c r="EP7" s="352"/>
      <c r="EQ7" s="352"/>
      <c r="ER7" s="352"/>
      <c r="ES7" s="352"/>
      <c r="ET7" s="352"/>
      <c r="EU7" s="352"/>
      <c r="EV7" s="352"/>
      <c r="EW7" s="352"/>
      <c r="EX7" s="352"/>
      <c r="EY7" s="352"/>
      <c r="EZ7" s="352"/>
      <c r="FA7" s="352"/>
      <c r="FB7" s="352"/>
      <c r="FC7" s="352"/>
      <c r="FD7" s="352"/>
      <c r="FE7" s="352"/>
      <c r="FF7" s="352"/>
      <c r="FG7" s="352"/>
      <c r="FH7" s="352"/>
      <c r="FI7" s="352"/>
      <c r="FJ7" s="352"/>
      <c r="FK7" s="352"/>
      <c r="FL7" s="352"/>
      <c r="FM7" s="352"/>
      <c r="FN7" s="352"/>
      <c r="FO7" s="290"/>
      <c r="FP7" s="291" t="s">
        <v>464</v>
      </c>
      <c r="FQ7" s="291"/>
      <c r="FR7" s="291"/>
      <c r="FS7" s="291"/>
      <c r="FT7" s="291"/>
      <c r="FU7" s="291"/>
      <c r="FV7" s="291"/>
      <c r="FW7" s="291"/>
      <c r="FX7" s="291"/>
      <c r="FY7" s="291"/>
      <c r="FZ7" s="291"/>
      <c r="GA7" s="291"/>
      <c r="GB7" s="291"/>
      <c r="GC7" s="291"/>
      <c r="GD7" s="291"/>
      <c r="GE7" s="291"/>
      <c r="GF7" s="291"/>
      <c r="GG7" s="291"/>
      <c r="GH7" s="291"/>
      <c r="GI7" s="291"/>
      <c r="GJ7" s="291"/>
      <c r="GK7" s="291"/>
      <c r="GL7" s="291"/>
      <c r="GM7" s="291"/>
      <c r="GN7" s="291"/>
      <c r="GO7" s="291"/>
      <c r="GP7" s="291"/>
      <c r="GQ7" s="291"/>
      <c r="GR7" s="291"/>
      <c r="GS7" s="291"/>
      <c r="GT7" s="291"/>
      <c r="GU7" s="291"/>
      <c r="GV7" s="291"/>
      <c r="GW7" s="290"/>
      <c r="GX7" s="291" t="s">
        <v>465</v>
      </c>
      <c r="GY7" s="291"/>
      <c r="GZ7" s="291"/>
      <c r="HA7" s="291"/>
      <c r="HB7" s="291"/>
      <c r="HC7" s="291"/>
      <c r="HD7" s="291"/>
      <c r="HE7" s="291"/>
      <c r="HF7" s="291"/>
      <c r="HG7" s="291"/>
      <c r="HH7" s="291"/>
      <c r="HI7" s="291"/>
      <c r="HJ7" s="291"/>
      <c r="HK7" s="291"/>
      <c r="HL7" s="291"/>
      <c r="HM7" s="291"/>
      <c r="HN7" s="291"/>
      <c r="HO7" s="291"/>
      <c r="HP7" s="291"/>
      <c r="HQ7" s="291"/>
      <c r="HR7" s="291"/>
      <c r="HS7" s="291"/>
      <c r="HT7" s="291"/>
      <c r="HU7" s="291"/>
      <c r="HV7" s="291"/>
      <c r="HW7" s="291"/>
      <c r="HX7" s="291"/>
      <c r="HY7" s="291"/>
      <c r="HZ7" s="291"/>
      <c r="IA7" s="291"/>
      <c r="IB7" s="291"/>
      <c r="IC7" s="291"/>
      <c r="ID7" s="291"/>
      <c r="IE7" s="290"/>
      <c r="IF7" s="291" t="s">
        <v>466</v>
      </c>
      <c r="IG7" s="291"/>
      <c r="IH7" s="291"/>
      <c r="II7" s="291"/>
      <c r="IJ7" s="291"/>
      <c r="IK7" s="291"/>
      <c r="IL7" s="291"/>
      <c r="IM7" s="291"/>
      <c r="IN7" s="291"/>
      <c r="IO7" s="291"/>
      <c r="IP7" s="291"/>
      <c r="IQ7" s="291"/>
      <c r="IR7" s="291"/>
      <c r="IS7" s="291"/>
      <c r="IT7" s="291"/>
      <c r="IU7" s="291"/>
      <c r="IV7" s="291"/>
      <c r="IW7" s="291"/>
      <c r="IX7" s="291"/>
      <c r="IY7" s="291"/>
      <c r="IZ7" s="291"/>
      <c r="JA7" s="291"/>
      <c r="JB7" s="291"/>
      <c r="JC7" s="291"/>
      <c r="JD7" s="291"/>
      <c r="JE7" s="291"/>
      <c r="JF7" s="291"/>
      <c r="JG7" s="291"/>
      <c r="JH7" s="291"/>
      <c r="JI7" s="291"/>
      <c r="JJ7" s="291"/>
      <c r="JK7" s="291"/>
      <c r="JL7" s="291"/>
      <c r="JM7" s="290"/>
      <c r="JN7" s="291" t="s">
        <v>467</v>
      </c>
      <c r="JO7" s="291"/>
      <c r="JP7" s="291"/>
      <c r="JQ7" s="291"/>
      <c r="JR7" s="291"/>
      <c r="JS7" s="291"/>
      <c r="JT7" s="291"/>
      <c r="JU7" s="291"/>
      <c r="JV7" s="291"/>
      <c r="JW7" s="291"/>
      <c r="JX7" s="291"/>
      <c r="JY7" s="291"/>
      <c r="JZ7" s="291"/>
      <c r="KA7" s="291"/>
      <c r="KB7" s="291"/>
      <c r="KC7" s="291"/>
      <c r="KD7" s="291"/>
      <c r="KE7" s="291"/>
      <c r="KF7" s="291"/>
      <c r="KG7" s="290"/>
      <c r="KH7" s="291" t="s">
        <v>468</v>
      </c>
      <c r="KI7" s="291"/>
      <c r="KJ7" s="291"/>
      <c r="KK7" s="291"/>
      <c r="KL7" s="291"/>
      <c r="KM7" s="291"/>
      <c r="KN7" s="291"/>
      <c r="KO7" s="291"/>
      <c r="KP7" s="291"/>
      <c r="KQ7" s="291"/>
      <c r="KR7" s="291"/>
      <c r="KS7" s="291"/>
      <c r="KT7" s="291"/>
      <c r="KU7" s="291"/>
      <c r="KV7" s="291"/>
      <c r="KW7" s="291"/>
      <c r="KX7" s="291"/>
      <c r="KY7" s="291"/>
    </row>
    <row r="8" s="272" customFormat="1" spans="1:311">
      <c r="A8" s="273"/>
      <c r="B8" s="275" t="s">
        <v>275</v>
      </c>
      <c r="C8" s="275" t="s">
        <v>275</v>
      </c>
      <c r="D8" s="276"/>
      <c r="E8" s="277"/>
      <c r="F8" s="278"/>
      <c r="G8" s="277"/>
      <c r="H8" s="278"/>
      <c r="I8" s="277"/>
      <c r="J8" s="278"/>
      <c r="K8" s="277"/>
      <c r="L8" s="278"/>
      <c r="M8" s="277"/>
      <c r="N8" s="278"/>
      <c r="O8" s="277"/>
      <c r="P8" s="278"/>
      <c r="Q8" s="277"/>
      <c r="R8" s="278"/>
      <c r="S8" s="277"/>
      <c r="T8" s="278"/>
      <c r="U8" s="277"/>
      <c r="V8" s="278"/>
      <c r="W8" s="277"/>
      <c r="X8" s="278"/>
      <c r="Y8" s="277"/>
      <c r="Z8" s="278"/>
      <c r="AA8" s="277"/>
      <c r="AB8" s="278"/>
      <c r="AC8" s="277"/>
      <c r="AD8" s="278"/>
      <c r="AE8" s="277"/>
      <c r="AF8" s="278"/>
      <c r="AG8" s="276">
        <f>AG1</f>
        <v>45658</v>
      </c>
      <c r="AH8" s="276"/>
      <c r="AI8" s="310"/>
      <c r="AJ8" s="311" t="s">
        <v>275</v>
      </c>
      <c r="AK8" s="311" t="s">
        <v>275</v>
      </c>
      <c r="AL8" s="312"/>
      <c r="AM8" s="277"/>
      <c r="AN8" s="278"/>
      <c r="AO8" s="277"/>
      <c r="AP8" s="278"/>
      <c r="AQ8" s="277"/>
      <c r="AR8" s="278"/>
      <c r="AS8" s="277"/>
      <c r="AT8" s="278"/>
      <c r="AU8" s="277"/>
      <c r="AV8" s="278"/>
      <c r="AW8" s="277"/>
      <c r="AX8" s="278"/>
      <c r="AY8" s="277"/>
      <c r="AZ8" s="278"/>
      <c r="BA8" s="277"/>
      <c r="BB8" s="278"/>
      <c r="BC8" s="277"/>
      <c r="BD8" s="278"/>
      <c r="BE8" s="277"/>
      <c r="BF8" s="278"/>
      <c r="BG8" s="277"/>
      <c r="BH8" s="278"/>
      <c r="BI8" s="277"/>
      <c r="BJ8" s="278"/>
      <c r="BK8" s="277"/>
      <c r="BL8" s="278"/>
      <c r="BM8" s="277"/>
      <c r="BN8" s="278"/>
      <c r="BO8" s="320">
        <f>BO1</f>
        <v>45658</v>
      </c>
      <c r="BP8" s="300"/>
      <c r="BQ8" s="310"/>
      <c r="BR8" s="311" t="s">
        <v>275</v>
      </c>
      <c r="BS8" s="311"/>
      <c r="BT8" s="312"/>
      <c r="BU8" s="329"/>
      <c r="BV8" s="330"/>
      <c r="BW8" s="329"/>
      <c r="BX8" s="330"/>
      <c r="BY8" s="329"/>
      <c r="BZ8" s="330"/>
      <c r="CA8" s="320"/>
      <c r="CB8" s="300"/>
      <c r="CC8" s="320"/>
      <c r="CD8" s="300"/>
      <c r="CE8" s="320"/>
      <c r="CF8" s="300"/>
      <c r="CG8" s="320"/>
      <c r="CH8" s="300"/>
      <c r="CI8" s="320"/>
      <c r="CJ8" s="300"/>
      <c r="CK8" s="320"/>
      <c r="CL8" s="300"/>
      <c r="CM8" s="320"/>
      <c r="CN8" s="300"/>
      <c r="CO8" s="320"/>
      <c r="CP8" s="300"/>
      <c r="CQ8" s="320"/>
      <c r="CR8" s="300"/>
      <c r="CS8" s="320"/>
      <c r="CT8" s="300"/>
      <c r="CU8" s="320"/>
      <c r="CV8" s="300"/>
      <c r="CW8" s="320">
        <f>BO8</f>
        <v>45658</v>
      </c>
      <c r="CX8" s="300"/>
      <c r="CY8" s="310"/>
      <c r="CZ8" s="311" t="s">
        <v>275</v>
      </c>
      <c r="DA8" s="311"/>
      <c r="DB8" s="312"/>
      <c r="DC8" s="329"/>
      <c r="DD8" s="330"/>
      <c r="DE8" s="329"/>
      <c r="DF8" s="330"/>
      <c r="DG8" s="329"/>
      <c r="DH8" s="330"/>
      <c r="DI8" s="320"/>
      <c r="DJ8" s="300"/>
      <c r="DK8" s="320"/>
      <c r="DL8" s="300"/>
      <c r="DM8" s="312"/>
      <c r="DN8" s="312"/>
      <c r="DO8" s="312"/>
      <c r="DP8" s="312"/>
      <c r="DQ8" s="312"/>
      <c r="DR8" s="312"/>
      <c r="DS8" s="312"/>
      <c r="DT8" s="312"/>
      <c r="DU8" s="312"/>
      <c r="DV8" s="312"/>
      <c r="DW8" s="312"/>
      <c r="DX8" s="312"/>
      <c r="DY8" s="312"/>
      <c r="DZ8" s="312"/>
      <c r="EA8" s="312"/>
      <c r="EB8" s="312"/>
      <c r="EC8" s="312"/>
      <c r="ED8" s="312"/>
      <c r="EE8" s="312">
        <f>CW8</f>
        <v>45658</v>
      </c>
      <c r="EF8" s="312"/>
      <c r="EG8" s="310"/>
      <c r="EH8" s="311" t="s">
        <v>275</v>
      </c>
      <c r="EI8" s="311"/>
      <c r="EJ8" s="312"/>
      <c r="EK8" s="329"/>
      <c r="EL8" s="330"/>
      <c r="EM8" s="329"/>
      <c r="EN8" s="330"/>
      <c r="EO8" s="329"/>
      <c r="EP8" s="330"/>
      <c r="EQ8" s="329"/>
      <c r="ER8" s="330"/>
      <c r="ES8" s="329"/>
      <c r="ET8" s="330"/>
      <c r="EU8" s="312"/>
      <c r="EV8" s="312"/>
      <c r="EW8" s="312"/>
      <c r="EX8" s="312"/>
      <c r="EY8" s="312"/>
      <c r="EZ8" s="312"/>
      <c r="FA8" s="312"/>
      <c r="FB8" s="312"/>
      <c r="FC8" s="312"/>
      <c r="FD8" s="312"/>
      <c r="FE8" s="312"/>
      <c r="FF8" s="312"/>
      <c r="FG8" s="312"/>
      <c r="FH8" s="312"/>
      <c r="FI8" s="312"/>
      <c r="FJ8" s="312"/>
      <c r="FK8" s="312"/>
      <c r="FL8" s="312"/>
      <c r="FM8" s="312">
        <f>EE8</f>
        <v>45658</v>
      </c>
      <c r="FN8" s="312"/>
      <c r="FO8" s="310"/>
      <c r="FP8" s="311" t="s">
        <v>275</v>
      </c>
      <c r="FQ8" s="311"/>
      <c r="FR8" s="312"/>
      <c r="FS8" s="329"/>
      <c r="FT8" s="330"/>
      <c r="FU8" s="329"/>
      <c r="FV8" s="330"/>
      <c r="FW8" s="329"/>
      <c r="FX8" s="330"/>
      <c r="FY8" s="320"/>
      <c r="FZ8" s="300"/>
      <c r="GA8" s="320"/>
      <c r="GB8" s="300"/>
      <c r="GC8" s="320"/>
      <c r="GD8" s="300"/>
      <c r="GE8" s="320"/>
      <c r="GF8" s="300"/>
      <c r="GG8" s="320"/>
      <c r="GH8" s="300"/>
      <c r="GI8" s="312"/>
      <c r="GJ8" s="312"/>
      <c r="GK8" s="312"/>
      <c r="GL8" s="312"/>
      <c r="GM8" s="312"/>
      <c r="GN8" s="312"/>
      <c r="GO8" s="312"/>
      <c r="GP8" s="312"/>
      <c r="GQ8" s="312"/>
      <c r="GR8" s="312"/>
      <c r="GS8" s="312"/>
      <c r="GT8" s="312"/>
      <c r="GU8" s="312">
        <f>FM8</f>
        <v>45658</v>
      </c>
      <c r="GV8" s="312"/>
      <c r="GW8" s="310"/>
      <c r="GX8" s="311" t="s">
        <v>275</v>
      </c>
      <c r="GY8" s="311"/>
      <c r="GZ8" s="312"/>
      <c r="HA8" s="329"/>
      <c r="HB8" s="330"/>
      <c r="HC8" s="329"/>
      <c r="HD8" s="330"/>
      <c r="HE8" s="329"/>
      <c r="HF8" s="330"/>
      <c r="HG8" s="320"/>
      <c r="HH8" s="300"/>
      <c r="HI8" s="320"/>
      <c r="HJ8" s="300"/>
      <c r="HK8" s="320"/>
      <c r="HL8" s="300"/>
      <c r="HM8" s="312"/>
      <c r="HN8" s="312"/>
      <c r="HO8" s="312"/>
      <c r="HP8" s="312"/>
      <c r="HQ8" s="312"/>
      <c r="HR8" s="312"/>
      <c r="HS8" s="312"/>
      <c r="HT8" s="312"/>
      <c r="HU8" s="312"/>
      <c r="HV8" s="312"/>
      <c r="HW8" s="312"/>
      <c r="HX8" s="312"/>
      <c r="HY8" s="312"/>
      <c r="HZ8" s="312"/>
      <c r="IA8" s="312"/>
      <c r="IB8" s="312"/>
      <c r="IC8" s="312">
        <f>GU8</f>
        <v>45658</v>
      </c>
      <c r="ID8" s="312"/>
      <c r="IE8" s="310"/>
      <c r="IF8" s="311" t="s">
        <v>275</v>
      </c>
      <c r="IG8" s="311"/>
      <c r="IH8" s="312"/>
      <c r="II8" s="329"/>
      <c r="IJ8" s="330"/>
      <c r="IK8" s="329"/>
      <c r="IL8" s="330"/>
      <c r="IM8" s="329"/>
      <c r="IN8" s="330"/>
      <c r="IO8" s="320"/>
      <c r="IP8" s="300"/>
      <c r="IQ8" s="320"/>
      <c r="IR8" s="300"/>
      <c r="IS8" s="320"/>
      <c r="IT8" s="300"/>
      <c r="IU8" s="320"/>
      <c r="IV8" s="300"/>
      <c r="IW8" s="320"/>
      <c r="IX8" s="300"/>
      <c r="IY8" s="320"/>
      <c r="IZ8" s="300"/>
      <c r="JA8" s="320"/>
      <c r="JB8" s="300"/>
      <c r="JC8" s="320"/>
      <c r="JD8" s="300"/>
      <c r="JE8" s="320"/>
      <c r="JF8" s="300"/>
      <c r="JG8" s="320"/>
      <c r="JH8" s="300"/>
      <c r="JI8" s="320"/>
      <c r="JJ8" s="300"/>
      <c r="JK8" s="320">
        <f>IC8</f>
        <v>45658</v>
      </c>
      <c r="JL8" s="300"/>
      <c r="JM8" s="310"/>
      <c r="JN8" s="311" t="s">
        <v>275</v>
      </c>
      <c r="JO8" s="311" t="s">
        <v>275</v>
      </c>
      <c r="JP8" s="311"/>
      <c r="JQ8" s="312"/>
      <c r="JR8" s="381"/>
      <c r="JS8" s="381"/>
      <c r="JT8" s="381"/>
      <c r="JU8" s="383"/>
      <c r="JV8" s="384"/>
      <c r="JW8" s="384"/>
      <c r="JX8" s="384"/>
      <c r="JY8" s="384"/>
      <c r="JZ8" s="384"/>
      <c r="KA8" s="312"/>
      <c r="KB8" s="312"/>
      <c r="KC8" s="312"/>
      <c r="KD8" s="312"/>
      <c r="KE8" s="312"/>
      <c r="KF8" s="312">
        <v>45658</v>
      </c>
      <c r="KG8" s="389"/>
      <c r="KH8" s="311" t="s">
        <v>275</v>
      </c>
      <c r="KI8" s="311" t="s">
        <v>275</v>
      </c>
      <c r="KJ8" s="312"/>
      <c r="KK8" s="381"/>
      <c r="KL8" s="381"/>
      <c r="KM8" s="381"/>
      <c r="KN8" s="383"/>
      <c r="KO8" s="384"/>
      <c r="KP8" s="384"/>
      <c r="KQ8" s="384"/>
      <c r="KR8" s="384"/>
      <c r="KS8" s="384"/>
      <c r="KT8" s="312"/>
      <c r="KU8" s="312"/>
      <c r="KV8" s="312"/>
      <c r="KW8" s="312"/>
      <c r="KX8" s="312"/>
      <c r="KY8" s="312">
        <f t="shared" ref="KY8" si="0">KF8</f>
        <v>45658</v>
      </c>
    </row>
    <row r="9" s="272" customFormat="1" spans="1:311">
      <c r="A9" s="273"/>
      <c r="B9" s="275"/>
      <c r="C9" s="275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 t="s">
        <v>58</v>
      </c>
      <c r="AH9" s="276" t="s">
        <v>469</v>
      </c>
      <c r="AI9" s="310"/>
      <c r="AJ9" s="275"/>
      <c r="AK9" s="275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6"/>
      <c r="AX9" s="276"/>
      <c r="AY9" s="276"/>
      <c r="AZ9" s="276"/>
      <c r="BA9" s="276"/>
      <c r="BB9" s="276"/>
      <c r="BC9" s="276"/>
      <c r="BD9" s="276"/>
      <c r="BE9" s="276"/>
      <c r="BF9" s="276"/>
      <c r="BG9" s="276"/>
      <c r="BH9" s="276"/>
      <c r="BI9" s="276"/>
      <c r="BJ9" s="276"/>
      <c r="BK9" s="276"/>
      <c r="BL9" s="276"/>
      <c r="BM9" s="276"/>
      <c r="BN9" s="276"/>
      <c r="BO9" s="276" t="s">
        <v>58</v>
      </c>
      <c r="BP9" s="276" t="s">
        <v>469</v>
      </c>
      <c r="BQ9" s="310"/>
      <c r="BR9" s="275"/>
      <c r="BS9" s="275"/>
      <c r="BT9" s="276"/>
      <c r="BU9" s="276"/>
      <c r="BV9" s="276"/>
      <c r="BW9" s="276"/>
      <c r="BX9" s="276"/>
      <c r="BY9" s="276"/>
      <c r="BZ9" s="276"/>
      <c r="CA9" s="276"/>
      <c r="CB9" s="276"/>
      <c r="CC9" s="276"/>
      <c r="CD9" s="276"/>
      <c r="CE9" s="276"/>
      <c r="CF9" s="276"/>
      <c r="CG9" s="276"/>
      <c r="CH9" s="276"/>
      <c r="CI9" s="276"/>
      <c r="CJ9" s="276"/>
      <c r="CK9" s="276"/>
      <c r="CL9" s="276"/>
      <c r="CM9" s="276"/>
      <c r="CN9" s="276"/>
      <c r="CO9" s="276"/>
      <c r="CP9" s="276"/>
      <c r="CQ9" s="276"/>
      <c r="CR9" s="276"/>
      <c r="CS9" s="276"/>
      <c r="CT9" s="276"/>
      <c r="CU9" s="276"/>
      <c r="CV9" s="276"/>
      <c r="CW9" s="276" t="s">
        <v>58</v>
      </c>
      <c r="CX9" s="276" t="s">
        <v>469</v>
      </c>
      <c r="CY9" s="310"/>
      <c r="CZ9" s="275"/>
      <c r="DA9" s="275"/>
      <c r="DB9" s="276"/>
      <c r="DC9" s="276"/>
      <c r="DD9" s="276"/>
      <c r="DE9" s="276"/>
      <c r="DF9" s="276"/>
      <c r="DG9" s="276"/>
      <c r="DH9" s="276"/>
      <c r="DI9" s="276"/>
      <c r="DJ9" s="276"/>
      <c r="DK9" s="276"/>
      <c r="DL9" s="276"/>
      <c r="DM9" s="276"/>
      <c r="DN9" s="276"/>
      <c r="DO9" s="276"/>
      <c r="DP9" s="276"/>
      <c r="DQ9" s="276"/>
      <c r="DR9" s="276"/>
      <c r="DS9" s="276"/>
      <c r="DT9" s="276"/>
      <c r="DU9" s="276"/>
      <c r="DV9" s="276"/>
      <c r="DW9" s="276"/>
      <c r="DX9" s="276"/>
      <c r="DY9" s="276"/>
      <c r="DZ9" s="276"/>
      <c r="EA9" s="276"/>
      <c r="EB9" s="276"/>
      <c r="EC9" s="276"/>
      <c r="ED9" s="276"/>
      <c r="EE9" s="276" t="s">
        <v>58</v>
      </c>
      <c r="EF9" s="276" t="s">
        <v>469</v>
      </c>
      <c r="EG9" s="310"/>
      <c r="EH9" s="275"/>
      <c r="EI9" s="275"/>
      <c r="EJ9" s="276"/>
      <c r="EK9" s="276"/>
      <c r="EL9" s="276"/>
      <c r="EM9" s="276"/>
      <c r="EN9" s="276"/>
      <c r="EO9" s="276"/>
      <c r="EP9" s="276"/>
      <c r="EQ9" s="276"/>
      <c r="ER9" s="276"/>
      <c r="ES9" s="276"/>
      <c r="ET9" s="276"/>
      <c r="EU9" s="276"/>
      <c r="EV9" s="276"/>
      <c r="EW9" s="276"/>
      <c r="EX9" s="276"/>
      <c r="EY9" s="276"/>
      <c r="EZ9" s="276"/>
      <c r="FA9" s="276"/>
      <c r="FB9" s="276"/>
      <c r="FC9" s="276"/>
      <c r="FD9" s="276"/>
      <c r="FE9" s="276"/>
      <c r="FF9" s="276"/>
      <c r="FG9" s="276"/>
      <c r="FH9" s="276"/>
      <c r="FI9" s="276"/>
      <c r="FJ9" s="276"/>
      <c r="FK9" s="276"/>
      <c r="FL9" s="276"/>
      <c r="FM9" s="276" t="s">
        <v>58</v>
      </c>
      <c r="FN9" s="276" t="s">
        <v>469</v>
      </c>
      <c r="FO9" s="310"/>
      <c r="FP9" s="275"/>
      <c r="FQ9" s="275"/>
      <c r="FR9" s="276"/>
      <c r="FS9" s="276"/>
      <c r="FT9" s="276"/>
      <c r="FU9" s="276"/>
      <c r="FV9" s="276"/>
      <c r="FW9" s="276"/>
      <c r="FX9" s="276"/>
      <c r="FY9" s="276"/>
      <c r="FZ9" s="276"/>
      <c r="GA9" s="276"/>
      <c r="GB9" s="276"/>
      <c r="GC9" s="276"/>
      <c r="GD9" s="276"/>
      <c r="GE9" s="276"/>
      <c r="GF9" s="276"/>
      <c r="GG9" s="276"/>
      <c r="GH9" s="276"/>
      <c r="GI9" s="276"/>
      <c r="GJ9" s="276"/>
      <c r="GK9" s="276"/>
      <c r="GL9" s="276"/>
      <c r="GM9" s="276"/>
      <c r="GN9" s="276"/>
      <c r="GO9" s="276"/>
      <c r="GP9" s="276"/>
      <c r="GQ9" s="276"/>
      <c r="GR9" s="276"/>
      <c r="GS9" s="276"/>
      <c r="GT9" s="276"/>
      <c r="GU9" s="276" t="s">
        <v>58</v>
      </c>
      <c r="GV9" s="276" t="s">
        <v>469</v>
      </c>
      <c r="GW9" s="310"/>
      <c r="GX9" s="275"/>
      <c r="GY9" s="275"/>
      <c r="GZ9" s="276"/>
      <c r="HA9" s="276"/>
      <c r="HB9" s="276"/>
      <c r="HC9" s="276"/>
      <c r="HD9" s="276"/>
      <c r="HE9" s="276"/>
      <c r="HF9" s="276"/>
      <c r="HG9" s="276"/>
      <c r="HH9" s="276"/>
      <c r="HI9" s="276"/>
      <c r="HJ9" s="276"/>
      <c r="HK9" s="276"/>
      <c r="HL9" s="276"/>
      <c r="HM9" s="276"/>
      <c r="HN9" s="276"/>
      <c r="HO9" s="276"/>
      <c r="HP9" s="276"/>
      <c r="HQ9" s="276"/>
      <c r="HR9" s="276"/>
      <c r="HS9" s="276"/>
      <c r="HT9" s="276"/>
      <c r="HU9" s="276"/>
      <c r="HV9" s="276"/>
      <c r="HW9" s="276"/>
      <c r="HX9" s="276"/>
      <c r="HY9" s="276"/>
      <c r="HZ9" s="276"/>
      <c r="IA9" s="276"/>
      <c r="IB9" s="276"/>
      <c r="IC9" s="276" t="s">
        <v>58</v>
      </c>
      <c r="ID9" s="276" t="s">
        <v>469</v>
      </c>
      <c r="IE9" s="310"/>
      <c r="IF9" s="275"/>
      <c r="IG9" s="275"/>
      <c r="IH9" s="276"/>
      <c r="II9" s="276"/>
      <c r="IJ9" s="276"/>
      <c r="IK9" s="276"/>
      <c r="IL9" s="276"/>
      <c r="IM9" s="276"/>
      <c r="IN9" s="276"/>
      <c r="IO9" s="276"/>
      <c r="IP9" s="276"/>
      <c r="IQ9" s="276"/>
      <c r="IR9" s="276"/>
      <c r="IS9" s="276"/>
      <c r="IT9" s="276"/>
      <c r="IU9" s="276"/>
      <c r="IV9" s="276"/>
      <c r="IW9" s="276"/>
      <c r="IX9" s="276"/>
      <c r="IY9" s="276"/>
      <c r="IZ9" s="276"/>
      <c r="JA9" s="276"/>
      <c r="JB9" s="276"/>
      <c r="JC9" s="276"/>
      <c r="JD9" s="276"/>
      <c r="JE9" s="276"/>
      <c r="JF9" s="276"/>
      <c r="JG9" s="276"/>
      <c r="JH9" s="276"/>
      <c r="JI9" s="276"/>
      <c r="JJ9" s="276"/>
      <c r="JK9" s="276" t="s">
        <v>58</v>
      </c>
      <c r="JL9" s="276" t="s">
        <v>469</v>
      </c>
      <c r="JM9" s="310"/>
      <c r="JN9" s="275"/>
      <c r="JO9" s="275"/>
      <c r="JP9" s="275"/>
      <c r="JQ9" s="276"/>
      <c r="JR9" s="276"/>
      <c r="JS9" s="276"/>
      <c r="JT9" s="276"/>
      <c r="JU9" s="276"/>
      <c r="JV9" s="276"/>
      <c r="JW9" s="276"/>
      <c r="JX9" s="276"/>
      <c r="JY9" s="276"/>
      <c r="JZ9" s="276"/>
      <c r="KA9" s="276"/>
      <c r="KB9" s="276"/>
      <c r="KC9" s="276"/>
      <c r="KD9" s="276"/>
      <c r="KE9" s="276"/>
      <c r="KF9" s="276" t="s">
        <v>58</v>
      </c>
      <c r="KG9" s="390"/>
      <c r="KH9" s="275"/>
      <c r="KI9" s="275"/>
      <c r="KJ9" s="276"/>
      <c r="KK9" s="276"/>
      <c r="KL9" s="276"/>
      <c r="KM9" s="276"/>
      <c r="KN9" s="276"/>
      <c r="KO9" s="276"/>
      <c r="KP9" s="276"/>
      <c r="KQ9" s="276"/>
      <c r="KR9" s="276"/>
      <c r="KS9" s="276"/>
      <c r="KT9" s="276"/>
      <c r="KU9" s="276"/>
      <c r="KV9" s="276"/>
      <c r="KW9" s="276"/>
      <c r="KX9" s="276"/>
      <c r="KY9" s="276" t="s">
        <v>58</v>
      </c>
    </row>
    <row r="10" s="272" customFormat="1" spans="1:311">
      <c r="A10" s="273"/>
      <c r="B10" s="275" t="s">
        <v>309</v>
      </c>
      <c r="C10" s="292" t="s">
        <v>309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300"/>
      <c r="R10" s="300"/>
      <c r="S10" s="300"/>
      <c r="T10" s="300"/>
      <c r="U10" s="300"/>
      <c r="V10" s="300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310"/>
      <c r="AJ10" s="275"/>
      <c r="AK10" s="292" t="s">
        <v>309</v>
      </c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6"/>
      <c r="BD10" s="276"/>
      <c r="BE10" s="276"/>
      <c r="BF10" s="276"/>
      <c r="BG10" s="276"/>
      <c r="BH10" s="276"/>
      <c r="BI10" s="276"/>
      <c r="BJ10" s="276"/>
      <c r="BK10" s="276"/>
      <c r="BL10" s="276"/>
      <c r="BM10" s="276"/>
      <c r="BN10" s="276"/>
      <c r="BO10" s="276"/>
      <c r="BP10" s="276"/>
      <c r="BQ10" s="310"/>
      <c r="BR10" s="292" t="s">
        <v>470</v>
      </c>
      <c r="BS10" s="275"/>
      <c r="BT10" s="276"/>
      <c r="BU10" s="276"/>
      <c r="BV10" s="276"/>
      <c r="BW10" s="276"/>
      <c r="BX10" s="276"/>
      <c r="BY10" s="276"/>
      <c r="BZ10" s="276"/>
      <c r="CA10" s="276"/>
      <c r="CB10" s="276"/>
      <c r="CC10" s="276"/>
      <c r="CD10" s="276"/>
      <c r="CE10" s="276"/>
      <c r="CF10" s="276"/>
      <c r="CG10" s="276"/>
      <c r="CH10" s="276"/>
      <c r="CI10" s="276"/>
      <c r="CJ10" s="276"/>
      <c r="CK10" s="276"/>
      <c r="CL10" s="276"/>
      <c r="CM10" s="276"/>
      <c r="CN10" s="276"/>
      <c r="CO10" s="276"/>
      <c r="CP10" s="276"/>
      <c r="CQ10" s="276"/>
      <c r="CR10" s="276"/>
      <c r="CS10" s="276"/>
      <c r="CT10" s="276"/>
      <c r="CU10" s="276"/>
      <c r="CV10" s="276"/>
      <c r="CW10" s="276"/>
      <c r="CX10" s="276"/>
      <c r="CY10" s="310"/>
      <c r="CZ10" s="292" t="s">
        <v>309</v>
      </c>
      <c r="DA10" s="275"/>
      <c r="DB10" s="276"/>
      <c r="DC10" s="276"/>
      <c r="DD10" s="276"/>
      <c r="DE10" s="276"/>
      <c r="DF10" s="276"/>
      <c r="DG10" s="276"/>
      <c r="DH10" s="276"/>
      <c r="DI10" s="276"/>
      <c r="DJ10" s="276"/>
      <c r="DK10" s="276"/>
      <c r="DL10" s="276"/>
      <c r="DM10" s="276"/>
      <c r="DN10" s="276"/>
      <c r="DO10" s="276"/>
      <c r="DP10" s="276"/>
      <c r="DQ10" s="276"/>
      <c r="DR10" s="276"/>
      <c r="DS10" s="276"/>
      <c r="DT10" s="276"/>
      <c r="DU10" s="276"/>
      <c r="DV10" s="276"/>
      <c r="DW10" s="276"/>
      <c r="DX10" s="276"/>
      <c r="DY10" s="276"/>
      <c r="DZ10" s="276"/>
      <c r="EA10" s="276"/>
      <c r="EB10" s="276"/>
      <c r="EC10" s="276"/>
      <c r="ED10" s="276"/>
      <c r="EE10" s="276"/>
      <c r="EF10" s="276"/>
      <c r="EG10" s="310"/>
      <c r="EH10" s="292" t="s">
        <v>309</v>
      </c>
      <c r="EI10" s="275"/>
      <c r="EJ10" s="276"/>
      <c r="EK10" s="276"/>
      <c r="EL10" s="276"/>
      <c r="EM10" s="276"/>
      <c r="EN10" s="276"/>
      <c r="EO10" s="276"/>
      <c r="EP10" s="276"/>
      <c r="EQ10" s="276"/>
      <c r="ER10" s="276"/>
      <c r="ES10" s="276"/>
      <c r="ET10" s="276"/>
      <c r="EU10" s="276"/>
      <c r="EV10" s="276"/>
      <c r="EW10" s="276"/>
      <c r="EX10" s="276"/>
      <c r="EY10" s="276"/>
      <c r="EZ10" s="276"/>
      <c r="FA10" s="276"/>
      <c r="FB10" s="276"/>
      <c r="FC10" s="276"/>
      <c r="FD10" s="276"/>
      <c r="FE10" s="276"/>
      <c r="FF10" s="276"/>
      <c r="FG10" s="276"/>
      <c r="FH10" s="276"/>
      <c r="FI10" s="276"/>
      <c r="FJ10" s="276"/>
      <c r="FK10" s="276"/>
      <c r="FL10" s="276"/>
      <c r="FM10" s="276"/>
      <c r="FN10" s="276"/>
      <c r="FO10" s="310"/>
      <c r="FP10" s="292" t="s">
        <v>309</v>
      </c>
      <c r="FQ10" s="275"/>
      <c r="FR10" s="276"/>
      <c r="FS10" s="276"/>
      <c r="FT10" s="276"/>
      <c r="FU10" s="276"/>
      <c r="FV10" s="276"/>
      <c r="FW10" s="276"/>
      <c r="FX10" s="276"/>
      <c r="FY10" s="276"/>
      <c r="FZ10" s="276"/>
      <c r="GA10" s="276"/>
      <c r="GB10" s="276"/>
      <c r="GC10" s="276"/>
      <c r="GD10" s="276"/>
      <c r="GE10" s="276"/>
      <c r="GF10" s="276"/>
      <c r="GG10" s="276"/>
      <c r="GH10" s="276"/>
      <c r="GI10" s="276"/>
      <c r="GJ10" s="276"/>
      <c r="GK10" s="276"/>
      <c r="GL10" s="276"/>
      <c r="GM10" s="276"/>
      <c r="GN10" s="276"/>
      <c r="GO10" s="276"/>
      <c r="GP10" s="276"/>
      <c r="GQ10" s="276"/>
      <c r="GR10" s="276"/>
      <c r="GS10" s="276"/>
      <c r="GT10" s="276"/>
      <c r="GU10" s="276"/>
      <c r="GV10" s="276"/>
      <c r="GW10" s="310"/>
      <c r="GX10" s="292" t="s">
        <v>309</v>
      </c>
      <c r="GY10" s="275"/>
      <c r="GZ10" s="276"/>
      <c r="HA10" s="276"/>
      <c r="HB10" s="276"/>
      <c r="HC10" s="276"/>
      <c r="HD10" s="276"/>
      <c r="HE10" s="276"/>
      <c r="HF10" s="276"/>
      <c r="HG10" s="276"/>
      <c r="HH10" s="276"/>
      <c r="HI10" s="276"/>
      <c r="HJ10" s="276"/>
      <c r="HK10" s="276"/>
      <c r="HL10" s="276"/>
      <c r="HM10" s="276"/>
      <c r="HN10" s="276"/>
      <c r="HO10" s="276"/>
      <c r="HP10" s="276"/>
      <c r="HQ10" s="276"/>
      <c r="HR10" s="276"/>
      <c r="HS10" s="276"/>
      <c r="HT10" s="276"/>
      <c r="HU10" s="276"/>
      <c r="HV10" s="276"/>
      <c r="HW10" s="276"/>
      <c r="HX10" s="276"/>
      <c r="HY10" s="276"/>
      <c r="HZ10" s="276"/>
      <c r="IA10" s="276"/>
      <c r="IB10" s="276"/>
      <c r="IC10" s="276"/>
      <c r="ID10" s="276"/>
      <c r="IE10" s="310"/>
      <c r="IF10" s="292"/>
      <c r="IG10" s="275"/>
      <c r="IH10" s="276"/>
      <c r="II10" s="276"/>
      <c r="IJ10" s="276"/>
      <c r="IK10" s="276"/>
      <c r="IL10" s="276"/>
      <c r="IM10" s="276"/>
      <c r="IN10" s="276"/>
      <c r="IO10" s="276"/>
      <c r="IP10" s="276"/>
      <c r="IQ10" s="276"/>
      <c r="IR10" s="276"/>
      <c r="IS10" s="276"/>
      <c r="IT10" s="276"/>
      <c r="IU10" s="276"/>
      <c r="IV10" s="276"/>
      <c r="IW10" s="276"/>
      <c r="IX10" s="276"/>
      <c r="IY10" s="276"/>
      <c r="IZ10" s="276"/>
      <c r="JA10" s="276"/>
      <c r="JB10" s="276"/>
      <c r="JC10" s="276"/>
      <c r="JD10" s="276"/>
      <c r="JE10" s="276"/>
      <c r="JF10" s="276"/>
      <c r="JG10" s="276"/>
      <c r="JH10" s="276"/>
      <c r="JI10" s="276"/>
      <c r="JJ10" s="276"/>
      <c r="JK10" s="276"/>
      <c r="JL10" s="276"/>
      <c r="JM10" s="310"/>
      <c r="JN10" s="275"/>
      <c r="JO10" s="275"/>
      <c r="JP10" s="275"/>
      <c r="JQ10" s="276"/>
      <c r="JR10" s="276"/>
      <c r="JS10" s="276"/>
      <c r="JT10" s="276"/>
      <c r="JU10" s="276"/>
      <c r="JV10" s="276"/>
      <c r="JW10" s="276"/>
      <c r="JX10" s="276"/>
      <c r="JY10" s="276"/>
      <c r="JZ10" s="276"/>
      <c r="KA10" s="276"/>
      <c r="KB10" s="276"/>
      <c r="KC10" s="300"/>
      <c r="KD10" s="300"/>
      <c r="KE10" s="300"/>
      <c r="KF10" s="300"/>
      <c r="KG10" s="390"/>
      <c r="KH10" s="275"/>
      <c r="KI10" s="275"/>
      <c r="KJ10" s="276"/>
      <c r="KK10" s="276"/>
      <c r="KL10" s="276"/>
      <c r="KM10" s="276"/>
      <c r="KN10" s="276"/>
      <c r="KO10" s="276"/>
      <c r="KP10" s="276"/>
      <c r="KQ10" s="276"/>
      <c r="KR10" s="276"/>
      <c r="KS10" s="276"/>
      <c r="KT10" s="276"/>
      <c r="KU10" s="276"/>
      <c r="KV10" s="300"/>
      <c r="KW10" s="276"/>
      <c r="KX10" s="276"/>
      <c r="KY10" s="276"/>
    </row>
    <row r="11" spans="2:311">
      <c r="B11" s="279" t="s">
        <v>471</v>
      </c>
      <c r="C11" s="279" t="s">
        <v>471</v>
      </c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301"/>
      <c r="V11" s="301"/>
      <c r="W11" s="302"/>
      <c r="X11" s="302"/>
      <c r="Y11" s="301"/>
      <c r="Z11" s="301"/>
      <c r="AA11" s="303"/>
      <c r="AB11" s="303"/>
      <c r="AC11" s="303"/>
      <c r="AD11" s="303"/>
      <c r="AE11" s="303"/>
      <c r="AF11" s="303"/>
      <c r="AG11" s="303">
        <f ca="1">SUMIF('Working-Jan-25'!$C$600:$C$694,C11,'Working-Jan-25'!$D$600:$D$694)</f>
        <v>210420</v>
      </c>
      <c r="AH11" s="303">
        <f ca="1">IFERROR(AG11/$AG$3,0)</f>
        <v>7.32150313152401</v>
      </c>
      <c r="AJ11" s="306" t="s">
        <v>471</v>
      </c>
      <c r="AK11" s="306" t="s">
        <v>471</v>
      </c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  <c r="BI11" s="307"/>
      <c r="BJ11" s="307"/>
      <c r="BK11" s="307"/>
      <c r="BL11" s="307"/>
      <c r="BM11" s="307"/>
      <c r="BN11" s="307"/>
      <c r="BO11" s="307">
        <f ca="1">SUMIF('Working-Jan-25'!$C$600:$C$694,AK11,'Working-Jan-25'!$H$600:$H$694)</f>
        <v>0</v>
      </c>
      <c r="BP11" s="307">
        <f ca="1" t="shared" ref="BP11:BP26" si="1">IFERROR(BO11/$BM$3,0)</f>
        <v>0</v>
      </c>
      <c r="BR11" s="321" t="s">
        <v>472</v>
      </c>
      <c r="BS11" s="321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  <c r="CH11" s="322"/>
      <c r="CI11" s="322"/>
      <c r="CJ11" s="316"/>
      <c r="CK11" s="322"/>
      <c r="CL11" s="316"/>
      <c r="CM11" s="322"/>
      <c r="CN11" s="316"/>
      <c r="CO11" s="322"/>
      <c r="CP11" s="316"/>
      <c r="CQ11" s="322"/>
      <c r="CR11" s="316"/>
      <c r="CS11" s="322"/>
      <c r="CT11" s="316"/>
      <c r="CU11" s="322"/>
      <c r="CV11" s="316"/>
      <c r="CW11" s="322">
        <f ca="1">SUMIF('Working-Jan-25'!$C$600:$C$694,BR11,'Working-Jan-25'!$G$600:$G$694)</f>
        <v>5161807.2</v>
      </c>
      <c r="CX11" s="316">
        <f ca="1">IFERROR(CW11/$CW$2,0)</f>
        <v>165</v>
      </c>
      <c r="CZ11" s="337" t="s">
        <v>472</v>
      </c>
      <c r="DA11" s="337"/>
      <c r="DB11" s="341"/>
      <c r="DC11" s="341"/>
      <c r="DD11" s="341"/>
      <c r="DE11" s="341"/>
      <c r="DF11" s="341"/>
      <c r="DG11" s="341"/>
      <c r="DH11" s="341"/>
      <c r="DI11" s="341"/>
      <c r="DJ11" s="341"/>
      <c r="DK11" s="341"/>
      <c r="DL11" s="341"/>
      <c r="DM11" s="341"/>
      <c r="DN11" s="341"/>
      <c r="DO11" s="341"/>
      <c r="DP11" s="341"/>
      <c r="DQ11" s="341"/>
      <c r="DR11" s="341"/>
      <c r="DS11" s="341"/>
      <c r="DT11" s="341"/>
      <c r="DU11" s="341"/>
      <c r="DV11" s="341"/>
      <c r="DW11" s="341"/>
      <c r="DX11" s="341"/>
      <c r="DY11" s="341"/>
      <c r="DZ11" s="341"/>
      <c r="EA11" s="341"/>
      <c r="EB11" s="341"/>
      <c r="EC11" s="341"/>
      <c r="ED11" s="341"/>
      <c r="EE11" s="341">
        <f ca="1">SUMIF('Working-Jan-25'!$C$600:$C$694,CZ11,'Working-Jan-25'!$K$600:$K$694)</f>
        <v>0</v>
      </c>
      <c r="EF11" s="341">
        <f ca="1">EE11/6618.78</f>
        <v>0</v>
      </c>
      <c r="EH11" s="347" t="s">
        <v>473</v>
      </c>
      <c r="EI11" s="347"/>
      <c r="EJ11" s="348"/>
      <c r="EK11" s="348"/>
      <c r="EL11" s="348"/>
      <c r="EM11" s="348"/>
      <c r="EN11" s="348"/>
      <c r="EO11" s="348"/>
      <c r="EP11" s="348"/>
      <c r="EQ11" s="348"/>
      <c r="ER11" s="348"/>
      <c r="ES11" s="348"/>
      <c r="ET11" s="348"/>
      <c r="EU11" s="348"/>
      <c r="EV11" s="348"/>
      <c r="EW11" s="348"/>
      <c r="EX11" s="348"/>
      <c r="EY11" s="348"/>
      <c r="EZ11" s="348"/>
      <c r="FA11" s="348"/>
      <c r="FB11" s="348"/>
      <c r="FC11" s="348"/>
      <c r="FD11" s="348"/>
      <c r="FE11" s="348"/>
      <c r="FF11" s="348"/>
      <c r="FG11" s="354"/>
      <c r="FH11" s="354"/>
      <c r="FI11" s="355"/>
      <c r="FJ11" s="355"/>
      <c r="FK11" s="355"/>
      <c r="FL11" s="355"/>
      <c r="FM11" s="355">
        <f ca="1">SUMIF('Working-Jan-25'!$C$600:$C$694,EH11,'Working-Jan-25'!$Q$600:$Q$694)</f>
        <v>481356.97</v>
      </c>
      <c r="FN11" s="355">
        <f ca="1">IFERROR(FM11/$FM$3,0)</f>
        <v>16.7837158298466</v>
      </c>
      <c r="FP11" s="358" t="s">
        <v>472</v>
      </c>
      <c r="FQ11" s="358"/>
      <c r="FR11" s="359"/>
      <c r="FS11" s="359"/>
      <c r="FT11" s="359"/>
      <c r="FU11" s="359"/>
      <c r="FV11" s="359"/>
      <c r="FW11" s="359"/>
      <c r="FX11" s="359"/>
      <c r="FY11" s="359"/>
      <c r="FZ11" s="359"/>
      <c r="GA11" s="359"/>
      <c r="GB11" s="359"/>
      <c r="GC11" s="359"/>
      <c r="GD11" s="359"/>
      <c r="GE11" s="359"/>
      <c r="GF11" s="359"/>
      <c r="GG11" s="359"/>
      <c r="GH11" s="365"/>
      <c r="GI11" s="359"/>
      <c r="GJ11" s="365"/>
      <c r="GK11" s="359"/>
      <c r="GL11" s="365"/>
      <c r="GM11" s="359"/>
      <c r="GN11" s="365"/>
      <c r="GO11" s="359"/>
      <c r="GP11" s="365"/>
      <c r="GQ11" s="359"/>
      <c r="GR11" s="365"/>
      <c r="GS11" s="359"/>
      <c r="GT11" s="365"/>
      <c r="GU11" s="359">
        <f ca="1">SUMIF('Working-Jan-25'!$C$600:$C$694,FP11,'Working-Jan-25'!$R$600:$R$694)</f>
        <v>856794.75</v>
      </c>
      <c r="GV11" s="365">
        <f ca="1">GU11/GU2</f>
        <v>37.2722509262655</v>
      </c>
      <c r="GX11" s="368" t="s">
        <v>474</v>
      </c>
      <c r="GY11" s="368"/>
      <c r="GZ11" s="369"/>
      <c r="HA11" s="369"/>
      <c r="HB11" s="369"/>
      <c r="HC11" s="369"/>
      <c r="HD11" s="369"/>
      <c r="HE11" s="369"/>
      <c r="HF11" s="369"/>
      <c r="HG11" s="369"/>
      <c r="HH11" s="369"/>
      <c r="HI11" s="369"/>
      <c r="HJ11" s="369"/>
      <c r="HK11" s="369"/>
      <c r="HL11" s="369"/>
      <c r="HM11" s="369"/>
      <c r="HN11" s="369"/>
      <c r="HO11" s="369"/>
      <c r="HP11" s="369"/>
      <c r="HQ11" s="369"/>
      <c r="HR11" s="369"/>
      <c r="HS11" s="369"/>
      <c r="HT11" s="369"/>
      <c r="HU11" s="369"/>
      <c r="HV11" s="369"/>
      <c r="HW11" s="376"/>
      <c r="HX11" s="376"/>
      <c r="HY11" s="378"/>
      <c r="HZ11" s="378"/>
      <c r="IA11" s="378"/>
      <c r="IB11" s="378"/>
      <c r="IC11" s="378">
        <f ca="1">SUMIF('Working-Jan-25'!$C$600:$C$694,GX11,'Working-Jan-25'!$F$600:$F$694)</f>
        <v>1750000</v>
      </c>
      <c r="ID11" s="378">
        <f ca="1">IFERROR(IC11/$IC$3,0)</f>
        <v>45.4010842038343</v>
      </c>
      <c r="IF11" s="371" t="str">
        <f>GX12</f>
        <v>Repairs &amp; maintenance - Plant</v>
      </c>
      <c r="IG11" s="371"/>
      <c r="IH11" s="369"/>
      <c r="II11" s="369"/>
      <c r="IJ11" s="369"/>
      <c r="IK11" s="369"/>
      <c r="IL11" s="369"/>
      <c r="IM11" s="369"/>
      <c r="IN11" s="369"/>
      <c r="IO11" s="369"/>
      <c r="IP11" s="369"/>
      <c r="IQ11" s="369"/>
      <c r="IR11" s="369"/>
      <c r="IS11" s="369"/>
      <c r="IT11" s="369"/>
      <c r="IU11" s="369"/>
      <c r="IV11" s="369"/>
      <c r="IW11" s="369"/>
      <c r="IX11" s="369"/>
      <c r="IY11" s="369"/>
      <c r="IZ11" s="369"/>
      <c r="JA11" s="369"/>
      <c r="JB11" s="369"/>
      <c r="JC11" s="369"/>
      <c r="JD11" s="369"/>
      <c r="JE11" s="369"/>
      <c r="JF11" s="369"/>
      <c r="JG11" s="369"/>
      <c r="JH11" s="369"/>
      <c r="JI11" s="369"/>
      <c r="JJ11" s="369"/>
      <c r="JK11" s="369"/>
      <c r="JL11" s="369"/>
      <c r="JN11" s="37" t="s">
        <v>475</v>
      </c>
      <c r="JO11" s="37" t="s">
        <v>476</v>
      </c>
      <c r="JP11" s="37"/>
      <c r="JQ11" s="382"/>
      <c r="JR11" s="382"/>
      <c r="JS11" s="382"/>
      <c r="JT11" s="382"/>
      <c r="JU11" s="382"/>
      <c r="JV11" s="385"/>
      <c r="JW11" s="386"/>
      <c r="JX11" s="386"/>
      <c r="JY11" s="386"/>
      <c r="JZ11" s="386"/>
      <c r="KA11" s="387"/>
      <c r="KB11" s="387"/>
      <c r="KC11" s="387"/>
      <c r="KD11" s="386"/>
      <c r="KE11" s="386"/>
      <c r="KF11" s="386">
        <f>'Input Sheet'!AO83</f>
        <v>1408903</v>
      </c>
      <c r="KG11" s="391"/>
      <c r="KH11" s="386" t="s">
        <v>477</v>
      </c>
      <c r="KI11" s="392" t="s">
        <v>477</v>
      </c>
      <c r="KJ11" s="385"/>
      <c r="KK11" s="385"/>
      <c r="KL11" s="385"/>
      <c r="KM11" s="385"/>
      <c r="KN11" s="385"/>
      <c r="KO11" s="385"/>
      <c r="KP11" s="386"/>
      <c r="KQ11" s="386"/>
      <c r="KR11" s="386"/>
      <c r="KS11" s="396"/>
      <c r="KT11" s="396"/>
      <c r="KU11" s="396"/>
      <c r="KV11" s="396"/>
      <c r="KW11" s="396"/>
      <c r="KX11" s="396"/>
      <c r="KY11" s="396">
        <f ca="1">SUMIF('Working-Jan-25'!$C$600:$C$694,KI11,'Working-Jan-25'!$I$600:$I$694)</f>
        <v>291350</v>
      </c>
    </row>
    <row r="12" spans="2:311">
      <c r="B12" s="279" t="s">
        <v>478</v>
      </c>
      <c r="C12" s="279" t="s">
        <v>478</v>
      </c>
      <c r="D12" s="280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301"/>
      <c r="V12" s="301"/>
      <c r="W12" s="302"/>
      <c r="X12" s="302"/>
      <c r="Y12" s="301"/>
      <c r="Z12" s="301"/>
      <c r="AA12" s="303"/>
      <c r="AB12" s="303"/>
      <c r="AC12" s="303"/>
      <c r="AD12" s="303"/>
      <c r="AE12" s="303"/>
      <c r="AF12" s="303"/>
      <c r="AG12" s="303">
        <f ca="1">SUMIF('Working-Jan-25'!$C$600:$C$694,C12,'Working-Jan-25'!$D$600:$D$694)</f>
        <v>447353.54</v>
      </c>
      <c r="AH12" s="303">
        <f ca="1" t="shared" ref="AH12:AH37" si="2">IFERROR(AG12/$AG$3,0)</f>
        <v>15.565537230341</v>
      </c>
      <c r="AJ12" s="306" t="s">
        <v>478</v>
      </c>
      <c r="AK12" s="306" t="s">
        <v>478</v>
      </c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  <c r="BI12" s="307"/>
      <c r="BJ12" s="307"/>
      <c r="BK12" s="307"/>
      <c r="BL12" s="307"/>
      <c r="BM12" s="307"/>
      <c r="BN12" s="307"/>
      <c r="BO12" s="307">
        <f ca="1">SUMIF('Working-Jan-25'!$C$600:$C$694,AK12,'Working-Jan-25'!$H$600:$H$694)</f>
        <v>0</v>
      </c>
      <c r="BP12" s="307">
        <f ca="1" t="shared" si="1"/>
        <v>0</v>
      </c>
      <c r="BR12" s="315"/>
      <c r="BS12" s="315"/>
      <c r="BT12" s="316"/>
      <c r="BU12" s="316"/>
      <c r="BV12" s="316"/>
      <c r="BW12" s="316"/>
      <c r="BX12" s="316"/>
      <c r="BY12" s="316"/>
      <c r="BZ12" s="316"/>
      <c r="CA12" s="316"/>
      <c r="CB12" s="316"/>
      <c r="CC12" s="316"/>
      <c r="CD12" s="316"/>
      <c r="CE12" s="316"/>
      <c r="CF12" s="316"/>
      <c r="CG12" s="316"/>
      <c r="CH12" s="316"/>
      <c r="CI12" s="316"/>
      <c r="CJ12" s="316"/>
      <c r="CK12" s="316"/>
      <c r="CL12" s="316"/>
      <c r="CM12" s="322"/>
      <c r="CN12" s="316"/>
      <c r="CO12" s="322"/>
      <c r="CP12" s="316"/>
      <c r="CQ12" s="322"/>
      <c r="CR12" s="316"/>
      <c r="CS12" s="322"/>
      <c r="CT12" s="316"/>
      <c r="CU12" s="322"/>
      <c r="CV12" s="316"/>
      <c r="CW12" s="322"/>
      <c r="CX12" s="316">
        <f t="shared" ref="CX12:CX27" si="3">IFERROR(CW12/$CW$3,0)</f>
        <v>0</v>
      </c>
      <c r="CZ12" s="337" t="s">
        <v>479</v>
      </c>
      <c r="DA12" s="337"/>
      <c r="DB12" s="341"/>
      <c r="DC12" s="341"/>
      <c r="DD12" s="341"/>
      <c r="DE12" s="341"/>
      <c r="DF12" s="341"/>
      <c r="DG12" s="341"/>
      <c r="DH12" s="341"/>
      <c r="DI12" s="341"/>
      <c r="DJ12" s="341"/>
      <c r="DK12" s="341"/>
      <c r="DL12" s="341"/>
      <c r="DM12" s="341"/>
      <c r="DN12" s="341"/>
      <c r="DO12" s="341"/>
      <c r="DP12" s="341"/>
      <c r="DQ12" s="341"/>
      <c r="DR12" s="341"/>
      <c r="DS12" s="341"/>
      <c r="DT12" s="341"/>
      <c r="DU12" s="341"/>
      <c r="DV12" s="341"/>
      <c r="DW12" s="341"/>
      <c r="DX12" s="341"/>
      <c r="DY12" s="341"/>
      <c r="DZ12" s="341"/>
      <c r="EA12" s="341"/>
      <c r="EB12" s="341"/>
      <c r="EC12" s="341"/>
      <c r="ED12" s="341"/>
      <c r="EE12" s="341">
        <f ca="1">SUMIF('Working-Jan-25'!$C$600:$C$694,CZ12,'Working-Jan-25'!$K$600:$K$694)</f>
        <v>0</v>
      </c>
      <c r="EF12" s="341">
        <f ca="1">EE12/($DY$3-6618.78)</f>
        <v>0</v>
      </c>
      <c r="EH12" s="347" t="s">
        <v>471</v>
      </c>
      <c r="EI12" s="347"/>
      <c r="EJ12" s="348"/>
      <c r="EK12" s="348"/>
      <c r="EL12" s="348"/>
      <c r="EM12" s="348"/>
      <c r="EN12" s="348"/>
      <c r="EO12" s="348"/>
      <c r="EP12" s="348"/>
      <c r="EQ12" s="348"/>
      <c r="ER12" s="348"/>
      <c r="ES12" s="348"/>
      <c r="ET12" s="348"/>
      <c r="EU12" s="348"/>
      <c r="EV12" s="348"/>
      <c r="EW12" s="348"/>
      <c r="EX12" s="348"/>
      <c r="EY12" s="348"/>
      <c r="EZ12" s="348"/>
      <c r="FA12" s="348"/>
      <c r="FB12" s="348"/>
      <c r="FC12" s="348"/>
      <c r="FD12" s="348"/>
      <c r="FE12" s="348"/>
      <c r="FF12" s="348"/>
      <c r="FG12" s="348"/>
      <c r="FH12" s="348"/>
      <c r="FI12" s="355"/>
      <c r="FJ12" s="355"/>
      <c r="FK12" s="355"/>
      <c r="FL12" s="355"/>
      <c r="FM12" s="355">
        <f ca="1">SUMIF('Working-Jan-25'!$C$600:$C$694,EH12,'Working-Jan-25'!$Q$600:$Q$694)</f>
        <v>522633.69</v>
      </c>
      <c r="FN12" s="355">
        <f ca="1" t="shared" ref="FN12:FN27" si="4">IFERROR(FM12/$FM$3,0)</f>
        <v>18.2229320083682</v>
      </c>
      <c r="FP12" s="358" t="s">
        <v>480</v>
      </c>
      <c r="FQ12" s="358"/>
      <c r="FR12" s="359"/>
      <c r="FS12" s="359"/>
      <c r="FT12" s="359"/>
      <c r="FU12" s="359"/>
      <c r="FV12" s="359"/>
      <c r="FW12" s="359"/>
      <c r="FX12" s="359"/>
      <c r="FY12" s="359"/>
      <c r="FZ12" s="359"/>
      <c r="GA12" s="359"/>
      <c r="GB12" s="359"/>
      <c r="GC12" s="359"/>
      <c r="GD12" s="359"/>
      <c r="GE12" s="359"/>
      <c r="GF12" s="359"/>
      <c r="GG12" s="359"/>
      <c r="GH12" s="365"/>
      <c r="GI12" s="359"/>
      <c r="GJ12" s="365"/>
      <c r="GK12" s="359"/>
      <c r="GL12" s="365"/>
      <c r="GM12" s="359"/>
      <c r="GN12" s="365"/>
      <c r="GO12" s="359"/>
      <c r="GP12" s="365"/>
      <c r="GQ12" s="359"/>
      <c r="GR12" s="365"/>
      <c r="GS12" s="359"/>
      <c r="GT12" s="365"/>
      <c r="GU12" s="359">
        <f ca="1">SUMIF('Working-Jan-25'!$C$600:$C$694,FP12,'Working-Jan-25'!$R$600:$R$694)</f>
        <v>0</v>
      </c>
      <c r="GV12" s="365">
        <f ca="1">GU12/1882.16</f>
        <v>0</v>
      </c>
      <c r="GX12" s="368" t="s">
        <v>481</v>
      </c>
      <c r="GY12" s="368"/>
      <c r="GZ12" s="369"/>
      <c r="HA12" s="369"/>
      <c r="HB12" s="369"/>
      <c r="HC12" s="369"/>
      <c r="HD12" s="369"/>
      <c r="HE12" s="369"/>
      <c r="HF12" s="369"/>
      <c r="HG12" s="369"/>
      <c r="HH12" s="369"/>
      <c r="HI12" s="369"/>
      <c r="HJ12" s="369"/>
      <c r="HK12" s="369"/>
      <c r="HL12" s="369"/>
      <c r="HM12" s="369"/>
      <c r="HN12" s="369"/>
      <c r="HO12" s="369"/>
      <c r="HP12" s="369"/>
      <c r="HQ12" s="369"/>
      <c r="HR12" s="369"/>
      <c r="HS12" s="376"/>
      <c r="HT12" s="376"/>
      <c r="HU12" s="376"/>
      <c r="HV12" s="376"/>
      <c r="HW12" s="376"/>
      <c r="HX12" s="376"/>
      <c r="HY12" s="375"/>
      <c r="HZ12" s="375"/>
      <c r="IA12" s="378"/>
      <c r="IB12" s="375"/>
      <c r="IC12" s="378">
        <f ca="1">SUMIF('Working-Jan-25'!$C$600:$C$694,GX12,'Working-Jan-25'!$F$600:$F$694)</f>
        <v>1585326.65</v>
      </c>
      <c r="ID12" s="378">
        <f ca="1" t="shared" ref="ID12:ID60" si="5">IFERROR(IC12/$IC$3,0)</f>
        <v>41.12888498699</v>
      </c>
      <c r="IF12" s="371"/>
      <c r="IG12" s="371"/>
      <c r="IH12" s="369"/>
      <c r="II12" s="369"/>
      <c r="IJ12" s="369"/>
      <c r="IK12" s="369"/>
      <c r="IL12" s="369"/>
      <c r="IM12" s="369"/>
      <c r="IN12" s="369"/>
      <c r="IO12" s="369"/>
      <c r="IP12" s="369"/>
      <c r="IQ12" s="369"/>
      <c r="IR12" s="369"/>
      <c r="IS12" s="369"/>
      <c r="IT12" s="369"/>
      <c r="IU12" s="369"/>
      <c r="IV12" s="369"/>
      <c r="IW12" s="369"/>
      <c r="IX12" s="369"/>
      <c r="IY12" s="369"/>
      <c r="IZ12" s="369"/>
      <c r="JA12" s="369"/>
      <c r="JB12" s="369"/>
      <c r="JC12" s="369"/>
      <c r="JD12" s="369"/>
      <c r="JE12" s="369"/>
      <c r="JF12" s="369"/>
      <c r="JG12" s="369"/>
      <c r="JH12" s="369"/>
      <c r="JI12" s="369"/>
      <c r="JJ12" s="369"/>
      <c r="JK12" s="369"/>
      <c r="JL12" s="369"/>
      <c r="JN12" s="37"/>
      <c r="JO12" s="37" t="s">
        <v>482</v>
      </c>
      <c r="JP12" s="37"/>
      <c r="JQ12" s="382"/>
      <c r="JR12" s="382"/>
      <c r="JS12" s="382"/>
      <c r="JT12" s="382"/>
      <c r="JU12" s="382"/>
      <c r="JV12" s="382"/>
      <c r="JW12" s="386"/>
      <c r="JX12" s="386"/>
      <c r="JY12" s="388"/>
      <c r="JZ12" s="386"/>
      <c r="KA12" s="386"/>
      <c r="KB12" s="386"/>
      <c r="KC12" s="387"/>
      <c r="KD12" s="386"/>
      <c r="KE12" s="386"/>
      <c r="KF12" s="386">
        <f ca="1">SUMIF('Working-Jan-25'!$C$600:$C$694,JO12,'Working-Jan-25'!$L$600:$L$694)</f>
        <v>1564184</v>
      </c>
      <c r="KG12" s="391"/>
      <c r="KH12" s="386" t="s">
        <v>483</v>
      </c>
      <c r="KI12" s="392" t="s">
        <v>484</v>
      </c>
      <c r="KJ12" s="385"/>
      <c r="KK12" s="385"/>
      <c r="KL12" s="385"/>
      <c r="KM12" s="385"/>
      <c r="KN12" s="385"/>
      <c r="KO12" s="385"/>
      <c r="KP12" s="386"/>
      <c r="KQ12" s="386"/>
      <c r="KR12" s="386"/>
      <c r="KS12" s="397"/>
      <c r="KT12" s="397"/>
      <c r="KU12" s="396"/>
      <c r="KV12" s="398"/>
      <c r="KW12" s="399"/>
      <c r="KX12" s="396"/>
      <c r="KY12" s="396">
        <f ca="1">SUMIF('Working-Jan-25'!$C$600:$C$694,KI12,'Working-Jan-25'!$I$600:$I$694)</f>
        <v>116871.3</v>
      </c>
    </row>
    <row r="13" spans="2:311">
      <c r="B13" s="279" t="s">
        <v>485</v>
      </c>
      <c r="C13" s="279" t="s">
        <v>473</v>
      </c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301"/>
      <c r="V13" s="301"/>
      <c r="W13" s="301"/>
      <c r="X13" s="301"/>
      <c r="Y13" s="302"/>
      <c r="Z13" s="302"/>
      <c r="AA13" s="301"/>
      <c r="AB13" s="301"/>
      <c r="AC13" s="303"/>
      <c r="AD13" s="303"/>
      <c r="AE13" s="303"/>
      <c r="AF13" s="303"/>
      <c r="AG13" s="303">
        <f ca="1">SUMIF('Working-Jan-25'!$C$600:$C$694,C13,'Working-Jan-25'!$D$600:$D$694)</f>
        <v>386651</v>
      </c>
      <c r="AH13" s="303">
        <f ca="1" t="shared" si="2"/>
        <v>13.453409881698</v>
      </c>
      <c r="AJ13" s="306" t="s">
        <v>485</v>
      </c>
      <c r="AK13" s="306" t="s">
        <v>473</v>
      </c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  <c r="BI13" s="307"/>
      <c r="BJ13" s="307"/>
      <c r="BK13" s="307"/>
      <c r="BL13" s="307"/>
      <c r="BM13" s="307"/>
      <c r="BN13" s="307"/>
      <c r="BO13" s="307">
        <f ca="1">SUMIF('Working-Jan-25'!$C$600:$C$694,AK13,'Working-Jan-25'!$H$600:$H$694)</f>
        <v>0</v>
      </c>
      <c r="BP13" s="307">
        <f ca="1" t="shared" si="1"/>
        <v>0</v>
      </c>
      <c r="BR13" s="323" t="s">
        <v>486</v>
      </c>
      <c r="BS13" s="315"/>
      <c r="BT13" s="316"/>
      <c r="BU13" s="316"/>
      <c r="BV13" s="316"/>
      <c r="BW13" s="316"/>
      <c r="BX13" s="316"/>
      <c r="BY13" s="316"/>
      <c r="BZ13" s="316"/>
      <c r="CA13" s="316"/>
      <c r="CB13" s="316"/>
      <c r="CC13" s="316"/>
      <c r="CD13" s="316"/>
      <c r="CE13" s="316"/>
      <c r="CF13" s="316"/>
      <c r="CG13" s="316"/>
      <c r="CH13" s="316"/>
      <c r="CI13" s="316"/>
      <c r="CJ13" s="316"/>
      <c r="CK13" s="316"/>
      <c r="CL13" s="316"/>
      <c r="CM13" s="322"/>
      <c r="CN13" s="316"/>
      <c r="CO13" s="322"/>
      <c r="CP13" s="316"/>
      <c r="CQ13" s="322"/>
      <c r="CR13" s="316"/>
      <c r="CS13" s="322"/>
      <c r="CT13" s="316"/>
      <c r="CU13" s="322"/>
      <c r="CV13" s="316"/>
      <c r="CW13" s="322"/>
      <c r="CX13" s="316">
        <f t="shared" si="3"/>
        <v>0</v>
      </c>
      <c r="CZ13" s="337" t="s">
        <v>487</v>
      </c>
      <c r="DA13" s="337"/>
      <c r="DB13" s="341"/>
      <c r="DC13" s="341"/>
      <c r="DD13" s="341"/>
      <c r="DE13" s="341"/>
      <c r="DF13" s="341"/>
      <c r="DG13" s="341"/>
      <c r="DH13" s="341"/>
      <c r="DI13" s="341"/>
      <c r="DJ13" s="341"/>
      <c r="DK13" s="341"/>
      <c r="DL13" s="341"/>
      <c r="DM13" s="341"/>
      <c r="DN13" s="341"/>
      <c r="DO13" s="341"/>
      <c r="DP13" s="341"/>
      <c r="DQ13" s="341"/>
      <c r="DR13" s="341"/>
      <c r="DS13" s="341"/>
      <c r="DT13" s="341"/>
      <c r="DU13" s="341"/>
      <c r="DV13" s="341"/>
      <c r="DW13" s="341"/>
      <c r="DX13" s="341"/>
      <c r="DY13" s="341"/>
      <c r="DZ13" s="341"/>
      <c r="EA13" s="341"/>
      <c r="EB13" s="341"/>
      <c r="EC13" s="341"/>
      <c r="ED13" s="341"/>
      <c r="EE13" s="341">
        <f ca="1">SUMIF('Working-Jan-25'!$C$600:$C$694,CZ13,'Working-Jan-25'!$K$600:$K$694)</f>
        <v>0</v>
      </c>
      <c r="EF13" s="341">
        <f ca="1">EE13/($DY$3-6618.78)</f>
        <v>0</v>
      </c>
      <c r="EH13" s="347" t="s">
        <v>478</v>
      </c>
      <c r="EI13" s="347"/>
      <c r="EJ13" s="348"/>
      <c r="EK13" s="348"/>
      <c r="EL13" s="348"/>
      <c r="EM13" s="348"/>
      <c r="EN13" s="348"/>
      <c r="EO13" s="348"/>
      <c r="EP13" s="348"/>
      <c r="EQ13" s="348"/>
      <c r="ER13" s="348"/>
      <c r="ES13" s="348"/>
      <c r="ET13" s="348"/>
      <c r="EU13" s="348"/>
      <c r="EV13" s="348"/>
      <c r="EW13" s="348"/>
      <c r="EX13" s="348"/>
      <c r="EY13" s="348"/>
      <c r="EZ13" s="348"/>
      <c r="FA13" s="348"/>
      <c r="FB13" s="348"/>
      <c r="FC13" s="348"/>
      <c r="FD13" s="348"/>
      <c r="FE13" s="348"/>
      <c r="FF13" s="348"/>
      <c r="FG13" s="348"/>
      <c r="FH13" s="348"/>
      <c r="FI13" s="355"/>
      <c r="FJ13" s="355"/>
      <c r="FK13" s="355"/>
      <c r="FL13" s="355"/>
      <c r="FM13" s="355">
        <f ca="1">SUMIF('Working-Jan-25'!$C$600:$C$694,EH13,'Working-Jan-25'!$Q$600:$Q$694)</f>
        <v>635846.46</v>
      </c>
      <c r="FN13" s="355">
        <f ca="1" t="shared" si="4"/>
        <v>22.1703786610879</v>
      </c>
      <c r="FO13" s="363" t="s">
        <v>485</v>
      </c>
      <c r="FP13" s="358" t="s">
        <v>488</v>
      </c>
      <c r="FQ13" s="358"/>
      <c r="FR13" s="359"/>
      <c r="FS13" s="359"/>
      <c r="FT13" s="359"/>
      <c r="FU13" s="359"/>
      <c r="FV13" s="359"/>
      <c r="FW13" s="359"/>
      <c r="FX13" s="359"/>
      <c r="FY13" s="359"/>
      <c r="FZ13" s="359"/>
      <c r="GA13" s="359"/>
      <c r="GB13" s="359"/>
      <c r="GC13" s="359"/>
      <c r="GD13" s="359"/>
      <c r="GE13" s="359"/>
      <c r="GF13" s="359"/>
      <c r="GG13" s="359"/>
      <c r="GH13" s="365"/>
      <c r="GI13" s="359"/>
      <c r="GJ13" s="365"/>
      <c r="GK13" s="359"/>
      <c r="GL13" s="365"/>
      <c r="GM13" s="359"/>
      <c r="GN13" s="365"/>
      <c r="GO13" s="359"/>
      <c r="GP13" s="365"/>
      <c r="GQ13" s="359"/>
      <c r="GR13" s="365"/>
      <c r="GS13" s="359"/>
      <c r="GT13" s="365"/>
      <c r="GU13" s="359">
        <f ca="1">SUMIF('Working-Jan-25'!$C$600:$C$694,FP13,'Working-Jan-25'!$R$600:$R$694)</f>
        <v>0</v>
      </c>
      <c r="GV13" s="365">
        <f ca="1" t="shared" ref="GV13:GV16" si="6">GU13/1882.16</f>
        <v>0</v>
      </c>
      <c r="GX13" s="368" t="s">
        <v>489</v>
      </c>
      <c r="GY13" s="368"/>
      <c r="GZ13" s="369"/>
      <c r="HA13" s="369"/>
      <c r="HB13" s="369"/>
      <c r="HC13" s="369"/>
      <c r="HD13" s="369"/>
      <c r="HE13" s="369"/>
      <c r="HF13" s="369"/>
      <c r="HG13" s="369"/>
      <c r="HH13" s="369"/>
      <c r="HI13" s="369"/>
      <c r="HJ13" s="369"/>
      <c r="HK13" s="369"/>
      <c r="HL13" s="369"/>
      <c r="HM13" s="369"/>
      <c r="HN13" s="369"/>
      <c r="HO13" s="369"/>
      <c r="HP13" s="369"/>
      <c r="HQ13" s="369"/>
      <c r="HR13" s="369"/>
      <c r="HS13" s="369"/>
      <c r="HT13" s="369"/>
      <c r="HU13" s="369"/>
      <c r="HV13" s="369"/>
      <c r="HW13" s="369"/>
      <c r="HX13" s="369"/>
      <c r="HY13" s="375"/>
      <c r="HZ13" s="375"/>
      <c r="IA13" s="378"/>
      <c r="IB13" s="375"/>
      <c r="IC13" s="378">
        <f ca="1">SUMIF('Working-Jan-25'!$C$600:$C$694,GX13,'Working-Jan-25'!$F$600:$F$694)</f>
        <v>344200</v>
      </c>
      <c r="ID13" s="378">
        <f ca="1" t="shared" si="5"/>
        <v>8.929744675977</v>
      </c>
      <c r="IF13" s="368" t="s">
        <v>490</v>
      </c>
      <c r="IG13" s="368"/>
      <c r="IH13" s="369"/>
      <c r="II13" s="369"/>
      <c r="IJ13" s="369"/>
      <c r="IK13" s="369"/>
      <c r="IL13" s="369"/>
      <c r="IM13" s="369"/>
      <c r="IN13" s="369"/>
      <c r="IO13" s="369"/>
      <c r="IP13" s="369"/>
      <c r="IQ13" s="369"/>
      <c r="IR13" s="369"/>
      <c r="IS13" s="369"/>
      <c r="IT13" s="369"/>
      <c r="IU13" s="369"/>
      <c r="IV13" s="369"/>
      <c r="IW13" s="369"/>
      <c r="IX13" s="369"/>
      <c r="IY13" s="369"/>
      <c r="IZ13" s="369"/>
      <c r="JA13" s="369"/>
      <c r="JB13" s="369"/>
      <c r="JC13" s="369"/>
      <c r="JD13" s="369"/>
      <c r="JE13" s="369"/>
      <c r="JF13" s="369"/>
      <c r="JG13" s="369"/>
      <c r="JH13" s="369"/>
      <c r="JI13" s="369"/>
      <c r="JJ13" s="369"/>
      <c r="JK13" s="369">
        <f>VLOOKUP(IF13,'Working-Jan-25'!$C$5:$M$586,11,0)</f>
        <v>72127</v>
      </c>
      <c r="JL13" s="369">
        <f>IFERROR(JK13/$JK$3,0)</f>
        <v>1.87122514306855</v>
      </c>
      <c r="JN13" s="37" t="s">
        <v>482</v>
      </c>
      <c r="JO13" s="37" t="s">
        <v>491</v>
      </c>
      <c r="JP13" s="37"/>
      <c r="JQ13" s="382"/>
      <c r="JR13" s="382"/>
      <c r="JS13" s="382"/>
      <c r="JT13" s="382"/>
      <c r="JU13" s="382"/>
      <c r="JV13" s="382"/>
      <c r="JW13" s="386"/>
      <c r="JX13" s="386"/>
      <c r="JY13" s="386"/>
      <c r="JZ13" s="386"/>
      <c r="KA13" s="386"/>
      <c r="KB13" s="386"/>
      <c r="KC13" s="386"/>
      <c r="KD13" s="386"/>
      <c r="KE13" s="386"/>
      <c r="KF13" s="386">
        <f ca="1">SUMIF('Working-Jan-25'!$C$600:$C$694,JO13,'Working-Jan-25'!$L$600:$L$694)</f>
        <v>200000</v>
      </c>
      <c r="KG13" s="393"/>
      <c r="KH13" s="386" t="s">
        <v>492</v>
      </c>
      <c r="KI13" s="392" t="s">
        <v>493</v>
      </c>
      <c r="KJ13" s="386"/>
      <c r="KK13" s="386"/>
      <c r="KL13" s="386"/>
      <c r="KM13" s="386"/>
      <c r="KN13" s="386"/>
      <c r="KO13" s="386"/>
      <c r="KP13" s="386"/>
      <c r="KQ13" s="386"/>
      <c r="KR13" s="386"/>
      <c r="KS13" s="396"/>
      <c r="KT13" s="396"/>
      <c r="KU13" s="396"/>
      <c r="KV13" s="396"/>
      <c r="KW13" s="399"/>
      <c r="KX13" s="396"/>
      <c r="KY13" s="396">
        <f ca="1">SUMIF('Working-Jan-25'!$C$600:$C$694,KI13,'Working-Jan-25'!$I$600:$I$694)</f>
        <v>14516</v>
      </c>
    </row>
    <row r="14" spans="2:311">
      <c r="B14" s="279" t="s">
        <v>494</v>
      </c>
      <c r="C14" s="279" t="s">
        <v>494</v>
      </c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303"/>
      <c r="X14" s="303"/>
      <c r="Y14" s="301"/>
      <c r="Z14" s="301"/>
      <c r="AA14" s="303"/>
      <c r="AB14" s="303"/>
      <c r="AC14" s="303"/>
      <c r="AD14" s="303"/>
      <c r="AE14" s="303"/>
      <c r="AF14" s="303"/>
      <c r="AG14" s="303">
        <f ca="1">SUMIF('Working-Jan-25'!$C$600:$C$694,C14,'Working-Jan-25'!$D$600:$D$694)</f>
        <v>105560</v>
      </c>
      <c r="AH14" s="303">
        <f ca="1" t="shared" si="2"/>
        <v>3.67292971468337</v>
      </c>
      <c r="AJ14" s="306" t="s">
        <v>494</v>
      </c>
      <c r="AK14" s="306" t="s">
        <v>494</v>
      </c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  <c r="BI14" s="307"/>
      <c r="BJ14" s="307"/>
      <c r="BK14" s="307"/>
      <c r="BL14" s="307"/>
      <c r="BM14" s="307"/>
      <c r="BN14" s="307"/>
      <c r="BO14" s="307">
        <f ca="1">SUMIF('Working-Jan-25'!$C$600:$C$694,AK14,'Working-Jan-25'!$H$600:$H$694)</f>
        <v>0</v>
      </c>
      <c r="BP14" s="307">
        <f ca="1" t="shared" si="1"/>
        <v>0</v>
      </c>
      <c r="BR14" s="315" t="s">
        <v>495</v>
      </c>
      <c r="BS14" s="315"/>
      <c r="BT14" s="316"/>
      <c r="BU14" s="316"/>
      <c r="BV14" s="316"/>
      <c r="BW14" s="316"/>
      <c r="BX14" s="316"/>
      <c r="BY14" s="316"/>
      <c r="BZ14" s="316"/>
      <c r="CA14" s="316"/>
      <c r="CB14" s="316"/>
      <c r="CC14" s="316"/>
      <c r="CD14" s="316"/>
      <c r="CE14" s="316"/>
      <c r="CF14" s="316"/>
      <c r="CG14" s="322"/>
      <c r="CH14" s="316"/>
      <c r="CI14" s="322"/>
      <c r="CJ14" s="316"/>
      <c r="CK14" s="334"/>
      <c r="CL14" s="335"/>
      <c r="CM14" s="322"/>
      <c r="CN14" s="316"/>
      <c r="CO14" s="322"/>
      <c r="CP14" s="316"/>
      <c r="CQ14" s="322"/>
      <c r="CR14" s="316"/>
      <c r="CS14" s="322"/>
      <c r="CT14" s="316"/>
      <c r="CU14" s="322"/>
      <c r="CV14" s="316"/>
      <c r="CW14" s="322">
        <f ca="1">SUMIF('Working-Jan-25'!$C$600:$C$694,BR14,'Working-Jan-25'!$G$600:$G$694)</f>
        <v>0</v>
      </c>
      <c r="CX14" s="316">
        <f ca="1" t="shared" si="3"/>
        <v>0</v>
      </c>
      <c r="CZ14" s="337" t="s">
        <v>496</v>
      </c>
      <c r="DA14" s="337"/>
      <c r="DB14" s="341"/>
      <c r="DC14" s="341"/>
      <c r="DD14" s="341"/>
      <c r="DE14" s="341"/>
      <c r="DF14" s="341"/>
      <c r="DG14" s="341"/>
      <c r="DH14" s="341"/>
      <c r="DI14" s="341"/>
      <c r="DJ14" s="341"/>
      <c r="DK14" s="341"/>
      <c r="DL14" s="341"/>
      <c r="DM14" s="341"/>
      <c r="DN14" s="341"/>
      <c r="DO14" s="341"/>
      <c r="DP14" s="341"/>
      <c r="DQ14" s="341"/>
      <c r="DR14" s="341"/>
      <c r="DS14" s="341"/>
      <c r="DT14" s="341"/>
      <c r="DU14" s="341"/>
      <c r="DV14" s="341"/>
      <c r="DW14" s="341"/>
      <c r="DX14" s="341"/>
      <c r="DY14" s="341"/>
      <c r="DZ14" s="341"/>
      <c r="EA14" s="341"/>
      <c r="EB14" s="341"/>
      <c r="EC14" s="341"/>
      <c r="ED14" s="341"/>
      <c r="EE14" s="341">
        <f ca="1">SUMIF('Working-Jan-25'!$C$600:$C$694,CZ14,'Working-Jan-25'!$K$600:$K$694)</f>
        <v>0</v>
      </c>
      <c r="EF14" s="341">
        <f ca="1">EE14/($DY$3-6618.78)</f>
        <v>0</v>
      </c>
      <c r="EH14" s="347" t="s">
        <v>497</v>
      </c>
      <c r="EI14" s="347"/>
      <c r="EJ14" s="348"/>
      <c r="EK14" s="348"/>
      <c r="EL14" s="348"/>
      <c r="EM14" s="348"/>
      <c r="EN14" s="348"/>
      <c r="EO14" s="348"/>
      <c r="EP14" s="348"/>
      <c r="EQ14" s="348"/>
      <c r="ER14" s="348"/>
      <c r="ES14" s="348"/>
      <c r="ET14" s="348"/>
      <c r="EU14" s="348"/>
      <c r="EV14" s="348"/>
      <c r="EW14" s="348"/>
      <c r="EX14" s="348"/>
      <c r="EY14" s="348"/>
      <c r="EZ14" s="348"/>
      <c r="FA14" s="348"/>
      <c r="FB14" s="348"/>
      <c r="FC14" s="348"/>
      <c r="FD14" s="348"/>
      <c r="FE14" s="348"/>
      <c r="FF14" s="348"/>
      <c r="FG14" s="348"/>
      <c r="FH14" s="348"/>
      <c r="FI14" s="355"/>
      <c r="FJ14" s="355"/>
      <c r="FK14" s="355"/>
      <c r="FL14" s="355"/>
      <c r="FM14" s="355">
        <f ca="1">SUMIF('Working-Jan-25'!$C$600:$C$694,EH14,'Working-Jan-25'!$Q$600:$Q$694)</f>
        <v>33515.36</v>
      </c>
      <c r="FN14" s="355">
        <f ca="1" t="shared" si="4"/>
        <v>1.16859693165969</v>
      </c>
      <c r="FP14" s="358" t="s">
        <v>498</v>
      </c>
      <c r="FQ14" s="358"/>
      <c r="FR14" s="359"/>
      <c r="FS14" s="359"/>
      <c r="FT14" s="359"/>
      <c r="FU14" s="359"/>
      <c r="FV14" s="359"/>
      <c r="FW14" s="359"/>
      <c r="FX14" s="359"/>
      <c r="FY14" s="359"/>
      <c r="FZ14" s="359"/>
      <c r="GA14" s="359"/>
      <c r="GB14" s="359"/>
      <c r="GC14" s="359"/>
      <c r="GD14" s="359"/>
      <c r="GE14" s="359"/>
      <c r="GF14" s="359"/>
      <c r="GG14" s="359"/>
      <c r="GH14" s="365"/>
      <c r="GI14" s="359"/>
      <c r="GJ14" s="365"/>
      <c r="GK14" s="359"/>
      <c r="GL14" s="365"/>
      <c r="GM14" s="359"/>
      <c r="GN14" s="365"/>
      <c r="GO14" s="359"/>
      <c r="GP14" s="365"/>
      <c r="GQ14" s="359"/>
      <c r="GR14" s="365"/>
      <c r="GS14" s="359"/>
      <c r="GT14" s="365"/>
      <c r="GU14" s="359">
        <f ca="1">SUMIF('Working-Jan-25'!$C$600:$C$694,FP14,'Working-Jan-25'!$R$600:$R$694)</f>
        <v>0</v>
      </c>
      <c r="GV14" s="365">
        <f ca="1" t="shared" si="6"/>
        <v>0</v>
      </c>
      <c r="GX14" s="368" t="s">
        <v>499</v>
      </c>
      <c r="GY14" s="368"/>
      <c r="GZ14" s="369"/>
      <c r="HA14" s="369"/>
      <c r="HB14" s="369"/>
      <c r="HC14" s="369"/>
      <c r="HD14" s="369"/>
      <c r="HE14" s="369"/>
      <c r="HF14" s="369"/>
      <c r="HG14" s="369"/>
      <c r="HH14" s="369"/>
      <c r="HI14" s="369"/>
      <c r="HJ14" s="369"/>
      <c r="HK14" s="369"/>
      <c r="HL14" s="369"/>
      <c r="HM14" s="369"/>
      <c r="HN14" s="369"/>
      <c r="HO14" s="369"/>
      <c r="HP14" s="369"/>
      <c r="HQ14" s="369"/>
      <c r="HR14" s="369"/>
      <c r="HS14" s="369"/>
      <c r="HT14" s="369"/>
      <c r="HU14" s="376"/>
      <c r="HV14" s="376"/>
      <c r="HW14" s="369"/>
      <c r="HX14" s="369"/>
      <c r="HY14" s="375"/>
      <c r="HZ14" s="375"/>
      <c r="IA14" s="378"/>
      <c r="IB14" s="375"/>
      <c r="IC14" s="378">
        <f ca="1">SUMIF('Working-Jan-25'!$C$600:$C$694,GX14,'Working-Jan-25'!$F$600:$F$694)</f>
        <v>22340</v>
      </c>
      <c r="ID14" s="378">
        <f ca="1" t="shared" si="5"/>
        <v>0.579577269207804</v>
      </c>
      <c r="IF14" s="368" t="s">
        <v>500</v>
      </c>
      <c r="IG14" s="368"/>
      <c r="IH14" s="369"/>
      <c r="II14" s="369"/>
      <c r="IJ14" s="369"/>
      <c r="IK14" s="369"/>
      <c r="IL14" s="369"/>
      <c r="IM14" s="369"/>
      <c r="IN14" s="369"/>
      <c r="IO14" s="369"/>
      <c r="IP14" s="369"/>
      <c r="IQ14" s="369"/>
      <c r="IR14" s="369"/>
      <c r="IS14" s="369"/>
      <c r="IT14" s="369"/>
      <c r="IU14" s="369"/>
      <c r="IV14" s="369"/>
      <c r="IW14" s="375"/>
      <c r="IX14" s="369"/>
      <c r="IY14" s="369"/>
      <c r="IZ14" s="369"/>
      <c r="JA14" s="369"/>
      <c r="JB14" s="369"/>
      <c r="JC14" s="369"/>
      <c r="JD14" s="369"/>
      <c r="JE14" s="369"/>
      <c r="JF14" s="369"/>
      <c r="JG14" s="369"/>
      <c r="JH14" s="369"/>
      <c r="JI14" s="369"/>
      <c r="JJ14" s="369"/>
      <c r="JK14" s="369">
        <f>VLOOKUP(IF14,'Working-Jan-25'!$C$5:$M$586,11,0)</f>
        <v>407049</v>
      </c>
      <c r="JL14" s="369">
        <f t="shared" ref="JL14:JL27" si="7">IFERROR(JK14/$JK$3,0)</f>
        <v>10.5602662423352</v>
      </c>
      <c r="JN14" s="37" t="s">
        <v>491</v>
      </c>
      <c r="JO14" s="37" t="s">
        <v>501</v>
      </c>
      <c r="JP14" s="37"/>
      <c r="JQ14" s="382"/>
      <c r="JR14" s="382"/>
      <c r="JS14" s="382"/>
      <c r="JT14" s="382"/>
      <c r="JU14" s="382"/>
      <c r="JV14" s="382"/>
      <c r="JW14" s="386"/>
      <c r="JX14" s="386"/>
      <c r="JY14" s="386"/>
      <c r="JZ14" s="386"/>
      <c r="KA14" s="386"/>
      <c r="KB14" s="386"/>
      <c r="KC14" s="386"/>
      <c r="KD14" s="386"/>
      <c r="KE14" s="386"/>
      <c r="KF14" s="386">
        <f ca="1">SUMIF('Working-Jan-25'!$C$600:$C$694,JO14,'Working-Jan-25'!$L$600:$L$694)</f>
        <v>427852</v>
      </c>
      <c r="KG14" s="393"/>
      <c r="KH14" s="37" t="s">
        <v>502</v>
      </c>
      <c r="KI14" s="394" t="s">
        <v>503</v>
      </c>
      <c r="KJ14" s="386"/>
      <c r="KK14" s="386"/>
      <c r="KL14" s="386"/>
      <c r="KM14" s="386"/>
      <c r="KN14" s="386"/>
      <c r="KO14" s="386"/>
      <c r="KP14" s="386"/>
      <c r="KQ14" s="386"/>
      <c r="KR14" s="386"/>
      <c r="KS14" s="396"/>
      <c r="KT14" s="396"/>
      <c r="KU14" s="396"/>
      <c r="KV14" s="396"/>
      <c r="KW14" s="396"/>
      <c r="KX14" s="396"/>
      <c r="KY14" s="396">
        <f ca="1">SUMIF('Working-Jan-25'!$C$600:$C$694,KI14,'Working-Jan-25'!$I$600:$I$694)</f>
        <v>0</v>
      </c>
    </row>
    <row r="15" spans="2:311">
      <c r="B15" s="279" t="s">
        <v>497</v>
      </c>
      <c r="C15" s="279" t="s">
        <v>497</v>
      </c>
      <c r="D15" s="280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>
        <f ca="1">SUMIF('Working-Jan-25'!$C$600:$C$694,C15,'Working-Jan-25'!$D$600:$D$694)</f>
        <v>22900</v>
      </c>
      <c r="AH15" s="303">
        <f ca="1" t="shared" si="2"/>
        <v>0.796798886569241</v>
      </c>
      <c r="AJ15" s="306" t="s">
        <v>497</v>
      </c>
      <c r="AK15" s="306" t="s">
        <v>497</v>
      </c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  <c r="BI15" s="307"/>
      <c r="BJ15" s="307"/>
      <c r="BK15" s="307"/>
      <c r="BL15" s="307"/>
      <c r="BM15" s="307"/>
      <c r="BN15" s="307"/>
      <c r="BO15" s="307">
        <f ca="1">SUMIF('Working-Jan-25'!$C$600:$C$694,AK15,'Working-Jan-25'!$H$600:$H$694)</f>
        <v>0</v>
      </c>
      <c r="BP15" s="307">
        <f ca="1" t="shared" si="1"/>
        <v>0</v>
      </c>
      <c r="BR15" s="315" t="s">
        <v>498</v>
      </c>
      <c r="BS15" s="315"/>
      <c r="BT15" s="316"/>
      <c r="BU15" s="316"/>
      <c r="BV15" s="316"/>
      <c r="BW15" s="316"/>
      <c r="BX15" s="316"/>
      <c r="BY15" s="316"/>
      <c r="BZ15" s="316"/>
      <c r="CA15" s="316"/>
      <c r="CB15" s="316"/>
      <c r="CC15" s="316"/>
      <c r="CD15" s="316"/>
      <c r="CE15" s="316"/>
      <c r="CF15" s="316"/>
      <c r="CG15" s="322"/>
      <c r="CH15" s="316"/>
      <c r="CI15" s="322"/>
      <c r="CJ15" s="316"/>
      <c r="CK15" s="334"/>
      <c r="CL15" s="335"/>
      <c r="CM15" s="322"/>
      <c r="CN15" s="316"/>
      <c r="CO15" s="322"/>
      <c r="CP15" s="316"/>
      <c r="CQ15" s="322"/>
      <c r="CR15" s="316"/>
      <c r="CS15" s="322"/>
      <c r="CT15" s="316"/>
      <c r="CU15" s="322"/>
      <c r="CV15" s="316"/>
      <c r="CW15" s="322">
        <f ca="1">SUMIF('Working-Jan-25'!$C$600:$C$694,BR15,'Working-Jan-25'!$G$600:$G$694)</f>
        <v>0</v>
      </c>
      <c r="CX15" s="316">
        <f ca="1" t="shared" si="3"/>
        <v>0</v>
      </c>
      <c r="CZ15" s="337" t="s">
        <v>498</v>
      </c>
      <c r="DA15" s="337"/>
      <c r="DB15" s="341"/>
      <c r="DC15" s="341"/>
      <c r="DD15" s="341"/>
      <c r="DE15" s="341"/>
      <c r="DF15" s="341"/>
      <c r="DG15" s="341"/>
      <c r="DH15" s="341"/>
      <c r="DI15" s="341"/>
      <c r="DJ15" s="341"/>
      <c r="DK15" s="341"/>
      <c r="DL15" s="341"/>
      <c r="DM15" s="341"/>
      <c r="DN15" s="341"/>
      <c r="DO15" s="341"/>
      <c r="DP15" s="341"/>
      <c r="DQ15" s="341"/>
      <c r="DR15" s="341"/>
      <c r="DS15" s="341"/>
      <c r="DT15" s="341"/>
      <c r="DU15" s="341"/>
      <c r="DV15" s="341"/>
      <c r="DW15" s="341"/>
      <c r="DX15" s="341"/>
      <c r="DY15" s="341"/>
      <c r="DZ15" s="341"/>
      <c r="EA15" s="341"/>
      <c r="EB15" s="341"/>
      <c r="EC15" s="341"/>
      <c r="ED15" s="341"/>
      <c r="EE15" s="341">
        <f ca="1">SUMIF('Working-Jan-25'!$C$600:$C$694,CZ15,'Working-Jan-25'!$K$600:$K$694)</f>
        <v>0</v>
      </c>
      <c r="EF15" s="341">
        <f ca="1" t="shared" ref="EF15:EF36" si="8">IFERROR(EE15/$DY$2,0)</f>
        <v>0</v>
      </c>
      <c r="EH15" s="347" t="s">
        <v>494</v>
      </c>
      <c r="EI15" s="347"/>
      <c r="EJ15" s="348"/>
      <c r="EK15" s="348"/>
      <c r="EL15" s="348"/>
      <c r="EM15" s="348"/>
      <c r="EN15" s="348"/>
      <c r="EO15" s="348"/>
      <c r="EP15" s="348"/>
      <c r="EQ15" s="348"/>
      <c r="ER15" s="348"/>
      <c r="ES15" s="348"/>
      <c r="ET15" s="348"/>
      <c r="EU15" s="348"/>
      <c r="EV15" s="348"/>
      <c r="EW15" s="348"/>
      <c r="EX15" s="348"/>
      <c r="EY15" s="348"/>
      <c r="EZ15" s="348"/>
      <c r="FA15" s="348"/>
      <c r="FB15" s="348"/>
      <c r="FC15" s="348"/>
      <c r="FD15" s="348"/>
      <c r="FE15" s="348"/>
      <c r="FF15" s="348"/>
      <c r="FG15" s="348"/>
      <c r="FH15" s="348"/>
      <c r="FI15" s="355"/>
      <c r="FJ15" s="355"/>
      <c r="FK15" s="355"/>
      <c r="FL15" s="355"/>
      <c r="FM15" s="355">
        <f ca="1">SUMIF('Working-Jan-25'!$C$600:$C$694,EH15,'Working-Jan-25'!$Q$600:$Q$694)</f>
        <v>1500</v>
      </c>
      <c r="FN15" s="355">
        <f ca="1" t="shared" si="4"/>
        <v>0.0523012552301255</v>
      </c>
      <c r="FP15" s="358" t="s">
        <v>504</v>
      </c>
      <c r="FQ15" s="358"/>
      <c r="FR15" s="359"/>
      <c r="FS15" s="359"/>
      <c r="FT15" s="359"/>
      <c r="FU15" s="359"/>
      <c r="FV15" s="359"/>
      <c r="FW15" s="359"/>
      <c r="FX15" s="359"/>
      <c r="FY15" s="359"/>
      <c r="FZ15" s="359"/>
      <c r="GA15" s="359"/>
      <c r="GB15" s="359"/>
      <c r="GC15" s="359"/>
      <c r="GD15" s="359"/>
      <c r="GE15" s="359"/>
      <c r="GF15" s="359"/>
      <c r="GG15" s="359"/>
      <c r="GH15" s="365"/>
      <c r="GI15" s="359"/>
      <c r="GJ15" s="365"/>
      <c r="GK15" s="359"/>
      <c r="GL15" s="365"/>
      <c r="GM15" s="359"/>
      <c r="GN15" s="365"/>
      <c r="GO15" s="359"/>
      <c r="GP15" s="365"/>
      <c r="GQ15" s="359"/>
      <c r="GR15" s="365"/>
      <c r="GS15" s="359"/>
      <c r="GT15" s="365"/>
      <c r="GU15" s="359">
        <f ca="1">SUMIF('Working-Jan-25'!$C$600:$C$694,FP15,'Working-Jan-25'!$R$600:$R$694)</f>
        <v>0</v>
      </c>
      <c r="GV15" s="365">
        <f ca="1" t="shared" si="6"/>
        <v>0</v>
      </c>
      <c r="GX15" s="368" t="s">
        <v>505</v>
      </c>
      <c r="GY15" s="368"/>
      <c r="GZ15" s="369"/>
      <c r="HA15" s="369"/>
      <c r="HB15" s="369"/>
      <c r="HC15" s="369"/>
      <c r="HD15" s="369"/>
      <c r="HE15" s="369"/>
      <c r="HF15" s="369"/>
      <c r="HG15" s="369"/>
      <c r="HH15" s="369"/>
      <c r="HI15" s="369"/>
      <c r="HJ15" s="369"/>
      <c r="HK15" s="369"/>
      <c r="HL15" s="369"/>
      <c r="HM15" s="369"/>
      <c r="HN15" s="369"/>
      <c r="HO15" s="369"/>
      <c r="HP15" s="369"/>
      <c r="HQ15" s="369"/>
      <c r="HR15" s="369"/>
      <c r="HS15" s="369"/>
      <c r="HT15" s="369"/>
      <c r="HU15" s="376"/>
      <c r="HV15" s="376"/>
      <c r="HW15" s="369"/>
      <c r="HX15" s="369"/>
      <c r="HY15" s="375"/>
      <c r="HZ15" s="375"/>
      <c r="IA15" s="378"/>
      <c r="IB15" s="375"/>
      <c r="IC15" s="378">
        <f ca="1">SUMIF('Working-Jan-25'!$C$600:$C$694,GX15,'Working-Jan-25'!$F$600:$F$694)</f>
        <v>0</v>
      </c>
      <c r="ID15" s="378">
        <f ca="1" t="shared" si="5"/>
        <v>0</v>
      </c>
      <c r="IF15" s="368" t="s">
        <v>506</v>
      </c>
      <c r="IG15" s="368"/>
      <c r="IH15" s="369"/>
      <c r="II15" s="369"/>
      <c r="IJ15" s="369"/>
      <c r="IK15" s="369"/>
      <c r="IL15" s="369"/>
      <c r="IM15" s="369"/>
      <c r="IN15" s="369"/>
      <c r="IO15" s="369"/>
      <c r="IP15" s="369"/>
      <c r="IQ15" s="369"/>
      <c r="IR15" s="369"/>
      <c r="IS15" s="369"/>
      <c r="IT15" s="369"/>
      <c r="IU15" s="369"/>
      <c r="IV15" s="369"/>
      <c r="IW15" s="369"/>
      <c r="IX15" s="369"/>
      <c r="IY15" s="369"/>
      <c r="IZ15" s="369"/>
      <c r="JA15" s="369"/>
      <c r="JB15" s="369"/>
      <c r="JC15" s="369"/>
      <c r="JD15" s="369"/>
      <c r="JE15" s="369"/>
      <c r="JF15" s="369"/>
      <c r="JG15" s="369"/>
      <c r="JH15" s="369"/>
      <c r="JI15" s="369"/>
      <c r="JJ15" s="369"/>
      <c r="JK15" s="369">
        <f>VLOOKUP(IF15,'Working-Jan-25'!$C$5:$M$586,11,0)</f>
        <v>48326.89</v>
      </c>
      <c r="JL15" s="369">
        <f t="shared" si="7"/>
        <v>1.25376754411396</v>
      </c>
      <c r="JN15" s="37" t="s">
        <v>501</v>
      </c>
      <c r="JO15" s="37" t="s">
        <v>507</v>
      </c>
      <c r="JP15" s="37"/>
      <c r="JQ15" s="382"/>
      <c r="JR15" s="382"/>
      <c r="JS15" s="382"/>
      <c r="JT15" s="382"/>
      <c r="JU15" s="382"/>
      <c r="JV15" s="382"/>
      <c r="JW15" s="386"/>
      <c r="JX15" s="386"/>
      <c r="JY15" s="386"/>
      <c r="JZ15" s="386"/>
      <c r="KA15" s="385"/>
      <c r="KB15" s="386"/>
      <c r="KC15" s="386"/>
      <c r="KD15" s="386"/>
      <c r="KE15" s="386"/>
      <c r="KF15" s="386">
        <f ca="1">SUMIF('Working-Jan-25'!$C$600:$C$694,JO15,'Working-Jan-25'!$L$600:$L$694)</f>
        <v>29501</v>
      </c>
      <c r="KG15" s="393" t="s">
        <v>473</v>
      </c>
      <c r="KH15" s="386" t="s">
        <v>485</v>
      </c>
      <c r="KI15" s="386" t="s">
        <v>473</v>
      </c>
      <c r="KJ15" s="386"/>
      <c r="KK15" s="386"/>
      <c r="KL15" s="386"/>
      <c r="KM15" s="386"/>
      <c r="KN15" s="386"/>
      <c r="KO15" s="386"/>
      <c r="KP15" s="386"/>
      <c r="KQ15" s="386"/>
      <c r="KR15" s="386"/>
      <c r="KS15" s="396"/>
      <c r="KT15" s="396"/>
      <c r="KU15" s="396"/>
      <c r="KV15" s="396"/>
      <c r="KW15" s="396"/>
      <c r="KX15" s="396"/>
      <c r="KY15" s="396">
        <f ca="1">SUMIF('Working-Jan-25'!$C$600:$C$694,KI15,'Working-Jan-25'!$I$600:$I$694)</f>
        <v>565838</v>
      </c>
    </row>
    <row r="16" spans="2:311">
      <c r="B16" s="279" t="s">
        <v>493</v>
      </c>
      <c r="C16" s="279" t="s">
        <v>483</v>
      </c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303"/>
      <c r="X16" s="303"/>
      <c r="Y16" s="303"/>
      <c r="Z16" s="303"/>
      <c r="AA16" s="303"/>
      <c r="AB16" s="303"/>
      <c r="AC16" s="301"/>
      <c r="AD16" s="303"/>
      <c r="AE16" s="303"/>
      <c r="AF16" s="303"/>
      <c r="AG16" s="303">
        <f ca="1">SUMIF('Working-Jan-25'!$C$600:$C$694,C16,'Working-Jan-25'!$D$600:$D$694)</f>
        <v>247242</v>
      </c>
      <c r="AH16" s="303">
        <f ca="1" t="shared" si="2"/>
        <v>8.6027139874739</v>
      </c>
      <c r="AJ16" s="306" t="s">
        <v>493</v>
      </c>
      <c r="AK16" s="306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  <c r="BI16" s="307"/>
      <c r="BJ16" s="307"/>
      <c r="BK16" s="307"/>
      <c r="BL16" s="307"/>
      <c r="BM16" s="307"/>
      <c r="BN16" s="307"/>
      <c r="BO16" s="307">
        <f ca="1">SUMIF('Working-Jan-25'!$C$600:$C$694,AK16,'Working-Jan-25'!$H$600:$H$694)</f>
        <v>0</v>
      </c>
      <c r="BP16" s="307">
        <f ca="1" t="shared" si="1"/>
        <v>0</v>
      </c>
      <c r="BR16" s="315" t="s">
        <v>508</v>
      </c>
      <c r="BS16" s="315"/>
      <c r="BT16" s="316"/>
      <c r="BU16" s="316"/>
      <c r="BV16" s="316"/>
      <c r="BW16" s="316"/>
      <c r="BX16" s="316"/>
      <c r="BY16" s="316"/>
      <c r="BZ16" s="316"/>
      <c r="CA16" s="316"/>
      <c r="CB16" s="316"/>
      <c r="CC16" s="316"/>
      <c r="CD16" s="316"/>
      <c r="CE16" s="316"/>
      <c r="CF16" s="316"/>
      <c r="CG16" s="322"/>
      <c r="CH16" s="316"/>
      <c r="CI16" s="331"/>
      <c r="CJ16" s="316"/>
      <c r="CK16" s="334"/>
      <c r="CL16" s="335"/>
      <c r="CM16" s="322"/>
      <c r="CN16" s="316"/>
      <c r="CO16" s="322"/>
      <c r="CP16" s="316"/>
      <c r="CQ16" s="322"/>
      <c r="CR16" s="316"/>
      <c r="CS16" s="322"/>
      <c r="CT16" s="316"/>
      <c r="CU16" s="322"/>
      <c r="CV16" s="316"/>
      <c r="CW16" s="322">
        <f ca="1">SUMIF('Working-Jan-25'!$C$600:$C$694,BR16,'Working-Jan-25'!$G$600:$G$694)</f>
        <v>0</v>
      </c>
      <c r="CX16" s="316">
        <f ca="1" t="shared" si="3"/>
        <v>0</v>
      </c>
      <c r="CZ16" s="337" t="s">
        <v>508</v>
      </c>
      <c r="DA16" s="337"/>
      <c r="DB16" s="341"/>
      <c r="DC16" s="341"/>
      <c r="DD16" s="341"/>
      <c r="DE16" s="341"/>
      <c r="DF16" s="341"/>
      <c r="DG16" s="341"/>
      <c r="DH16" s="341"/>
      <c r="DI16" s="341"/>
      <c r="DJ16" s="341"/>
      <c r="DK16" s="341"/>
      <c r="DL16" s="341"/>
      <c r="DM16" s="341"/>
      <c r="DN16" s="341"/>
      <c r="DO16" s="341"/>
      <c r="DP16" s="341"/>
      <c r="DQ16" s="341"/>
      <c r="DR16" s="341"/>
      <c r="DS16" s="341"/>
      <c r="DT16" s="341"/>
      <c r="DU16" s="341"/>
      <c r="DV16" s="341"/>
      <c r="DW16" s="341"/>
      <c r="DX16" s="341"/>
      <c r="DY16" s="341"/>
      <c r="DZ16" s="341"/>
      <c r="EA16" s="341"/>
      <c r="EB16" s="341"/>
      <c r="EC16" s="341"/>
      <c r="ED16" s="341"/>
      <c r="EE16" s="341">
        <f ca="1">SUMIF('Working-Jan-25'!$C$600:$C$694,CZ16,'Working-Jan-25'!$K$600:$K$694)</f>
        <v>0</v>
      </c>
      <c r="EF16" s="341">
        <f ca="1" t="shared" si="8"/>
        <v>0</v>
      </c>
      <c r="EH16" s="347" t="s">
        <v>472</v>
      </c>
      <c r="EI16" s="347"/>
      <c r="EJ16" s="348"/>
      <c r="EK16" s="348"/>
      <c r="EL16" s="348"/>
      <c r="EM16" s="348"/>
      <c r="EN16" s="348"/>
      <c r="EO16" s="348"/>
      <c r="EP16" s="348"/>
      <c r="EQ16" s="348"/>
      <c r="ER16" s="348"/>
      <c r="ES16" s="348"/>
      <c r="ET16" s="348"/>
      <c r="EU16" s="348"/>
      <c r="EV16" s="348"/>
      <c r="EW16" s="348"/>
      <c r="EX16" s="348"/>
      <c r="EY16" s="348"/>
      <c r="EZ16" s="348"/>
      <c r="FA16" s="348"/>
      <c r="FB16" s="348"/>
      <c r="FC16" s="348"/>
      <c r="FD16" s="348"/>
      <c r="FE16" s="348"/>
      <c r="FF16" s="348"/>
      <c r="FG16" s="356"/>
      <c r="FH16" s="356"/>
      <c r="FI16" s="355"/>
      <c r="FJ16" s="355"/>
      <c r="FK16" s="355"/>
      <c r="FL16" s="355"/>
      <c r="FM16" s="355">
        <f ca="1">SUMIF('Working-Jan-25'!$C$600:$C$694,EH16,'Working-Jan-25'!$Q$600:$Q$694)</f>
        <v>266000</v>
      </c>
      <c r="FN16" s="355">
        <f ca="1" t="shared" si="4"/>
        <v>9.27475592747559</v>
      </c>
      <c r="FP16" s="358" t="s">
        <v>508</v>
      </c>
      <c r="FQ16" s="358"/>
      <c r="FR16" s="359"/>
      <c r="FS16" s="359"/>
      <c r="FT16" s="359"/>
      <c r="FU16" s="359"/>
      <c r="FV16" s="359"/>
      <c r="FW16" s="359"/>
      <c r="FX16" s="359"/>
      <c r="FY16" s="359"/>
      <c r="FZ16" s="359"/>
      <c r="GA16" s="359"/>
      <c r="GB16" s="359"/>
      <c r="GC16" s="359"/>
      <c r="GD16" s="359"/>
      <c r="GE16" s="359"/>
      <c r="GF16" s="359"/>
      <c r="GG16" s="359"/>
      <c r="GH16" s="365"/>
      <c r="GI16" s="359"/>
      <c r="GJ16" s="365"/>
      <c r="GK16" s="359"/>
      <c r="GL16" s="365"/>
      <c r="GM16" s="359"/>
      <c r="GN16" s="365"/>
      <c r="GO16" s="359"/>
      <c r="GP16" s="365"/>
      <c r="GQ16" s="359"/>
      <c r="GR16" s="365"/>
      <c r="GS16" s="359"/>
      <c r="GT16" s="365"/>
      <c r="GU16" s="359">
        <f ca="1">SUMIF('Working-Jan-25'!$C$600:$C$694,FP16,'Working-Jan-25'!$R$600:$R$694)</f>
        <v>0</v>
      </c>
      <c r="GV16" s="365">
        <f ca="1" t="shared" si="6"/>
        <v>0</v>
      </c>
      <c r="GX16" s="368" t="s">
        <v>483</v>
      </c>
      <c r="GY16" s="368"/>
      <c r="GZ16" s="369"/>
      <c r="HA16" s="369"/>
      <c r="HB16" s="369"/>
      <c r="HC16" s="369"/>
      <c r="HD16" s="369"/>
      <c r="HE16" s="369"/>
      <c r="HF16" s="369"/>
      <c r="HG16" s="369"/>
      <c r="HH16" s="369"/>
      <c r="HI16" s="369"/>
      <c r="HJ16" s="369"/>
      <c r="HK16" s="369"/>
      <c r="HL16" s="369"/>
      <c r="HM16" s="369"/>
      <c r="HN16" s="369"/>
      <c r="HO16" s="369"/>
      <c r="HP16" s="369"/>
      <c r="HQ16" s="369"/>
      <c r="HR16" s="369"/>
      <c r="HS16" s="369"/>
      <c r="HT16" s="369"/>
      <c r="HU16" s="376"/>
      <c r="HV16" s="376"/>
      <c r="HW16" s="369"/>
      <c r="HX16" s="369"/>
      <c r="HY16" s="375"/>
      <c r="HZ16" s="375"/>
      <c r="IA16" s="378"/>
      <c r="IB16" s="375"/>
      <c r="IC16" s="378">
        <f ca="1">SUMIF('Working-Jan-25'!$C$600:$C$694,GX16,'Working-Jan-25'!$F$600:$F$694)</f>
        <v>616852.48</v>
      </c>
      <c r="ID16" s="378">
        <f ca="1" t="shared" si="5"/>
        <v>16.0032979347566</v>
      </c>
      <c r="IF16" s="368" t="s">
        <v>509</v>
      </c>
      <c r="IG16" s="368"/>
      <c r="IH16" s="369"/>
      <c r="II16" s="369"/>
      <c r="IJ16" s="369"/>
      <c r="IK16" s="369"/>
      <c r="IL16" s="369"/>
      <c r="IM16" s="369"/>
      <c r="IN16" s="369"/>
      <c r="IO16" s="369"/>
      <c r="IP16" s="369"/>
      <c r="IQ16" s="369"/>
      <c r="IR16" s="369"/>
      <c r="IS16" s="369"/>
      <c r="IT16" s="369"/>
      <c r="IU16" s="369"/>
      <c r="IV16" s="369"/>
      <c r="IW16" s="369"/>
      <c r="IX16" s="369"/>
      <c r="IY16" s="369"/>
      <c r="IZ16" s="369"/>
      <c r="JA16" s="369"/>
      <c r="JB16" s="369"/>
      <c r="JC16" s="369"/>
      <c r="JD16" s="369"/>
      <c r="JE16" s="369"/>
      <c r="JF16" s="369"/>
      <c r="JG16" s="369"/>
      <c r="JH16" s="369"/>
      <c r="JI16" s="369"/>
      <c r="JJ16" s="369"/>
      <c r="JK16" s="369">
        <f>VLOOKUP(IF16,'Working-Jan-25'!$C$5:$M$586,11,0)</f>
        <v>0</v>
      </c>
      <c r="JL16" s="369">
        <f t="shared" si="7"/>
        <v>0</v>
      </c>
      <c r="JN16" s="37"/>
      <c r="JO16" s="37" t="s">
        <v>510</v>
      </c>
      <c r="JP16" s="37"/>
      <c r="JQ16" s="382"/>
      <c r="JR16" s="382"/>
      <c r="JS16" s="382"/>
      <c r="JT16" s="382"/>
      <c r="JU16" s="382"/>
      <c r="JV16" s="385"/>
      <c r="JW16" s="386"/>
      <c r="JX16" s="386"/>
      <c r="JY16" s="388"/>
      <c r="JZ16" s="386"/>
      <c r="KA16" s="386"/>
      <c r="KB16" s="386"/>
      <c r="KC16" s="386"/>
      <c r="KD16" s="386"/>
      <c r="KE16" s="386"/>
      <c r="KF16" s="386">
        <f ca="1">SUMIF('Working-Jan-25'!$C$600:$C$694,JO16,'Working-Jan-25'!$L$600:$L$694)</f>
        <v>1782767</v>
      </c>
      <c r="KG16" s="393"/>
      <c r="KH16" s="37" t="s">
        <v>475</v>
      </c>
      <c r="KI16" s="394" t="s">
        <v>511</v>
      </c>
      <c r="KJ16" s="386"/>
      <c r="KK16" s="386"/>
      <c r="KL16" s="386"/>
      <c r="KM16" s="386"/>
      <c r="KN16" s="386"/>
      <c r="KO16" s="386"/>
      <c r="KP16" s="386"/>
      <c r="KQ16" s="386"/>
      <c r="KR16" s="386"/>
      <c r="KS16" s="396"/>
      <c r="KT16" s="396"/>
      <c r="KU16" s="396"/>
      <c r="KV16" s="396"/>
      <c r="KW16" s="396"/>
      <c r="KX16" s="396"/>
      <c r="KY16" s="396">
        <f ca="1">SUMIF('Working-Jan-25'!$C$600:$C$694,KI16,'Working-Jan-25'!$I$600:$I$694)</f>
        <v>0</v>
      </c>
    </row>
    <row r="17" spans="2:311">
      <c r="B17" s="279" t="s">
        <v>483</v>
      </c>
      <c r="C17" s="279" t="s">
        <v>512</v>
      </c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>
        <f ca="1">SUMIF('Working-Jan-25'!$C$600:$C$694,C17,'Working-Jan-25'!$D$600:$D$694)</f>
        <v>1500</v>
      </c>
      <c r="AH17" s="303">
        <f ca="1" t="shared" si="2"/>
        <v>0.0521920668058455</v>
      </c>
      <c r="AJ17" s="306" t="s">
        <v>483</v>
      </c>
      <c r="AK17" s="306" t="s">
        <v>483</v>
      </c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14"/>
      <c r="BB17" s="307"/>
      <c r="BC17" s="307"/>
      <c r="BD17" s="307"/>
      <c r="BE17" s="307"/>
      <c r="BF17" s="307"/>
      <c r="BG17" s="307"/>
      <c r="BH17" s="307"/>
      <c r="BI17" s="307"/>
      <c r="BJ17" s="307"/>
      <c r="BK17" s="307"/>
      <c r="BL17" s="307"/>
      <c r="BM17" s="307"/>
      <c r="BN17" s="307"/>
      <c r="BO17" s="307">
        <f ca="1">SUMIF('Working-Jan-25'!$C$600:$C$694,AK17,'Working-Jan-25'!$H$600:$H$694)</f>
        <v>0</v>
      </c>
      <c r="BP17" s="307">
        <f ca="1" t="shared" si="1"/>
        <v>0</v>
      </c>
      <c r="BR17" s="315" t="s">
        <v>488</v>
      </c>
      <c r="BS17" s="315"/>
      <c r="BT17" s="316"/>
      <c r="BU17" s="316"/>
      <c r="BV17" s="316"/>
      <c r="BW17" s="316"/>
      <c r="BX17" s="316"/>
      <c r="BY17" s="316"/>
      <c r="BZ17" s="316"/>
      <c r="CA17" s="316"/>
      <c r="CB17" s="316"/>
      <c r="CC17" s="316"/>
      <c r="CD17" s="316"/>
      <c r="CE17" s="316"/>
      <c r="CF17" s="316"/>
      <c r="CG17" s="316"/>
      <c r="CH17" s="316"/>
      <c r="CI17" s="316"/>
      <c r="CJ17" s="316"/>
      <c r="CK17" s="336"/>
      <c r="CL17" s="316"/>
      <c r="CM17" s="322"/>
      <c r="CN17" s="316"/>
      <c r="CO17" s="322"/>
      <c r="CP17" s="316"/>
      <c r="CQ17" s="322"/>
      <c r="CR17" s="316"/>
      <c r="CS17" s="322"/>
      <c r="CT17" s="316"/>
      <c r="CU17" s="322"/>
      <c r="CV17" s="316"/>
      <c r="CW17" s="322">
        <f ca="1">SUMIF('Working-Jan-25'!$C$600:$C$694,BR17,'Working-Jan-25'!$G$600:$G$694)</f>
        <v>0</v>
      </c>
      <c r="CX17" s="316">
        <f ca="1" t="shared" si="3"/>
        <v>0</v>
      </c>
      <c r="CZ17" s="337"/>
      <c r="DA17" s="337"/>
      <c r="DB17" s="341"/>
      <c r="DC17" s="341"/>
      <c r="DD17" s="341"/>
      <c r="DE17" s="341"/>
      <c r="DF17" s="341"/>
      <c r="DG17" s="341"/>
      <c r="DH17" s="341"/>
      <c r="DI17" s="341"/>
      <c r="DJ17" s="341"/>
      <c r="DK17" s="341"/>
      <c r="DL17" s="341"/>
      <c r="DM17" s="341"/>
      <c r="DN17" s="341"/>
      <c r="DO17" s="341"/>
      <c r="DP17" s="341"/>
      <c r="DQ17" s="341"/>
      <c r="DR17" s="341"/>
      <c r="DS17" s="341"/>
      <c r="DT17" s="341"/>
      <c r="DU17" s="341"/>
      <c r="DV17" s="341"/>
      <c r="DW17" s="341"/>
      <c r="DX17" s="341"/>
      <c r="DY17" s="341"/>
      <c r="DZ17" s="341"/>
      <c r="EA17" s="341"/>
      <c r="EB17" s="341"/>
      <c r="EC17" s="341"/>
      <c r="ED17" s="341"/>
      <c r="EE17" s="341">
        <f ca="1">SUMIF('Working-Jan-25'!$C$600:$C$694,CZ17,'Working-Jan-25'!$K$600:$K$694)</f>
        <v>0</v>
      </c>
      <c r="EF17" s="341">
        <f ca="1" t="shared" si="8"/>
        <v>0</v>
      </c>
      <c r="EH17" s="347" t="s">
        <v>483</v>
      </c>
      <c r="EI17" s="347"/>
      <c r="EJ17" s="348"/>
      <c r="EK17" s="348"/>
      <c r="EL17" s="348"/>
      <c r="EM17" s="348"/>
      <c r="EN17" s="348"/>
      <c r="EO17" s="348"/>
      <c r="EP17" s="348"/>
      <c r="EQ17" s="348"/>
      <c r="ER17" s="348"/>
      <c r="ES17" s="348"/>
      <c r="ET17" s="348"/>
      <c r="EU17" s="348"/>
      <c r="EV17" s="348"/>
      <c r="EW17" s="348"/>
      <c r="EX17" s="348"/>
      <c r="EY17" s="348"/>
      <c r="EZ17" s="348"/>
      <c r="FA17" s="348"/>
      <c r="FB17" s="348"/>
      <c r="FC17" s="348"/>
      <c r="FD17" s="348"/>
      <c r="FE17" s="356"/>
      <c r="FF17" s="356"/>
      <c r="FG17" s="348"/>
      <c r="FH17" s="348"/>
      <c r="FI17" s="357"/>
      <c r="FJ17" s="357"/>
      <c r="FK17" s="355"/>
      <c r="FL17" s="355"/>
      <c r="FM17" s="355">
        <f ca="1">SUMIF('Working-Jan-25'!$C$600:$C$694,EH17,'Working-Jan-25'!$Q$600:$Q$694)</f>
        <v>214254</v>
      </c>
      <c r="FN17" s="355">
        <f ca="1" t="shared" si="4"/>
        <v>7.47050209205021</v>
      </c>
      <c r="FP17" s="358" t="s">
        <v>496</v>
      </c>
      <c r="FQ17" s="358"/>
      <c r="FR17" s="359"/>
      <c r="FS17" s="359"/>
      <c r="FT17" s="359"/>
      <c r="FU17" s="359"/>
      <c r="FV17" s="359"/>
      <c r="FW17" s="359"/>
      <c r="FX17" s="359"/>
      <c r="FY17" s="359"/>
      <c r="FZ17" s="359"/>
      <c r="GA17" s="359"/>
      <c r="GB17" s="359"/>
      <c r="GC17" s="359"/>
      <c r="GD17" s="359"/>
      <c r="GE17" s="359"/>
      <c r="GF17" s="359"/>
      <c r="GG17" s="359"/>
      <c r="GH17" s="365"/>
      <c r="GI17" s="359"/>
      <c r="GJ17" s="365"/>
      <c r="GK17" s="359"/>
      <c r="GL17" s="365"/>
      <c r="GM17" s="359"/>
      <c r="GN17" s="365"/>
      <c r="GO17" s="359"/>
      <c r="GP17" s="365"/>
      <c r="GQ17" s="359"/>
      <c r="GR17" s="365"/>
      <c r="GS17" s="359"/>
      <c r="GT17" s="365"/>
      <c r="GU17" s="359">
        <f ca="1">SUMIF('Working-Jan-25'!$C$600:$C$694,FP17,'Working-Jan-25'!$R$600:$R$694)</f>
        <v>18102</v>
      </c>
      <c r="GV17" s="365">
        <f ca="1">GU17/16483.31</f>
        <v>1.09820175680734</v>
      </c>
      <c r="GX17" s="368" t="s">
        <v>513</v>
      </c>
      <c r="GY17" s="368"/>
      <c r="GZ17" s="369"/>
      <c r="HA17" s="369"/>
      <c r="HB17" s="369"/>
      <c r="HC17" s="369"/>
      <c r="HD17" s="369"/>
      <c r="HE17" s="369"/>
      <c r="HF17" s="369"/>
      <c r="HG17" s="369"/>
      <c r="HH17" s="369"/>
      <c r="HI17" s="369"/>
      <c r="HJ17" s="369"/>
      <c r="HK17" s="369"/>
      <c r="HL17" s="369"/>
      <c r="HM17" s="375"/>
      <c r="HN17" s="369"/>
      <c r="HO17" s="369"/>
      <c r="HP17" s="369"/>
      <c r="HQ17" s="369"/>
      <c r="HR17" s="369"/>
      <c r="HS17" s="369"/>
      <c r="HT17" s="369"/>
      <c r="HU17" s="369"/>
      <c r="HV17" s="369"/>
      <c r="HW17" s="376"/>
      <c r="HX17" s="376"/>
      <c r="HY17" s="378"/>
      <c r="HZ17" s="378"/>
      <c r="IA17" s="378"/>
      <c r="IB17" s="378"/>
      <c r="IC17" s="378">
        <f ca="1">SUMIF('Working-Jan-25'!$C$600:$C$694,GX17,'Working-Jan-25'!$F$600:$F$694)</f>
        <v>344745.8</v>
      </c>
      <c r="ID17" s="378">
        <f ca="1" t="shared" si="5"/>
        <v>8.94390462555326</v>
      </c>
      <c r="IF17" s="368" t="s">
        <v>514</v>
      </c>
      <c r="IG17" s="368"/>
      <c r="IH17" s="369"/>
      <c r="II17" s="369"/>
      <c r="IJ17" s="369"/>
      <c r="IK17" s="369"/>
      <c r="IL17" s="369"/>
      <c r="IM17" s="369"/>
      <c r="IN17" s="369"/>
      <c r="IO17" s="369"/>
      <c r="IP17" s="369"/>
      <c r="IQ17" s="369"/>
      <c r="IR17" s="369"/>
      <c r="IS17" s="369"/>
      <c r="IT17" s="369"/>
      <c r="IU17" s="369"/>
      <c r="IV17" s="369"/>
      <c r="IW17" s="369"/>
      <c r="IX17" s="369"/>
      <c r="IY17" s="369"/>
      <c r="IZ17" s="369"/>
      <c r="JA17" s="369"/>
      <c r="JB17" s="369"/>
      <c r="JC17" s="369"/>
      <c r="JD17" s="369"/>
      <c r="JE17" s="369"/>
      <c r="JF17" s="369"/>
      <c r="JG17" s="369"/>
      <c r="JH17" s="369"/>
      <c r="JI17" s="369"/>
      <c r="JJ17" s="369"/>
      <c r="JK17" s="369">
        <f>VLOOKUP(IF17,'Working-Jan-25'!$C$5:$M$586,11,0)</f>
        <v>285175</v>
      </c>
      <c r="JL17" s="369">
        <f t="shared" si="7"/>
        <v>7.39843096447339</v>
      </c>
      <c r="JN17" s="37"/>
      <c r="JO17" s="37" t="s">
        <v>493</v>
      </c>
      <c r="JP17" s="37"/>
      <c r="JQ17" s="382"/>
      <c r="JR17" s="382"/>
      <c r="JS17" s="382"/>
      <c r="JT17" s="382"/>
      <c r="JU17" s="382"/>
      <c r="JV17" s="382"/>
      <c r="JW17" s="386"/>
      <c r="JX17" s="386"/>
      <c r="JY17" s="386"/>
      <c r="JZ17" s="386"/>
      <c r="KA17" s="386"/>
      <c r="KB17" s="386"/>
      <c r="KC17" s="386"/>
      <c r="KD17" s="386"/>
      <c r="KE17" s="386"/>
      <c r="KF17" s="386">
        <f ca="1">SUMIF('Working-Jan-25'!$C$600:$C$694,JO17,'Working-Jan-25'!$L$600:$L$694)</f>
        <v>1699888</v>
      </c>
      <c r="KG17" s="393" t="s">
        <v>515</v>
      </c>
      <c r="KH17" s="386"/>
      <c r="KI17" s="386" t="s">
        <v>515</v>
      </c>
      <c r="KJ17" s="386"/>
      <c r="KK17" s="386"/>
      <c r="KL17" s="386"/>
      <c r="KM17" s="386"/>
      <c r="KN17" s="386"/>
      <c r="KO17" s="386"/>
      <c r="KP17" s="386"/>
      <c r="KQ17" s="386"/>
      <c r="KR17" s="386"/>
      <c r="KS17" s="396"/>
      <c r="KT17" s="396"/>
      <c r="KU17" s="396"/>
      <c r="KV17" s="396"/>
      <c r="KW17" s="399"/>
      <c r="KX17" s="396"/>
      <c r="KY17" s="396">
        <f ca="1">SUMIF('Working-Jan-25'!$C$600:$C$694,KI17,'Working-Jan-25'!$I$600:$I$694)</f>
        <v>511440</v>
      </c>
    </row>
    <row r="18" spans="2:311">
      <c r="B18" s="279"/>
      <c r="C18" s="279" t="s">
        <v>474</v>
      </c>
      <c r="D18" s="280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301"/>
      <c r="X18" s="301"/>
      <c r="Y18" s="303"/>
      <c r="Z18" s="303"/>
      <c r="AA18" s="303"/>
      <c r="AB18" s="303"/>
      <c r="AC18" s="303"/>
      <c r="AD18" s="303"/>
      <c r="AE18" s="303"/>
      <c r="AF18" s="303"/>
      <c r="AG18" s="303">
        <f ca="1">SUMIF('Working-Jan-25'!$C$600:$C$694,C18,'Working-Jan-25'!$D$600:$D$694)</f>
        <v>0</v>
      </c>
      <c r="AH18" s="303">
        <f ca="1" t="shared" si="2"/>
        <v>0</v>
      </c>
      <c r="AJ18" s="306"/>
      <c r="AK18" s="306" t="s">
        <v>512</v>
      </c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14"/>
      <c r="BB18" s="307"/>
      <c r="BC18" s="307"/>
      <c r="BD18" s="307"/>
      <c r="BE18" s="307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>
        <f ca="1">SUMIF('Working-Jan-25'!$C$600:$C$694,AK18,'Working-Jan-25'!$H$600:$H$694)</f>
        <v>0</v>
      </c>
      <c r="BP18" s="307">
        <f ca="1" t="shared" si="1"/>
        <v>0</v>
      </c>
      <c r="BR18" s="315" t="s">
        <v>516</v>
      </c>
      <c r="BS18" s="315"/>
      <c r="BT18" s="316"/>
      <c r="BU18" s="316"/>
      <c r="BV18" s="316"/>
      <c r="BW18" s="316"/>
      <c r="BX18" s="316"/>
      <c r="BY18" s="316"/>
      <c r="BZ18" s="316"/>
      <c r="CA18" s="316"/>
      <c r="CB18" s="316"/>
      <c r="CC18" s="316"/>
      <c r="CD18" s="316"/>
      <c r="CE18" s="316"/>
      <c r="CF18" s="316"/>
      <c r="CG18" s="316"/>
      <c r="CH18" s="316"/>
      <c r="CI18" s="316"/>
      <c r="CJ18" s="316"/>
      <c r="CK18" s="336"/>
      <c r="CL18" s="316"/>
      <c r="CM18" s="322"/>
      <c r="CN18" s="316"/>
      <c r="CO18" s="322"/>
      <c r="CP18" s="316"/>
      <c r="CQ18" s="322"/>
      <c r="CR18" s="316"/>
      <c r="CS18" s="322"/>
      <c r="CT18" s="316"/>
      <c r="CU18" s="322"/>
      <c r="CV18" s="316"/>
      <c r="CW18" s="322">
        <f ca="1">SUMIF('Working-Jan-25'!$C$600:$C$694,BR18,'Working-Jan-25'!$G$600:$G$694)</f>
        <v>0</v>
      </c>
      <c r="CX18" s="316">
        <f ca="1" t="shared" si="3"/>
        <v>0</v>
      </c>
      <c r="CZ18" s="337" t="s">
        <v>488</v>
      </c>
      <c r="DA18" s="337"/>
      <c r="DB18" s="341"/>
      <c r="DC18" s="341"/>
      <c r="DD18" s="341"/>
      <c r="DE18" s="341"/>
      <c r="DF18" s="341"/>
      <c r="DG18" s="341"/>
      <c r="DH18" s="341"/>
      <c r="DI18" s="341"/>
      <c r="DJ18" s="341"/>
      <c r="DK18" s="341"/>
      <c r="DL18" s="341"/>
      <c r="DM18" s="341"/>
      <c r="DN18" s="341"/>
      <c r="DO18" s="341"/>
      <c r="DP18" s="341"/>
      <c r="DQ18" s="341"/>
      <c r="DR18" s="341"/>
      <c r="DS18" s="341"/>
      <c r="DT18" s="341"/>
      <c r="DU18" s="341"/>
      <c r="DV18" s="341"/>
      <c r="DW18" s="341"/>
      <c r="DX18" s="341"/>
      <c r="DY18" s="341"/>
      <c r="DZ18" s="341"/>
      <c r="EA18" s="341"/>
      <c r="EB18" s="341"/>
      <c r="EC18" s="341"/>
      <c r="ED18" s="341"/>
      <c r="EE18" s="341">
        <f ca="1">SUMIF('Working-Jan-25'!$C$600:$C$694,CZ18,'Working-Jan-25'!$K$600:$K$694)</f>
        <v>0</v>
      </c>
      <c r="EF18" s="341">
        <f ca="1" t="shared" si="8"/>
        <v>0</v>
      </c>
      <c r="EH18" s="347" t="s">
        <v>517</v>
      </c>
      <c r="EI18" s="347"/>
      <c r="EJ18" s="348"/>
      <c r="EK18" s="348"/>
      <c r="EL18" s="348"/>
      <c r="EM18" s="348"/>
      <c r="EN18" s="348"/>
      <c r="EO18" s="348"/>
      <c r="EP18" s="348"/>
      <c r="EQ18" s="348"/>
      <c r="ER18" s="348"/>
      <c r="ES18" s="348"/>
      <c r="ET18" s="348"/>
      <c r="EU18" s="348"/>
      <c r="EV18" s="348"/>
      <c r="EW18" s="348"/>
      <c r="EX18" s="348"/>
      <c r="EY18" s="348"/>
      <c r="EZ18" s="348"/>
      <c r="FA18" s="348"/>
      <c r="FB18" s="348"/>
      <c r="FC18" s="348"/>
      <c r="FD18" s="348"/>
      <c r="FE18" s="348"/>
      <c r="FF18" s="348"/>
      <c r="FG18" s="356"/>
      <c r="FH18" s="356"/>
      <c r="FI18" s="355"/>
      <c r="FJ18" s="355"/>
      <c r="FK18" s="355"/>
      <c r="FL18" s="355"/>
      <c r="FM18" s="355">
        <f ca="1">SUMIF('Working-Jan-25'!$C$600:$C$694,EH18,'Working-Jan-25'!$Q$600:$Q$694)</f>
        <v>73625</v>
      </c>
      <c r="FN18" s="355">
        <f ca="1" t="shared" si="4"/>
        <v>2.56711994421199</v>
      </c>
      <c r="FP18" s="358" t="s">
        <v>487</v>
      </c>
      <c r="FQ18" s="358"/>
      <c r="FR18" s="359"/>
      <c r="FS18" s="359"/>
      <c r="FT18" s="359"/>
      <c r="FU18" s="359"/>
      <c r="FV18" s="359"/>
      <c r="FW18" s="359"/>
      <c r="FX18" s="359"/>
      <c r="FY18" s="359"/>
      <c r="FZ18" s="359"/>
      <c r="GA18" s="359"/>
      <c r="GB18" s="359"/>
      <c r="GC18" s="359"/>
      <c r="GD18" s="359"/>
      <c r="GE18" s="359"/>
      <c r="GF18" s="359"/>
      <c r="GG18" s="359"/>
      <c r="GH18" s="365"/>
      <c r="GI18" s="359"/>
      <c r="GJ18" s="365"/>
      <c r="GK18" s="359"/>
      <c r="GL18" s="365"/>
      <c r="GM18" s="359"/>
      <c r="GN18" s="365"/>
      <c r="GO18" s="359"/>
      <c r="GP18" s="365"/>
      <c r="GQ18" s="366"/>
      <c r="GR18" s="367"/>
      <c r="GS18" s="359"/>
      <c r="GT18" s="367"/>
      <c r="GU18" s="359">
        <f ca="1">SUMIF('Working-Jan-25'!$C$600:$C$694,FP18,'Working-Jan-25'!$R$600:$R$694)</f>
        <v>1492</v>
      </c>
      <c r="GV18" s="367">
        <f ca="1">GU18/16483.31</f>
        <v>0.0905158005279279</v>
      </c>
      <c r="GX18" s="368" t="s">
        <v>518</v>
      </c>
      <c r="GY18" s="368"/>
      <c r="GZ18" s="369"/>
      <c r="HA18" s="369"/>
      <c r="HB18" s="369"/>
      <c r="HC18" s="369"/>
      <c r="HD18" s="369"/>
      <c r="HE18" s="369"/>
      <c r="HF18" s="369"/>
      <c r="HG18" s="369"/>
      <c r="HH18" s="369"/>
      <c r="HI18" s="369"/>
      <c r="HJ18" s="369"/>
      <c r="HK18" s="369"/>
      <c r="HL18" s="369"/>
      <c r="HM18" s="375"/>
      <c r="HN18" s="369"/>
      <c r="HO18" s="369"/>
      <c r="HP18" s="369"/>
      <c r="HQ18" s="369"/>
      <c r="HR18" s="369"/>
      <c r="HS18" s="369"/>
      <c r="HT18" s="369"/>
      <c r="HU18" s="369"/>
      <c r="HV18" s="369"/>
      <c r="HW18" s="369"/>
      <c r="HX18" s="369"/>
      <c r="HY18" s="375"/>
      <c r="HZ18" s="375"/>
      <c r="IA18" s="378"/>
      <c r="IB18" s="375"/>
      <c r="IC18" s="378">
        <f ca="1">SUMIF('Working-Jan-25'!$C$600:$C$694,GX18,'Working-Jan-25'!$F$600:$F$694)</f>
        <v>0</v>
      </c>
      <c r="ID18" s="378">
        <f ca="1" t="shared" si="5"/>
        <v>0</v>
      </c>
      <c r="IF18" s="368"/>
      <c r="IG18" s="368"/>
      <c r="IH18" s="369"/>
      <c r="II18" s="369"/>
      <c r="IJ18" s="369"/>
      <c r="IK18" s="369"/>
      <c r="IL18" s="369"/>
      <c r="IM18" s="369"/>
      <c r="IN18" s="369"/>
      <c r="IO18" s="369"/>
      <c r="IP18" s="369"/>
      <c r="IQ18" s="369"/>
      <c r="IR18" s="369"/>
      <c r="IS18" s="369"/>
      <c r="IT18" s="369"/>
      <c r="IU18" s="369"/>
      <c r="IV18" s="369"/>
      <c r="IW18" s="369"/>
      <c r="IX18" s="369"/>
      <c r="IY18" s="369"/>
      <c r="IZ18" s="369"/>
      <c r="JA18" s="369"/>
      <c r="JB18" s="369"/>
      <c r="JC18" s="369"/>
      <c r="JD18" s="369"/>
      <c r="JE18" s="369"/>
      <c r="JF18" s="369"/>
      <c r="JG18" s="369"/>
      <c r="JH18" s="369"/>
      <c r="JI18" s="369"/>
      <c r="JJ18" s="369"/>
      <c r="JK18" s="369"/>
      <c r="JL18" s="369">
        <f t="shared" si="7"/>
        <v>0</v>
      </c>
      <c r="JN18" s="37"/>
      <c r="JO18" s="37" t="s">
        <v>519</v>
      </c>
      <c r="JP18" s="37"/>
      <c r="JQ18" s="382"/>
      <c r="JR18" s="382"/>
      <c r="JS18" s="382"/>
      <c r="JT18" s="382"/>
      <c r="JU18" s="382"/>
      <c r="JV18" s="382"/>
      <c r="JW18" s="386"/>
      <c r="JX18" s="386"/>
      <c r="JY18" s="386"/>
      <c r="JZ18" s="386"/>
      <c r="KA18" s="386"/>
      <c r="KB18" s="386"/>
      <c r="KC18" s="386"/>
      <c r="KD18" s="386"/>
      <c r="KE18" s="386"/>
      <c r="KF18" s="386">
        <f ca="1">SUMIF('Working-Jan-25'!$C$600:$C$694,JO18,'Working-Jan-25'!$L$600:$L$694)</f>
        <v>0</v>
      </c>
      <c r="KG18" s="393"/>
      <c r="KH18" s="386"/>
      <c r="KI18" s="386" t="s">
        <v>483</v>
      </c>
      <c r="KJ18" s="386"/>
      <c r="KK18" s="386"/>
      <c r="KL18" s="386"/>
      <c r="KM18" s="386"/>
      <c r="KN18" s="386"/>
      <c r="KO18" s="386"/>
      <c r="KP18" s="386"/>
      <c r="KQ18" s="386"/>
      <c r="KR18" s="386"/>
      <c r="KS18" s="396"/>
      <c r="KT18" s="396"/>
      <c r="KU18" s="396"/>
      <c r="KV18" s="396"/>
      <c r="KW18" s="399"/>
      <c r="KX18" s="399"/>
      <c r="KY18" s="399"/>
    </row>
    <row r="19" spans="2:311">
      <c r="B19" s="279"/>
      <c r="C19" s="279" t="s">
        <v>520</v>
      </c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>
        <f ca="1">SUMIF('Working-Jan-25'!$C$600:$C$694,C19,'Working-Jan-25'!$D$600:$D$694)</f>
        <v>0</v>
      </c>
      <c r="AH19" s="303">
        <f ca="1" t="shared" si="2"/>
        <v>0</v>
      </c>
      <c r="AJ19" s="306"/>
      <c r="AK19" s="306" t="s">
        <v>517</v>
      </c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  <c r="BI19" s="307"/>
      <c r="BJ19" s="307"/>
      <c r="BK19" s="307"/>
      <c r="BL19" s="307"/>
      <c r="BM19" s="307"/>
      <c r="BN19" s="307"/>
      <c r="BO19" s="307">
        <f ca="1">SUMIF('Working-Jan-25'!$C$600:$C$694,AK19,'Working-Jan-25'!$H$600:$H$694)</f>
        <v>0</v>
      </c>
      <c r="BP19" s="307">
        <f ca="1" t="shared" si="1"/>
        <v>0</v>
      </c>
      <c r="BR19" s="315" t="s">
        <v>521</v>
      </c>
      <c r="BS19" s="315"/>
      <c r="BT19" s="316"/>
      <c r="BU19" s="316"/>
      <c r="BV19" s="316"/>
      <c r="BW19" s="316"/>
      <c r="BX19" s="316"/>
      <c r="BY19" s="316"/>
      <c r="BZ19" s="316"/>
      <c r="CA19" s="316"/>
      <c r="CB19" s="316"/>
      <c r="CC19" s="316"/>
      <c r="CD19" s="316"/>
      <c r="CE19" s="316"/>
      <c r="CF19" s="316"/>
      <c r="CG19" s="316"/>
      <c r="CH19" s="316"/>
      <c r="CI19" s="316"/>
      <c r="CJ19" s="316"/>
      <c r="CK19" s="336"/>
      <c r="CL19" s="316"/>
      <c r="CM19" s="322"/>
      <c r="CN19" s="316"/>
      <c r="CO19" s="322"/>
      <c r="CP19" s="316"/>
      <c r="CQ19" s="322"/>
      <c r="CR19" s="316"/>
      <c r="CS19" s="322"/>
      <c r="CT19" s="316"/>
      <c r="CU19" s="322"/>
      <c r="CV19" s="316"/>
      <c r="CW19" s="322">
        <f ca="1">SUMIF('Working-Jan-25'!$C$600:$C$694,BR19,'Working-Jan-25'!$G$600:$G$694)</f>
        <v>0</v>
      </c>
      <c r="CX19" s="316">
        <f ca="1" t="shared" si="3"/>
        <v>0</v>
      </c>
      <c r="CZ19" s="337"/>
      <c r="DA19" s="337"/>
      <c r="DB19" s="341"/>
      <c r="DC19" s="341"/>
      <c r="DD19" s="341"/>
      <c r="DE19" s="341"/>
      <c r="DF19" s="341"/>
      <c r="DG19" s="341"/>
      <c r="DH19" s="341"/>
      <c r="DI19" s="341"/>
      <c r="DJ19" s="341"/>
      <c r="DK19" s="341"/>
      <c r="DL19" s="341"/>
      <c r="DM19" s="341"/>
      <c r="DN19" s="341"/>
      <c r="DO19" s="341"/>
      <c r="DP19" s="341"/>
      <c r="DQ19" s="341"/>
      <c r="DR19" s="341"/>
      <c r="DS19" s="341"/>
      <c r="DT19" s="341"/>
      <c r="DU19" s="341"/>
      <c r="DV19" s="341"/>
      <c r="DW19" s="341"/>
      <c r="DX19" s="341"/>
      <c r="DY19" s="341"/>
      <c r="DZ19" s="341"/>
      <c r="EA19" s="341"/>
      <c r="EB19" s="341"/>
      <c r="EC19" s="341"/>
      <c r="ED19" s="341"/>
      <c r="EE19" s="341">
        <f ca="1">SUMIF('Working-Jan-25'!$C$600:$C$694,CZ19,'Working-Jan-25'!$K$600:$K$694)</f>
        <v>0</v>
      </c>
      <c r="EF19" s="341">
        <f ca="1" t="shared" si="8"/>
        <v>0</v>
      </c>
      <c r="EH19" s="347" t="s">
        <v>474</v>
      </c>
      <c r="EI19" s="347"/>
      <c r="EJ19" s="348"/>
      <c r="EK19" s="348"/>
      <c r="EL19" s="348"/>
      <c r="EM19" s="348"/>
      <c r="EN19" s="348"/>
      <c r="EO19" s="348"/>
      <c r="EP19" s="348"/>
      <c r="EQ19" s="348"/>
      <c r="ER19" s="348"/>
      <c r="ES19" s="348"/>
      <c r="ET19" s="348"/>
      <c r="EU19" s="348"/>
      <c r="EV19" s="348"/>
      <c r="EW19" s="348"/>
      <c r="EX19" s="348"/>
      <c r="EY19" s="348"/>
      <c r="EZ19" s="348"/>
      <c r="FA19" s="348"/>
      <c r="FB19" s="348"/>
      <c r="FC19" s="348"/>
      <c r="FD19" s="348"/>
      <c r="FE19" s="348"/>
      <c r="FF19" s="348"/>
      <c r="FG19" s="348"/>
      <c r="FH19" s="348"/>
      <c r="FI19" s="355"/>
      <c r="FJ19" s="355"/>
      <c r="FK19" s="355"/>
      <c r="FL19" s="355"/>
      <c r="FM19" s="355">
        <f ca="1">SUMIF('Working-Jan-25'!$C$600:$C$694,EH19,'Working-Jan-25'!$Q$600:$Q$694)</f>
        <v>0</v>
      </c>
      <c r="FN19" s="355">
        <f ca="1" t="shared" si="4"/>
        <v>0</v>
      </c>
      <c r="FP19" s="358" t="s">
        <v>479</v>
      </c>
      <c r="FQ19" s="358"/>
      <c r="FR19" s="359"/>
      <c r="FS19" s="359"/>
      <c r="FT19" s="359"/>
      <c r="FU19" s="359"/>
      <c r="FV19" s="359"/>
      <c r="FW19" s="359"/>
      <c r="FX19" s="359"/>
      <c r="FY19" s="359"/>
      <c r="FZ19" s="359"/>
      <c r="GA19" s="359"/>
      <c r="GB19" s="359"/>
      <c r="GC19" s="359"/>
      <c r="GD19" s="359"/>
      <c r="GE19" s="359"/>
      <c r="GF19" s="359"/>
      <c r="GG19" s="359"/>
      <c r="GH19" s="365"/>
      <c r="GI19" s="359"/>
      <c r="GJ19" s="365"/>
      <c r="GK19" s="359"/>
      <c r="GL19" s="365"/>
      <c r="GM19" s="359"/>
      <c r="GN19" s="365"/>
      <c r="GO19" s="359"/>
      <c r="GP19" s="365"/>
      <c r="GQ19" s="359"/>
      <c r="GR19" s="365"/>
      <c r="GS19" s="359"/>
      <c r="GT19" s="365"/>
      <c r="GU19" s="359">
        <f ca="1">SUMIF('Working-Jan-25'!$C$600:$C$694,FP19,'Working-Jan-25'!$R$600:$R$694)</f>
        <v>65872.63</v>
      </c>
      <c r="GV19" s="365">
        <f ca="1">GU19/16483.31</f>
        <v>3.99632294727212</v>
      </c>
      <c r="GX19" s="368" t="s">
        <v>522</v>
      </c>
      <c r="GY19" s="368"/>
      <c r="GZ19" s="369"/>
      <c r="HA19" s="369"/>
      <c r="HB19" s="369"/>
      <c r="HC19" s="369"/>
      <c r="HD19" s="369"/>
      <c r="HE19" s="369"/>
      <c r="HF19" s="369"/>
      <c r="HG19" s="369"/>
      <c r="HH19" s="369"/>
      <c r="HI19" s="369"/>
      <c r="HJ19" s="369"/>
      <c r="HK19" s="369"/>
      <c r="HL19" s="369"/>
      <c r="HM19" s="375"/>
      <c r="HN19" s="369"/>
      <c r="HO19" s="369"/>
      <c r="HP19" s="369"/>
      <c r="HQ19" s="369"/>
      <c r="HR19" s="369"/>
      <c r="HS19" s="369"/>
      <c r="HT19" s="369"/>
      <c r="HU19" s="369"/>
      <c r="HV19" s="369"/>
      <c r="HW19" s="369"/>
      <c r="HX19" s="369"/>
      <c r="HY19" s="375"/>
      <c r="HZ19" s="375"/>
      <c r="IA19" s="378"/>
      <c r="IB19" s="375"/>
      <c r="IC19" s="378">
        <f ca="1">SUMIF('Working-Jan-25'!$C$600:$C$694,GX19,'Working-Jan-25'!$F$600:$F$694)</f>
        <v>0</v>
      </c>
      <c r="ID19" s="378">
        <f ca="1" t="shared" si="5"/>
        <v>0</v>
      </c>
      <c r="IF19" s="368"/>
      <c r="IG19" s="368"/>
      <c r="IH19" s="369"/>
      <c r="II19" s="369"/>
      <c r="IJ19" s="369"/>
      <c r="IK19" s="369"/>
      <c r="IL19" s="369"/>
      <c r="IM19" s="369"/>
      <c r="IN19" s="369"/>
      <c r="IO19" s="369"/>
      <c r="IP19" s="369"/>
      <c r="IQ19" s="369"/>
      <c r="IR19" s="369"/>
      <c r="IS19" s="369"/>
      <c r="IT19" s="369"/>
      <c r="IU19" s="369"/>
      <c r="IV19" s="369"/>
      <c r="IW19" s="369"/>
      <c r="IX19" s="369"/>
      <c r="IY19" s="369"/>
      <c r="IZ19" s="369"/>
      <c r="JA19" s="369"/>
      <c r="JB19" s="369"/>
      <c r="JC19" s="369"/>
      <c r="JD19" s="369"/>
      <c r="JE19" s="369"/>
      <c r="JF19" s="369"/>
      <c r="JG19" s="369"/>
      <c r="JH19" s="369"/>
      <c r="JI19" s="369"/>
      <c r="JJ19" s="369"/>
      <c r="JK19" s="369"/>
      <c r="JL19" s="369">
        <f t="shared" si="7"/>
        <v>0</v>
      </c>
      <c r="JN19" s="37"/>
      <c r="JO19" s="37" t="s">
        <v>523</v>
      </c>
      <c r="JP19" s="37"/>
      <c r="JQ19" s="382"/>
      <c r="JR19" s="382"/>
      <c r="JS19" s="382"/>
      <c r="JT19" s="382"/>
      <c r="JU19" s="382"/>
      <c r="JV19" s="382"/>
      <c r="JW19" s="386"/>
      <c r="JX19" s="386"/>
      <c r="JY19" s="386"/>
      <c r="JZ19" s="386"/>
      <c r="KA19" s="386"/>
      <c r="KB19" s="386"/>
      <c r="KC19" s="386"/>
      <c r="KD19" s="386"/>
      <c r="KE19" s="386"/>
      <c r="KF19" s="386">
        <f ca="1">SUMIF('Working-Jan-25'!$C$600:$C$694,JO19,'Working-Jan-25'!$L$600:$L$694)</f>
        <v>0</v>
      </c>
      <c r="KG19" s="393"/>
      <c r="KH19" s="386"/>
      <c r="KI19" s="386"/>
      <c r="KJ19" s="386"/>
      <c r="KK19" s="386"/>
      <c r="KL19" s="386"/>
      <c r="KM19" s="386"/>
      <c r="KN19" s="386"/>
      <c r="KO19" s="386"/>
      <c r="KP19" s="386"/>
      <c r="KQ19" s="386"/>
      <c r="KR19" s="386"/>
      <c r="KS19" s="396"/>
      <c r="KT19" s="396"/>
      <c r="KU19" s="396"/>
      <c r="KV19" s="396"/>
      <c r="KW19" s="396"/>
      <c r="KX19" s="396"/>
      <c r="KY19" s="396"/>
    </row>
    <row r="20" spans="2:311">
      <c r="B20" s="279"/>
      <c r="C20" s="279" t="s">
        <v>502</v>
      </c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>
        <f ca="1">SUMIF('Working-Jan-25'!$C$600:$C$694,C20,'Working-Jan-25'!$D$600:$D$694)</f>
        <v>1600</v>
      </c>
      <c r="AH20" s="303">
        <f ca="1" t="shared" si="2"/>
        <v>0.0556715379262352</v>
      </c>
      <c r="AJ20" s="306"/>
      <c r="AK20" s="306" t="s">
        <v>520</v>
      </c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  <c r="BI20" s="307"/>
      <c r="BJ20" s="307"/>
      <c r="BK20" s="307"/>
      <c r="BL20" s="307"/>
      <c r="BM20" s="307"/>
      <c r="BN20" s="307"/>
      <c r="BO20" s="307">
        <f ca="1">SUMIF('Working-Jan-25'!$C$600:$C$694,AK20,'Working-Jan-25'!$H$600:$H$694)</f>
        <v>0</v>
      </c>
      <c r="BP20" s="307">
        <f ca="1" t="shared" si="1"/>
        <v>0</v>
      </c>
      <c r="BR20" s="315"/>
      <c r="BS20" s="315"/>
      <c r="BT20" s="316"/>
      <c r="BU20" s="316"/>
      <c r="BV20" s="316"/>
      <c r="BW20" s="316"/>
      <c r="BX20" s="316"/>
      <c r="BY20" s="316"/>
      <c r="BZ20" s="316"/>
      <c r="CA20" s="316"/>
      <c r="CB20" s="316"/>
      <c r="CC20" s="316"/>
      <c r="CD20" s="316"/>
      <c r="CE20" s="316"/>
      <c r="CF20" s="316"/>
      <c r="CG20" s="316"/>
      <c r="CH20" s="316"/>
      <c r="CI20" s="316"/>
      <c r="CJ20" s="316"/>
      <c r="CK20" s="316"/>
      <c r="CL20" s="316"/>
      <c r="CM20" s="322"/>
      <c r="CN20" s="316"/>
      <c r="CO20" s="322"/>
      <c r="CP20" s="316"/>
      <c r="CQ20" s="322"/>
      <c r="CR20" s="316"/>
      <c r="CS20" s="322"/>
      <c r="CT20" s="316"/>
      <c r="CU20" s="322"/>
      <c r="CV20" s="316"/>
      <c r="CW20" s="322">
        <f ca="1">SUMIF('Working-Jan-25'!$C$600:$C$694,BR20,'Working-Jan-25'!$G$600:$G$694)</f>
        <v>0</v>
      </c>
      <c r="CX20" s="316">
        <f ca="1" t="shared" si="3"/>
        <v>0</v>
      </c>
      <c r="CZ20" s="337"/>
      <c r="DA20" s="337"/>
      <c r="DB20" s="341"/>
      <c r="DC20" s="341"/>
      <c r="DD20" s="341"/>
      <c r="DE20" s="341"/>
      <c r="DF20" s="341"/>
      <c r="DG20" s="341"/>
      <c r="DH20" s="341"/>
      <c r="DI20" s="341"/>
      <c r="DJ20" s="341"/>
      <c r="DK20" s="341"/>
      <c r="DL20" s="341"/>
      <c r="DM20" s="341"/>
      <c r="DN20" s="341"/>
      <c r="DO20" s="341"/>
      <c r="DP20" s="341"/>
      <c r="DQ20" s="341"/>
      <c r="DR20" s="341"/>
      <c r="DS20" s="341"/>
      <c r="DT20" s="341"/>
      <c r="DU20" s="341"/>
      <c r="DV20" s="341"/>
      <c r="DW20" s="341"/>
      <c r="DX20" s="341"/>
      <c r="DY20" s="341"/>
      <c r="DZ20" s="341"/>
      <c r="EA20" s="341"/>
      <c r="EB20" s="341"/>
      <c r="EC20" s="341"/>
      <c r="ED20" s="341"/>
      <c r="EE20" s="341">
        <f ca="1">SUMIF('Working-Jan-25'!$C$600:$C$694,CZ20,'Working-Jan-25'!$K$600:$K$694)</f>
        <v>0</v>
      </c>
      <c r="EF20" s="341">
        <f ca="1" t="shared" si="8"/>
        <v>0</v>
      </c>
      <c r="EH20" s="347" t="s">
        <v>524</v>
      </c>
      <c r="EI20" s="347"/>
      <c r="EJ20" s="348"/>
      <c r="EK20" s="348"/>
      <c r="EL20" s="348"/>
      <c r="EM20" s="348"/>
      <c r="EN20" s="348"/>
      <c r="EO20" s="348"/>
      <c r="EP20" s="348"/>
      <c r="EQ20" s="348"/>
      <c r="ER20" s="348"/>
      <c r="ES20" s="348"/>
      <c r="ET20" s="348"/>
      <c r="EU20" s="348"/>
      <c r="EV20" s="348"/>
      <c r="EW20" s="348"/>
      <c r="EX20" s="348"/>
      <c r="EY20" s="348"/>
      <c r="EZ20" s="348"/>
      <c r="FA20" s="348"/>
      <c r="FB20" s="348"/>
      <c r="FC20" s="348"/>
      <c r="FD20" s="348"/>
      <c r="FE20" s="348"/>
      <c r="FF20" s="348"/>
      <c r="FG20" s="348"/>
      <c r="FH20" s="348"/>
      <c r="FI20" s="355"/>
      <c r="FJ20" s="355"/>
      <c r="FK20" s="355"/>
      <c r="FL20" s="355"/>
      <c r="FM20" s="355">
        <f ca="1">SUMIF('Working-Jan-25'!$C$600:$C$694,EH20,'Working-Jan-25'!$Q$600:$Q$694)</f>
        <v>0</v>
      </c>
      <c r="FN20" s="355">
        <f ca="1" t="shared" si="4"/>
        <v>0</v>
      </c>
      <c r="FP20" s="358" t="s">
        <v>525</v>
      </c>
      <c r="FQ20" s="358"/>
      <c r="FR20" s="359"/>
      <c r="FS20" s="359"/>
      <c r="FT20" s="359"/>
      <c r="FU20" s="359"/>
      <c r="FV20" s="359"/>
      <c r="FW20" s="359"/>
      <c r="FX20" s="359"/>
      <c r="FY20" s="359"/>
      <c r="FZ20" s="359"/>
      <c r="GA20" s="359"/>
      <c r="GB20" s="359"/>
      <c r="GC20" s="359"/>
      <c r="GD20" s="359"/>
      <c r="GE20" s="359"/>
      <c r="GF20" s="359"/>
      <c r="GG20" s="359"/>
      <c r="GH20" s="365"/>
      <c r="GI20" s="359"/>
      <c r="GJ20" s="365"/>
      <c r="GK20" s="359"/>
      <c r="GL20" s="365"/>
      <c r="GM20" s="359"/>
      <c r="GN20" s="365"/>
      <c r="GO20" s="359"/>
      <c r="GP20" s="365"/>
      <c r="GQ20" s="359"/>
      <c r="GR20" s="365"/>
      <c r="GS20" s="359"/>
      <c r="GT20" s="365"/>
      <c r="GU20" s="359">
        <f ca="1">SUMIF('Working-Jan-25'!$C$600:$C$694,FP20,'Working-Jan-25'!$R$600:$R$694)</f>
        <v>0</v>
      </c>
      <c r="GV20" s="365">
        <f ca="1" t="shared" ref="GV20" si="9">GU20/1882.16</f>
        <v>0</v>
      </c>
      <c r="GX20" s="368" t="s">
        <v>487</v>
      </c>
      <c r="GY20" s="368"/>
      <c r="GZ20" s="369"/>
      <c r="HA20" s="369"/>
      <c r="HB20" s="369"/>
      <c r="HC20" s="369"/>
      <c r="HD20" s="369"/>
      <c r="HE20" s="369"/>
      <c r="HF20" s="369"/>
      <c r="HG20" s="369"/>
      <c r="HH20" s="369"/>
      <c r="HI20" s="369"/>
      <c r="HJ20" s="369"/>
      <c r="HK20" s="369"/>
      <c r="HL20" s="369"/>
      <c r="HM20" s="375"/>
      <c r="HN20" s="369"/>
      <c r="HO20" s="369"/>
      <c r="HP20" s="369"/>
      <c r="HQ20" s="369"/>
      <c r="HR20" s="369"/>
      <c r="HS20" s="369"/>
      <c r="HT20" s="369"/>
      <c r="HU20" s="376"/>
      <c r="HV20" s="376"/>
      <c r="HW20" s="369"/>
      <c r="HX20" s="369"/>
      <c r="HY20" s="375"/>
      <c r="HZ20" s="375"/>
      <c r="IA20" s="378"/>
      <c r="IB20" s="375"/>
      <c r="IC20" s="378">
        <f ca="1">SUMIF('Working-Jan-25'!$C$600:$C$694,GX20,'Working-Jan-25'!$F$600:$F$694)</f>
        <v>11223</v>
      </c>
      <c r="ID20" s="378">
        <f ca="1" t="shared" si="5"/>
        <v>0.291163638868361</v>
      </c>
      <c r="IF20" s="368"/>
      <c r="IG20" s="368"/>
      <c r="IH20" s="369"/>
      <c r="II20" s="369"/>
      <c r="IJ20" s="369"/>
      <c r="IK20" s="369"/>
      <c r="IL20" s="369"/>
      <c r="IM20" s="369"/>
      <c r="IN20" s="369"/>
      <c r="IO20" s="369"/>
      <c r="IP20" s="369"/>
      <c r="IQ20" s="369"/>
      <c r="IR20" s="369"/>
      <c r="IS20" s="369"/>
      <c r="IT20" s="369"/>
      <c r="IU20" s="369"/>
      <c r="IV20" s="369"/>
      <c r="IW20" s="369"/>
      <c r="IX20" s="369"/>
      <c r="IY20" s="369"/>
      <c r="IZ20" s="369"/>
      <c r="JA20" s="369"/>
      <c r="JB20" s="369"/>
      <c r="JC20" s="369"/>
      <c r="JD20" s="369"/>
      <c r="JE20" s="369"/>
      <c r="JF20" s="369"/>
      <c r="JG20" s="369"/>
      <c r="JH20" s="369"/>
      <c r="JI20" s="369"/>
      <c r="JJ20" s="369"/>
      <c r="JK20" s="369"/>
      <c r="JL20" s="369">
        <f t="shared" si="7"/>
        <v>0</v>
      </c>
      <c r="JN20" s="37"/>
      <c r="JO20" s="37"/>
      <c r="JP20" s="37"/>
      <c r="JQ20" s="382"/>
      <c r="JR20" s="382"/>
      <c r="JS20" s="382"/>
      <c r="JT20" s="382"/>
      <c r="JU20" s="382"/>
      <c r="JV20" s="382"/>
      <c r="JW20" s="386"/>
      <c r="JX20" s="386"/>
      <c r="JY20" s="386"/>
      <c r="JZ20" s="386"/>
      <c r="KA20" s="386"/>
      <c r="KB20" s="386"/>
      <c r="KC20" s="386"/>
      <c r="KD20" s="386"/>
      <c r="KE20" s="386"/>
      <c r="KF20" s="386">
        <f ca="1">SUMIF('Working-Jan-25'!$C$600:$C$694,JO20,'Working-Jan-25'!$L$600:$L$694)</f>
        <v>0</v>
      </c>
      <c r="KG20" s="393"/>
      <c r="KH20" s="386"/>
      <c r="KI20" s="386"/>
      <c r="KJ20" s="386"/>
      <c r="KK20" s="386"/>
      <c r="KL20" s="386"/>
      <c r="KM20" s="386"/>
      <c r="KN20" s="386"/>
      <c r="KO20" s="386"/>
      <c r="KP20" s="386"/>
      <c r="KQ20" s="386"/>
      <c r="KR20" s="386"/>
      <c r="KS20" s="396"/>
      <c r="KT20" s="396"/>
      <c r="KU20" s="396"/>
      <c r="KV20" s="396"/>
      <c r="KW20" s="396"/>
      <c r="KX20" s="396"/>
      <c r="KY20" s="396">
        <v>0</v>
      </c>
    </row>
    <row r="21" spans="2:311">
      <c r="B21" s="279" t="s">
        <v>526</v>
      </c>
      <c r="C21" s="279" t="s">
        <v>527</v>
      </c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>
        <f ca="1">SUMIF('Working-Jan-25'!$C$600:$C$694,C21,'Working-Jan-25'!$D$600:$D$694)</f>
        <v>0</v>
      </c>
      <c r="AH21" s="303">
        <f ca="1" t="shared" si="2"/>
        <v>0</v>
      </c>
      <c r="AJ21" s="313" t="e">
        <f>#REF!</f>
        <v>#REF!</v>
      </c>
      <c r="AK21" s="306" t="s">
        <v>502</v>
      </c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  <c r="BI21" s="307"/>
      <c r="BJ21" s="307"/>
      <c r="BK21" s="307"/>
      <c r="BL21" s="307"/>
      <c r="BM21" s="307"/>
      <c r="BN21" s="307"/>
      <c r="BO21" s="307">
        <f ca="1">SUMIF('Working-Jan-25'!$C$600:$C$694,AK21,'Working-Jan-25'!$H$600:$H$694)</f>
        <v>0</v>
      </c>
      <c r="BP21" s="307">
        <f ca="1" t="shared" si="1"/>
        <v>0</v>
      </c>
      <c r="BR21" s="323" t="s">
        <v>528</v>
      </c>
      <c r="BS21" s="323"/>
      <c r="BT21" s="316"/>
      <c r="BU21" s="316"/>
      <c r="BV21" s="316"/>
      <c r="BW21" s="316"/>
      <c r="BX21" s="316"/>
      <c r="BY21" s="316"/>
      <c r="BZ21" s="316"/>
      <c r="CA21" s="316"/>
      <c r="CB21" s="316"/>
      <c r="CC21" s="316"/>
      <c r="CD21" s="316"/>
      <c r="CE21" s="316"/>
      <c r="CF21" s="316"/>
      <c r="CG21" s="316"/>
      <c r="CH21" s="316"/>
      <c r="CI21" s="316"/>
      <c r="CJ21" s="316"/>
      <c r="CK21" s="316"/>
      <c r="CL21" s="316"/>
      <c r="CM21" s="322"/>
      <c r="CN21" s="316"/>
      <c r="CO21" s="322"/>
      <c r="CP21" s="316"/>
      <c r="CQ21" s="322"/>
      <c r="CR21" s="316"/>
      <c r="CS21" s="322"/>
      <c r="CT21" s="316"/>
      <c r="CU21" s="322"/>
      <c r="CV21" s="316"/>
      <c r="CW21" s="322">
        <f ca="1">SUMIF('Working-Jan-25'!$C$600:$C$694,BR21,'Working-Jan-25'!$G$600:$G$694)</f>
        <v>0</v>
      </c>
      <c r="CX21" s="316">
        <f ca="1" t="shared" si="3"/>
        <v>0</v>
      </c>
      <c r="CZ21" s="337"/>
      <c r="DA21" s="338"/>
      <c r="DB21" s="341"/>
      <c r="DC21" s="341"/>
      <c r="DD21" s="341"/>
      <c r="DE21" s="341"/>
      <c r="DF21" s="341"/>
      <c r="DG21" s="341"/>
      <c r="DH21" s="341"/>
      <c r="DI21" s="341"/>
      <c r="DJ21" s="341"/>
      <c r="DK21" s="341"/>
      <c r="DL21" s="341"/>
      <c r="DM21" s="341"/>
      <c r="DN21" s="341"/>
      <c r="DO21" s="341"/>
      <c r="DP21" s="341"/>
      <c r="DQ21" s="341"/>
      <c r="DR21" s="341"/>
      <c r="DS21" s="341"/>
      <c r="DT21" s="341"/>
      <c r="DU21" s="341"/>
      <c r="DV21" s="341"/>
      <c r="DW21" s="341"/>
      <c r="DX21" s="341"/>
      <c r="DY21" s="341"/>
      <c r="DZ21" s="341"/>
      <c r="EA21" s="341"/>
      <c r="EB21" s="341"/>
      <c r="EC21" s="341"/>
      <c r="ED21" s="341"/>
      <c r="EE21" s="341">
        <f ca="1">SUMIF('Working-Jan-25'!$C$600:$C$694,CZ21,'Working-Jan-25'!$K$600:$K$694)</f>
        <v>0</v>
      </c>
      <c r="EF21" s="341">
        <f ca="1" t="shared" si="8"/>
        <v>0</v>
      </c>
      <c r="EH21" s="347" t="s">
        <v>487</v>
      </c>
      <c r="EI21" s="347"/>
      <c r="EJ21" s="348"/>
      <c r="EK21" s="348"/>
      <c r="EL21" s="348"/>
      <c r="EM21" s="348"/>
      <c r="EN21" s="348"/>
      <c r="EO21" s="348"/>
      <c r="EP21" s="348"/>
      <c r="EQ21" s="348"/>
      <c r="ER21" s="348"/>
      <c r="ES21" s="348"/>
      <c r="ET21" s="348"/>
      <c r="EU21" s="348"/>
      <c r="EV21" s="348"/>
      <c r="EW21" s="348"/>
      <c r="EX21" s="348"/>
      <c r="EY21" s="348"/>
      <c r="EZ21" s="348"/>
      <c r="FA21" s="348"/>
      <c r="FB21" s="348"/>
      <c r="FC21" s="348"/>
      <c r="FD21" s="348"/>
      <c r="FE21" s="348"/>
      <c r="FF21" s="348"/>
      <c r="FG21" s="348"/>
      <c r="FH21" s="348"/>
      <c r="FI21" s="355"/>
      <c r="FJ21" s="355"/>
      <c r="FK21" s="355"/>
      <c r="FL21" s="355"/>
      <c r="FM21" s="355">
        <f ca="1">SUMIF('Working-Jan-25'!$C$600:$C$694,EH21,'Working-Jan-25'!$Q$600:$Q$694)</f>
        <v>0</v>
      </c>
      <c r="FN21" s="355">
        <f ca="1" t="shared" si="4"/>
        <v>0</v>
      </c>
      <c r="FP21" s="364" t="s">
        <v>529</v>
      </c>
      <c r="FQ21" s="364"/>
      <c r="FR21" s="359"/>
      <c r="FS21" s="359"/>
      <c r="FT21" s="359"/>
      <c r="FU21" s="359"/>
      <c r="FV21" s="359"/>
      <c r="FW21" s="359"/>
      <c r="FX21" s="359"/>
      <c r="FY21" s="359"/>
      <c r="FZ21" s="359"/>
      <c r="GA21" s="359"/>
      <c r="GB21" s="359"/>
      <c r="GC21" s="359"/>
      <c r="GD21" s="359"/>
      <c r="GE21" s="359"/>
      <c r="GF21" s="359"/>
      <c r="GG21" s="359"/>
      <c r="GH21" s="365"/>
      <c r="GI21" s="359"/>
      <c r="GJ21" s="365"/>
      <c r="GK21" s="359"/>
      <c r="GL21" s="365"/>
      <c r="GM21" s="359"/>
      <c r="GN21" s="365"/>
      <c r="GO21" s="359"/>
      <c r="GP21" s="365"/>
      <c r="GQ21" s="359"/>
      <c r="GR21" s="365"/>
      <c r="GS21" s="359"/>
      <c r="GT21" s="365"/>
      <c r="GU21" s="359">
        <f ca="1">SUMIF('Working-Jan-25'!$C$600:$C$694,FP21,'Working-Jan-25'!$R$600:$R$694)</f>
        <v>0</v>
      </c>
      <c r="GV21" s="365"/>
      <c r="GX21" s="368" t="s">
        <v>530</v>
      </c>
      <c r="GY21" s="368"/>
      <c r="GZ21" s="369"/>
      <c r="HA21" s="369"/>
      <c r="HB21" s="369"/>
      <c r="HC21" s="369"/>
      <c r="HD21" s="369"/>
      <c r="HE21" s="369"/>
      <c r="HF21" s="369"/>
      <c r="HG21" s="369"/>
      <c r="HH21" s="369"/>
      <c r="HI21" s="369"/>
      <c r="HJ21" s="369"/>
      <c r="HK21" s="369"/>
      <c r="HL21" s="369"/>
      <c r="HM21" s="375"/>
      <c r="HN21" s="369"/>
      <c r="HO21" s="369"/>
      <c r="HP21" s="369"/>
      <c r="HQ21" s="369"/>
      <c r="HR21" s="369"/>
      <c r="HS21" s="369"/>
      <c r="HT21" s="369"/>
      <c r="HU21" s="369"/>
      <c r="HV21" s="369"/>
      <c r="HW21" s="369"/>
      <c r="HX21" s="369"/>
      <c r="HY21" s="375"/>
      <c r="HZ21" s="375"/>
      <c r="IA21" s="378"/>
      <c r="IB21" s="375"/>
      <c r="IC21" s="378">
        <f ca="1">SUMIF('Working-Jan-25'!$C$600:$C$694,GX21,'Working-Jan-25'!$F$600:$F$694)</f>
        <v>5900</v>
      </c>
      <c r="ID21" s="378">
        <f ca="1" t="shared" si="5"/>
        <v>0.153066512458641</v>
      </c>
      <c r="IF21" s="368" t="s">
        <v>531</v>
      </c>
      <c r="IG21" s="368"/>
      <c r="IH21" s="369"/>
      <c r="II21" s="369"/>
      <c r="IJ21" s="369"/>
      <c r="IK21" s="369"/>
      <c r="IL21" s="369"/>
      <c r="IM21" s="369"/>
      <c r="IN21" s="369"/>
      <c r="IO21" s="369"/>
      <c r="IP21" s="369"/>
      <c r="IQ21" s="369"/>
      <c r="IR21" s="369"/>
      <c r="IS21" s="369"/>
      <c r="IT21" s="369"/>
      <c r="IU21" s="369"/>
      <c r="IV21" s="369"/>
      <c r="IW21" s="369"/>
      <c r="IX21" s="369"/>
      <c r="IY21" s="369"/>
      <c r="IZ21" s="369"/>
      <c r="JA21" s="369"/>
      <c r="JB21" s="369"/>
      <c r="JC21" s="369"/>
      <c r="JD21" s="369"/>
      <c r="JE21" s="369"/>
      <c r="JF21" s="369"/>
      <c r="JG21" s="369"/>
      <c r="JH21" s="369"/>
      <c r="JI21" s="369"/>
      <c r="JJ21" s="369"/>
      <c r="JK21" s="369">
        <f>VLOOKUP(IF21,'Working-Jan-25'!$C$5:$M$586,11,0)</f>
        <v>-254.24</v>
      </c>
      <c r="JL21" s="369">
        <f t="shared" si="7"/>
        <v>-0.00659586951313304</v>
      </c>
      <c r="JN21" s="37"/>
      <c r="JO21" s="37" t="s">
        <v>532</v>
      </c>
      <c r="JP21" s="37"/>
      <c r="JQ21" s="382"/>
      <c r="JR21" s="382"/>
      <c r="JS21" s="382"/>
      <c r="JT21" s="382"/>
      <c r="JU21" s="382"/>
      <c r="JV21" s="382"/>
      <c r="JW21" s="386"/>
      <c r="JX21" s="386"/>
      <c r="JY21" s="386"/>
      <c r="JZ21" s="386"/>
      <c r="KA21" s="386"/>
      <c r="KB21" s="386"/>
      <c r="KC21" s="386"/>
      <c r="KD21" s="386"/>
      <c r="KE21" s="386"/>
      <c r="KF21" s="386">
        <f ca="1">SUMIF('Working-Jan-25'!$C$600:$C$694,JO21,'Working-Jan-25'!$L$600:$L$694)</f>
        <v>30754</v>
      </c>
      <c r="KG21" s="393"/>
      <c r="KH21" s="386"/>
      <c r="KI21" s="386"/>
      <c r="KJ21" s="386"/>
      <c r="KK21" s="386"/>
      <c r="KL21" s="386"/>
      <c r="KM21" s="386"/>
      <c r="KN21" s="386"/>
      <c r="KO21" s="386"/>
      <c r="KP21" s="386"/>
      <c r="KQ21" s="386"/>
      <c r="KR21" s="386"/>
      <c r="KS21" s="396"/>
      <c r="KT21" s="396"/>
      <c r="KU21" s="396"/>
      <c r="KV21" s="396"/>
      <c r="KW21" s="396"/>
      <c r="KX21" s="396"/>
      <c r="KY21" s="396">
        <v>0</v>
      </c>
    </row>
    <row r="22" spans="2:311">
      <c r="B22" s="279"/>
      <c r="C22" s="279" t="s">
        <v>533</v>
      </c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>
        <f ca="1">SUMIF('Working-Jan-25'!$C$600:$C$694,C22,'Working-Jan-25'!$D$600:$D$694)</f>
        <v>0</v>
      </c>
      <c r="AH22" s="303">
        <f ca="1" t="shared" si="2"/>
        <v>0</v>
      </c>
      <c r="AJ22" s="306" t="s">
        <v>520</v>
      </c>
      <c r="AK22" s="306" t="s">
        <v>474</v>
      </c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  <c r="BI22" s="307"/>
      <c r="BJ22" s="307"/>
      <c r="BK22" s="307"/>
      <c r="BL22" s="307"/>
      <c r="BM22" s="307"/>
      <c r="BN22" s="307"/>
      <c r="BO22" s="307">
        <f ca="1">SUMIF('Working-Jan-25'!$C$600:$C$694,AK22,'Working-Jan-25'!$H$600:$H$694)</f>
        <v>37534.54</v>
      </c>
      <c r="BP22" s="307">
        <f ca="1" t="shared" si="1"/>
        <v>0</v>
      </c>
      <c r="BR22" s="315" t="s">
        <v>534</v>
      </c>
      <c r="BS22" s="315"/>
      <c r="BT22" s="316"/>
      <c r="BU22" s="316"/>
      <c r="BV22" s="316"/>
      <c r="BW22" s="316"/>
      <c r="BX22" s="316"/>
      <c r="BY22" s="316"/>
      <c r="BZ22" s="316"/>
      <c r="CA22" s="316"/>
      <c r="CB22" s="316"/>
      <c r="CC22" s="316"/>
      <c r="CD22" s="316"/>
      <c r="CE22" s="316"/>
      <c r="CF22" s="316"/>
      <c r="CG22" s="322"/>
      <c r="CH22" s="316"/>
      <c r="CI22" s="322"/>
      <c r="CJ22" s="316"/>
      <c r="CK22" s="334"/>
      <c r="CL22" s="335"/>
      <c r="CM22" s="322"/>
      <c r="CN22" s="316"/>
      <c r="CO22" s="322"/>
      <c r="CP22" s="316"/>
      <c r="CQ22" s="322"/>
      <c r="CR22" s="316"/>
      <c r="CS22" s="322"/>
      <c r="CT22" s="316"/>
      <c r="CU22" s="322"/>
      <c r="CV22" s="316"/>
      <c r="CW22" s="322">
        <f ca="1">SUMIF('Working-Jan-25'!$C$600:$C$694,BR22,'Working-Jan-25'!$G$600:$G$694)</f>
        <v>0</v>
      </c>
      <c r="CX22" s="316">
        <f ca="1" t="shared" si="3"/>
        <v>0</v>
      </c>
      <c r="CZ22" s="338" t="s">
        <v>529</v>
      </c>
      <c r="DA22" s="338"/>
      <c r="DB22" s="341"/>
      <c r="DC22" s="341"/>
      <c r="DD22" s="341"/>
      <c r="DE22" s="341"/>
      <c r="DF22" s="341"/>
      <c r="DG22" s="341"/>
      <c r="DH22" s="341"/>
      <c r="DI22" s="341"/>
      <c r="DJ22" s="341"/>
      <c r="DK22" s="341"/>
      <c r="DL22" s="341"/>
      <c r="DM22" s="341"/>
      <c r="DN22" s="341"/>
      <c r="DO22" s="341"/>
      <c r="DP22" s="341"/>
      <c r="DQ22" s="341"/>
      <c r="DR22" s="341"/>
      <c r="DS22" s="341"/>
      <c r="DT22" s="341"/>
      <c r="DU22" s="341"/>
      <c r="DV22" s="341"/>
      <c r="DW22" s="341"/>
      <c r="DX22" s="341"/>
      <c r="DY22" s="341"/>
      <c r="DZ22" s="341"/>
      <c r="EA22" s="341"/>
      <c r="EB22" s="341"/>
      <c r="EC22" s="341"/>
      <c r="ED22" s="341"/>
      <c r="EE22" s="341">
        <f ca="1">SUMIF('Working-Jan-25'!$C$600:$C$694,CZ22,'Working-Jan-25'!$K$600:$K$694)</f>
        <v>0</v>
      </c>
      <c r="EF22" s="341">
        <f ca="1" t="shared" si="8"/>
        <v>0</v>
      </c>
      <c r="EH22" s="347" t="s">
        <v>535</v>
      </c>
      <c r="EI22" s="353"/>
      <c r="EJ22" s="348"/>
      <c r="EK22" s="348"/>
      <c r="EL22" s="348"/>
      <c r="EM22" s="348"/>
      <c r="EN22" s="348"/>
      <c r="EO22" s="348"/>
      <c r="EP22" s="348"/>
      <c r="EQ22" s="348"/>
      <c r="ER22" s="348"/>
      <c r="ES22" s="348"/>
      <c r="ET22" s="348"/>
      <c r="EU22" s="348"/>
      <c r="EV22" s="348"/>
      <c r="EW22" s="348"/>
      <c r="EX22" s="348"/>
      <c r="EY22" s="348"/>
      <c r="EZ22" s="348"/>
      <c r="FA22" s="348"/>
      <c r="FB22" s="348"/>
      <c r="FC22" s="348"/>
      <c r="FD22" s="348"/>
      <c r="FE22" s="348"/>
      <c r="FF22" s="348"/>
      <c r="FG22" s="356"/>
      <c r="FH22" s="356"/>
      <c r="FI22" s="357"/>
      <c r="FJ22" s="357"/>
      <c r="FK22" s="355"/>
      <c r="FL22" s="355"/>
      <c r="FM22" s="355">
        <f ca="1">SUMIF('Working-Jan-25'!$C$600:$C$694,EH22,'Working-Jan-25'!$Q$600:$Q$694)</f>
        <v>268143.23</v>
      </c>
      <c r="FN22" s="355">
        <f ca="1" t="shared" si="4"/>
        <v>9.3494850069735</v>
      </c>
      <c r="FP22" s="358" t="s">
        <v>534</v>
      </c>
      <c r="FQ22" s="358"/>
      <c r="FR22" s="359"/>
      <c r="FS22" s="359"/>
      <c r="FT22" s="359"/>
      <c r="FU22" s="359"/>
      <c r="FV22" s="359"/>
      <c r="FW22" s="359"/>
      <c r="FX22" s="359"/>
      <c r="FY22" s="359"/>
      <c r="FZ22" s="359"/>
      <c r="GA22" s="359"/>
      <c r="GB22" s="359"/>
      <c r="GC22" s="359"/>
      <c r="GD22" s="359"/>
      <c r="GE22" s="359"/>
      <c r="GF22" s="359"/>
      <c r="GG22" s="359"/>
      <c r="GH22" s="365"/>
      <c r="GI22" s="359"/>
      <c r="GJ22" s="365"/>
      <c r="GK22" s="359"/>
      <c r="GL22" s="365"/>
      <c r="GM22" s="359"/>
      <c r="GN22" s="365"/>
      <c r="GO22" s="359"/>
      <c r="GP22" s="365"/>
      <c r="GQ22" s="359"/>
      <c r="GR22" s="365"/>
      <c r="GS22" s="359"/>
      <c r="GT22" s="365"/>
      <c r="GU22" s="359">
        <f ca="1">SUMIF('Working-Jan-25'!$C$600:$C$694,FP22,'Working-Jan-25'!$R$600:$R$694)</f>
        <v>0</v>
      </c>
      <c r="GV22" s="365">
        <f ca="1" t="shared" ref="GV22:GV47" si="10">IFERROR(GU22/$GM$3,0)</f>
        <v>0</v>
      </c>
      <c r="GX22" s="368" t="s">
        <v>479</v>
      </c>
      <c r="GY22" s="368"/>
      <c r="GZ22" s="369"/>
      <c r="HA22" s="369"/>
      <c r="HB22" s="369"/>
      <c r="HC22" s="369"/>
      <c r="HD22" s="369"/>
      <c r="HE22" s="369"/>
      <c r="HF22" s="369"/>
      <c r="HG22" s="369"/>
      <c r="HH22" s="369"/>
      <c r="HI22" s="369"/>
      <c r="HJ22" s="369"/>
      <c r="HK22" s="369"/>
      <c r="HL22" s="369"/>
      <c r="HM22" s="375"/>
      <c r="HN22" s="369"/>
      <c r="HO22" s="369"/>
      <c r="HP22" s="369"/>
      <c r="HQ22" s="369"/>
      <c r="HR22" s="369"/>
      <c r="HS22" s="369"/>
      <c r="HT22" s="369"/>
      <c r="HU22" s="369"/>
      <c r="HV22" s="369"/>
      <c r="HW22" s="369"/>
      <c r="HX22" s="369"/>
      <c r="HY22" s="375"/>
      <c r="HZ22" s="375"/>
      <c r="IA22" s="378"/>
      <c r="IB22" s="375"/>
      <c r="IC22" s="378">
        <f ca="1">SUMIF('Working-Jan-25'!$C$600:$C$694,GX22,'Working-Jan-25'!$F$600:$F$694)</f>
        <v>-0.289999999999964</v>
      </c>
      <c r="ID22" s="378">
        <f ca="1" t="shared" si="5"/>
        <v>-7.52360823949159e-6</v>
      </c>
      <c r="IF22" s="368" t="s">
        <v>536</v>
      </c>
      <c r="IG22" s="368"/>
      <c r="IH22" s="369"/>
      <c r="II22" s="369"/>
      <c r="IJ22" s="369"/>
      <c r="IK22" s="369"/>
      <c r="IL22" s="369"/>
      <c r="IM22" s="369"/>
      <c r="IN22" s="369"/>
      <c r="IO22" s="369"/>
      <c r="IP22" s="369"/>
      <c r="IQ22" s="369"/>
      <c r="IR22" s="369"/>
      <c r="IS22" s="369"/>
      <c r="IT22" s="369"/>
      <c r="IU22" s="369"/>
      <c r="IV22" s="369"/>
      <c r="IW22" s="369"/>
      <c r="IX22" s="369"/>
      <c r="IY22" s="369"/>
      <c r="IZ22" s="369"/>
      <c r="JA22" s="369"/>
      <c r="JB22" s="369"/>
      <c r="JC22" s="369"/>
      <c r="JD22" s="369"/>
      <c r="JE22" s="369"/>
      <c r="JF22" s="369"/>
      <c r="JG22" s="369"/>
      <c r="JH22" s="369"/>
      <c r="JI22" s="369"/>
      <c r="JJ22" s="369"/>
      <c r="JK22" s="369">
        <f>VLOOKUP(IF22,'Working-Jan-25'!$C$5:$M$586,11,0)</f>
        <v>389349</v>
      </c>
      <c r="JL22" s="369">
        <f t="shared" si="7"/>
        <v>10.1010667049592</v>
      </c>
      <c r="JN22" s="37" t="s">
        <v>507</v>
      </c>
      <c r="JO22" s="37" t="s">
        <v>537</v>
      </c>
      <c r="JP22" s="37"/>
      <c r="JQ22" s="382"/>
      <c r="JR22" s="382"/>
      <c r="JS22" s="382"/>
      <c r="JT22" s="382"/>
      <c r="JU22" s="382"/>
      <c r="JV22" s="382"/>
      <c r="JW22" s="386"/>
      <c r="JX22" s="386"/>
      <c r="JY22" s="386"/>
      <c r="JZ22" s="386"/>
      <c r="KA22" s="386"/>
      <c r="KB22" s="385"/>
      <c r="KC22" s="385"/>
      <c r="KD22" s="386"/>
      <c r="KE22" s="386"/>
      <c r="KF22" s="386">
        <f ca="1">SUMIF('Working-Jan-25'!$C$600:$C$694,JO22,'Working-Jan-25'!$L$600:$L$694)</f>
        <v>0</v>
      </c>
      <c r="KG22" s="393"/>
      <c r="KH22" s="386"/>
      <c r="KI22" s="386" t="s">
        <v>534</v>
      </c>
      <c r="KJ22" s="386"/>
      <c r="KK22" s="386"/>
      <c r="KL22" s="386"/>
      <c r="KM22" s="386"/>
      <c r="KN22" s="386"/>
      <c r="KO22" s="386"/>
      <c r="KP22" s="386"/>
      <c r="KQ22" s="386"/>
      <c r="KR22" s="386"/>
      <c r="KS22" s="396"/>
      <c r="KT22" s="396"/>
      <c r="KU22" s="396"/>
      <c r="KV22" s="396"/>
      <c r="KW22" s="396"/>
      <c r="KX22" s="396"/>
      <c r="KY22" s="396">
        <f ca="1">SUMIF('Working-Jan-25'!$C$600:$C$694,KI22,'Working-Jan-25'!$I$600:$I$694)</f>
        <v>0</v>
      </c>
    </row>
    <row r="23" spans="2:311">
      <c r="B23" s="293" t="s">
        <v>529</v>
      </c>
      <c r="C23" s="279" t="s">
        <v>538</v>
      </c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>
        <f ca="1">SUMIF('Working-Jan-25'!$C$600:$C$694,C23,'Working-Jan-25'!$D$600:$D$694)</f>
        <v>25680</v>
      </c>
      <c r="AH23" s="303">
        <f ca="1" t="shared" si="2"/>
        <v>0.893528183716075</v>
      </c>
      <c r="AJ23" s="306" t="s">
        <v>502</v>
      </c>
      <c r="AK23" s="306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  <c r="BI23" s="307"/>
      <c r="BJ23" s="307"/>
      <c r="BK23" s="307"/>
      <c r="BL23" s="307"/>
      <c r="BM23" s="307"/>
      <c r="BN23" s="307"/>
      <c r="BO23" s="307">
        <f ca="1">SUMIF('Working-Jan-25'!$C$600:$C$694,AK23,'Working-Jan-25'!$H$600:$H$694)</f>
        <v>0</v>
      </c>
      <c r="BP23" s="307">
        <f ca="1" t="shared" si="1"/>
        <v>0</v>
      </c>
      <c r="BR23" s="315" t="s">
        <v>539</v>
      </c>
      <c r="BS23" s="315"/>
      <c r="BT23" s="316"/>
      <c r="BU23" s="316"/>
      <c r="BV23" s="316"/>
      <c r="BW23" s="316"/>
      <c r="BX23" s="316"/>
      <c r="BY23" s="316"/>
      <c r="BZ23" s="316"/>
      <c r="CA23" s="316"/>
      <c r="CB23" s="316"/>
      <c r="CC23" s="316"/>
      <c r="CD23" s="316"/>
      <c r="CE23" s="316"/>
      <c r="CF23" s="316"/>
      <c r="CG23" s="322"/>
      <c r="CH23" s="316"/>
      <c r="CI23" s="322"/>
      <c r="CJ23" s="316"/>
      <c r="CK23" s="334"/>
      <c r="CL23" s="335"/>
      <c r="CM23" s="322"/>
      <c r="CN23" s="316"/>
      <c r="CO23" s="322"/>
      <c r="CP23" s="316"/>
      <c r="CQ23" s="322"/>
      <c r="CR23" s="316"/>
      <c r="CS23" s="322"/>
      <c r="CT23" s="316"/>
      <c r="CU23" s="322"/>
      <c r="CV23" s="316"/>
      <c r="CW23" s="322">
        <f ca="1">SUMIF('Working-Jan-25'!$C$600:$C$694,BR23,'Working-Jan-25'!$G$600:$G$694)</f>
        <v>0</v>
      </c>
      <c r="CX23" s="316">
        <f ca="1" t="shared" si="3"/>
        <v>0</v>
      </c>
      <c r="CZ23" s="337" t="s">
        <v>534</v>
      </c>
      <c r="DA23" s="337"/>
      <c r="DB23" s="341"/>
      <c r="DC23" s="341"/>
      <c r="DD23" s="341"/>
      <c r="DE23" s="341"/>
      <c r="DF23" s="341"/>
      <c r="DG23" s="341"/>
      <c r="DH23" s="341"/>
      <c r="DI23" s="341"/>
      <c r="DJ23" s="341"/>
      <c r="DK23" s="341"/>
      <c r="DL23" s="341"/>
      <c r="DM23" s="341"/>
      <c r="DN23" s="341"/>
      <c r="DO23" s="341"/>
      <c r="DP23" s="341"/>
      <c r="DQ23" s="341"/>
      <c r="DR23" s="341"/>
      <c r="DS23" s="341"/>
      <c r="DT23" s="341"/>
      <c r="DU23" s="341"/>
      <c r="DV23" s="341"/>
      <c r="DW23" s="341"/>
      <c r="DX23" s="341"/>
      <c r="DY23" s="341"/>
      <c r="DZ23" s="341"/>
      <c r="EA23" s="341"/>
      <c r="EB23" s="341"/>
      <c r="EC23" s="341"/>
      <c r="ED23" s="341"/>
      <c r="EE23" s="341">
        <f ca="1">SUMIF('Working-Jan-25'!$C$600:$C$694,CZ23,'Working-Jan-25'!$K$600:$K$694)</f>
        <v>0</v>
      </c>
      <c r="EF23" s="341">
        <f ca="1" t="shared" si="8"/>
        <v>0</v>
      </c>
      <c r="EH23" s="353"/>
      <c r="EI23" s="347"/>
      <c r="EJ23" s="348"/>
      <c r="EK23" s="348"/>
      <c r="EL23" s="348"/>
      <c r="EM23" s="348"/>
      <c r="EN23" s="348"/>
      <c r="EO23" s="348"/>
      <c r="EP23" s="348"/>
      <c r="EQ23" s="348"/>
      <c r="ER23" s="348"/>
      <c r="ES23" s="348"/>
      <c r="ET23" s="348"/>
      <c r="EU23" s="348"/>
      <c r="EV23" s="348"/>
      <c r="EW23" s="348"/>
      <c r="EX23" s="348"/>
      <c r="EY23" s="348"/>
      <c r="EZ23" s="348"/>
      <c r="FA23" s="348"/>
      <c r="FB23" s="348"/>
      <c r="FC23" s="348"/>
      <c r="FD23" s="348"/>
      <c r="FE23" s="348"/>
      <c r="FF23" s="348"/>
      <c r="FG23" s="348"/>
      <c r="FH23" s="348"/>
      <c r="FI23" s="348"/>
      <c r="FJ23" s="348"/>
      <c r="FK23" s="355"/>
      <c r="FL23" s="355"/>
      <c r="FM23" s="355">
        <f ca="1">SUMIF('Working-Jan-25'!$C$600:$C$694,EH23,'Working-Jan-25'!$Q$600:$Q$694)</f>
        <v>0</v>
      </c>
      <c r="FN23" s="355">
        <f ca="1" t="shared" si="4"/>
        <v>0</v>
      </c>
      <c r="FP23" s="358" t="s">
        <v>36</v>
      </c>
      <c r="FQ23" s="358"/>
      <c r="FR23" s="359"/>
      <c r="FS23" s="359"/>
      <c r="FT23" s="359"/>
      <c r="FU23" s="359"/>
      <c r="FV23" s="359"/>
      <c r="FW23" s="359"/>
      <c r="FX23" s="359"/>
      <c r="FY23" s="359"/>
      <c r="FZ23" s="359"/>
      <c r="GA23" s="359"/>
      <c r="GB23" s="359"/>
      <c r="GC23" s="359"/>
      <c r="GD23" s="359"/>
      <c r="GE23" s="359"/>
      <c r="GF23" s="359"/>
      <c r="GG23" s="359"/>
      <c r="GH23" s="365"/>
      <c r="GI23" s="359"/>
      <c r="GJ23" s="365"/>
      <c r="GK23" s="359"/>
      <c r="GL23" s="365"/>
      <c r="GM23" s="359"/>
      <c r="GN23" s="365"/>
      <c r="GO23" s="359"/>
      <c r="GP23" s="365"/>
      <c r="GQ23" s="359"/>
      <c r="GR23" s="365"/>
      <c r="GS23" s="359"/>
      <c r="GT23" s="365"/>
      <c r="GU23" s="359">
        <f ca="1">SUMIF('Working-Jan-25'!$C$600:$C$694,FP23,'Working-Jan-25'!$R$600:$R$694)</f>
        <v>0</v>
      </c>
      <c r="GV23" s="365">
        <f ca="1" t="shared" si="10"/>
        <v>0</v>
      </c>
      <c r="GX23" s="368" t="s">
        <v>540</v>
      </c>
      <c r="GY23" s="368"/>
      <c r="GZ23" s="369"/>
      <c r="HA23" s="369"/>
      <c r="HB23" s="369"/>
      <c r="HC23" s="369"/>
      <c r="HD23" s="369"/>
      <c r="HE23" s="369"/>
      <c r="HF23" s="369"/>
      <c r="HG23" s="369"/>
      <c r="HH23" s="369"/>
      <c r="HI23" s="369"/>
      <c r="HJ23" s="369"/>
      <c r="HK23" s="369"/>
      <c r="HL23" s="369"/>
      <c r="HM23" s="375"/>
      <c r="HN23" s="369"/>
      <c r="HO23" s="369"/>
      <c r="HP23" s="369"/>
      <c r="HQ23" s="369"/>
      <c r="HR23" s="369"/>
      <c r="HS23" s="369"/>
      <c r="HT23" s="369"/>
      <c r="HU23" s="369"/>
      <c r="HV23" s="369"/>
      <c r="HW23" s="369"/>
      <c r="HX23" s="369"/>
      <c r="HY23" s="375"/>
      <c r="HZ23" s="375"/>
      <c r="IA23" s="378"/>
      <c r="IB23" s="375"/>
      <c r="IC23" s="378">
        <f ca="1">SUMIF('Working-Jan-25'!$C$600:$C$694,GX23,'Working-Jan-25'!$F$600:$F$694)</f>
        <v>32243.83</v>
      </c>
      <c r="ID23" s="378">
        <f ca="1" t="shared" si="5"/>
        <v>0.836517051933781</v>
      </c>
      <c r="IF23" s="368" t="s">
        <v>541</v>
      </c>
      <c r="IG23" s="368"/>
      <c r="IH23" s="369"/>
      <c r="II23" s="369"/>
      <c r="IJ23" s="369"/>
      <c r="IK23" s="369"/>
      <c r="IL23" s="369"/>
      <c r="IM23" s="369"/>
      <c r="IN23" s="369"/>
      <c r="IO23" s="369"/>
      <c r="IP23" s="369"/>
      <c r="IQ23" s="369"/>
      <c r="IR23" s="369"/>
      <c r="IS23" s="369"/>
      <c r="IT23" s="369"/>
      <c r="IU23" s="369"/>
      <c r="IV23" s="369"/>
      <c r="IW23" s="369"/>
      <c r="IX23" s="369"/>
      <c r="IY23" s="369"/>
      <c r="IZ23" s="369"/>
      <c r="JA23" s="369"/>
      <c r="JB23" s="369"/>
      <c r="JC23" s="369"/>
      <c r="JD23" s="369"/>
      <c r="JE23" s="369"/>
      <c r="JF23" s="369"/>
      <c r="JG23" s="369"/>
      <c r="JH23" s="369"/>
      <c r="JI23" s="369"/>
      <c r="JJ23" s="369"/>
      <c r="JK23" s="369">
        <f>VLOOKUP(IF23,'Working-Jan-25'!$C$5:$M$586,11,0)</f>
        <v>238228</v>
      </c>
      <c r="JL23" s="369">
        <f t="shared" si="7"/>
        <v>6.1804625644063</v>
      </c>
      <c r="JN23" s="37" t="s">
        <v>510</v>
      </c>
      <c r="JO23" s="37" t="s">
        <v>542</v>
      </c>
      <c r="JP23" s="37"/>
      <c r="JQ23" s="382"/>
      <c r="JR23" s="382"/>
      <c r="JS23" s="382"/>
      <c r="JT23" s="382"/>
      <c r="JU23" s="382"/>
      <c r="JV23" s="382"/>
      <c r="JW23" s="386"/>
      <c r="JX23" s="386"/>
      <c r="JY23" s="386"/>
      <c r="JZ23" s="386"/>
      <c r="KA23" s="386"/>
      <c r="KB23" s="386"/>
      <c r="KC23" s="386"/>
      <c r="KD23" s="386"/>
      <c r="KE23" s="386"/>
      <c r="KF23" s="386">
        <f ca="1">SUMIF('Working-Jan-25'!$C$600:$C$694,JO23,'Working-Jan-25'!$L$600:$L$694)</f>
        <v>0</v>
      </c>
      <c r="KG23" s="393"/>
      <c r="KH23" s="386"/>
      <c r="KI23" s="386" t="s">
        <v>543</v>
      </c>
      <c r="KJ23" s="386"/>
      <c r="KK23" s="386"/>
      <c r="KL23" s="386"/>
      <c r="KM23" s="386"/>
      <c r="KN23" s="386"/>
      <c r="KO23" s="386"/>
      <c r="KP23" s="386"/>
      <c r="KQ23" s="386"/>
      <c r="KR23" s="386"/>
      <c r="KS23" s="396"/>
      <c r="KT23" s="396"/>
      <c r="KU23" s="396"/>
      <c r="KV23" s="396"/>
      <c r="KW23" s="396"/>
      <c r="KX23" s="396"/>
      <c r="KY23" s="396">
        <f ca="1">SUMIF('Working-Jan-25'!$C$600:$C$694,KI23,'Working-Jan-25'!$I$600:$I$694)</f>
        <v>0</v>
      </c>
    </row>
    <row r="24" spans="2:311">
      <c r="B24" s="279" t="s">
        <v>474</v>
      </c>
      <c r="C24" s="279" t="s">
        <v>544</v>
      </c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>
        <f ca="1">SUMIF('Working-Jan-25'!$C$600:$C$694,C24,'Working-Jan-25'!$D$600:$D$694)</f>
        <v>150</v>
      </c>
      <c r="AH24" s="303">
        <f ca="1" t="shared" si="2"/>
        <v>0.00521920668058455</v>
      </c>
      <c r="AJ24" s="306" t="s">
        <v>526</v>
      </c>
      <c r="AK24" s="306" t="s">
        <v>533</v>
      </c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  <c r="BI24" s="307"/>
      <c r="BJ24" s="307"/>
      <c r="BK24" s="307"/>
      <c r="BL24" s="307"/>
      <c r="BM24" s="307"/>
      <c r="BN24" s="307"/>
      <c r="BO24" s="307">
        <f ca="1">SUMIF('Working-Jan-25'!$C$600:$C$694,AK24,'Working-Jan-25'!$H$600:$H$694)</f>
        <v>0</v>
      </c>
      <c r="BP24" s="307">
        <f ca="1" t="shared" si="1"/>
        <v>0</v>
      </c>
      <c r="BR24" s="315" t="s">
        <v>40</v>
      </c>
      <c r="BS24" s="315"/>
      <c r="BT24" s="316"/>
      <c r="BU24" s="316"/>
      <c r="BV24" s="316"/>
      <c r="BW24" s="316"/>
      <c r="BX24" s="316"/>
      <c r="BY24" s="316"/>
      <c r="BZ24" s="316"/>
      <c r="CA24" s="316"/>
      <c r="CB24" s="316"/>
      <c r="CC24" s="316"/>
      <c r="CD24" s="316"/>
      <c r="CE24" s="316"/>
      <c r="CF24" s="316"/>
      <c r="CG24" s="332"/>
      <c r="CH24" s="316"/>
      <c r="CI24" s="322"/>
      <c r="CJ24" s="316"/>
      <c r="CK24" s="334"/>
      <c r="CL24" s="335"/>
      <c r="CM24" s="322"/>
      <c r="CN24" s="316"/>
      <c r="CO24" s="322"/>
      <c r="CP24" s="316"/>
      <c r="CQ24" s="322"/>
      <c r="CR24" s="316"/>
      <c r="CS24" s="322"/>
      <c r="CT24" s="316"/>
      <c r="CU24" s="322"/>
      <c r="CV24" s="316"/>
      <c r="CW24" s="322">
        <f ca="1">SUMIF('Working-Jan-25'!$C$600:$C$694,BR24,'Working-Jan-25'!$G$600:$G$694)</f>
        <v>0</v>
      </c>
      <c r="CX24" s="316">
        <f ca="1" t="shared" si="3"/>
        <v>0</v>
      </c>
      <c r="CZ24" s="337" t="s">
        <v>36</v>
      </c>
      <c r="DA24" s="337"/>
      <c r="DB24" s="341"/>
      <c r="DC24" s="341"/>
      <c r="DD24" s="341"/>
      <c r="DE24" s="341"/>
      <c r="DF24" s="341"/>
      <c r="DG24" s="341"/>
      <c r="DH24" s="341"/>
      <c r="DI24" s="341"/>
      <c r="DJ24" s="341"/>
      <c r="DK24" s="341"/>
      <c r="DL24" s="341"/>
      <c r="DM24" s="341"/>
      <c r="DN24" s="341"/>
      <c r="DO24" s="341"/>
      <c r="DP24" s="341"/>
      <c r="DQ24" s="341"/>
      <c r="DR24" s="341"/>
      <c r="DS24" s="341"/>
      <c r="DT24" s="341"/>
      <c r="DU24" s="341"/>
      <c r="DV24" s="341"/>
      <c r="DW24" s="341"/>
      <c r="DX24" s="341"/>
      <c r="DY24" s="341"/>
      <c r="DZ24" s="341"/>
      <c r="EA24" s="341"/>
      <c r="EB24" s="341"/>
      <c r="EC24" s="341"/>
      <c r="ED24" s="341"/>
      <c r="EE24" s="341">
        <f ca="1">SUMIF('Working-Jan-25'!$C$600:$C$694,CZ24,'Working-Jan-25'!$K$600:$K$694)</f>
        <v>0</v>
      </c>
      <c r="EF24" s="341">
        <f ca="1" t="shared" si="8"/>
        <v>0</v>
      </c>
      <c r="EH24" s="353" t="s">
        <v>545</v>
      </c>
      <c r="EI24" s="347"/>
      <c r="EJ24" s="348"/>
      <c r="EK24" s="348"/>
      <c r="EL24" s="348"/>
      <c r="EM24" s="348"/>
      <c r="EN24" s="348"/>
      <c r="EO24" s="348"/>
      <c r="EP24" s="348"/>
      <c r="EQ24" s="348"/>
      <c r="ER24" s="348"/>
      <c r="ES24" s="348"/>
      <c r="ET24" s="348"/>
      <c r="EU24" s="348"/>
      <c r="EV24" s="348"/>
      <c r="EW24" s="348"/>
      <c r="EX24" s="348"/>
      <c r="EY24" s="348"/>
      <c r="EZ24" s="348"/>
      <c r="FA24" s="348"/>
      <c r="FB24" s="348"/>
      <c r="FC24" s="348"/>
      <c r="FD24" s="348"/>
      <c r="FE24" s="348"/>
      <c r="FF24" s="348"/>
      <c r="FG24" s="348"/>
      <c r="FH24" s="348"/>
      <c r="FI24" s="348"/>
      <c r="FJ24" s="348"/>
      <c r="FK24" s="355"/>
      <c r="FL24" s="355"/>
      <c r="FM24" s="355">
        <f ca="1">SUMIF('Working-Jan-25'!$C$600:$C$694,EH24,'Working-Jan-25'!$Q$600:$Q$694)</f>
        <v>0</v>
      </c>
      <c r="FN24" s="355">
        <f ca="1" t="shared" si="4"/>
        <v>0</v>
      </c>
      <c r="FP24" s="358" t="s">
        <v>40</v>
      </c>
      <c r="FQ24" s="358"/>
      <c r="FR24" s="359"/>
      <c r="FS24" s="359"/>
      <c r="FT24" s="359"/>
      <c r="FU24" s="359"/>
      <c r="FV24" s="359"/>
      <c r="FW24" s="359"/>
      <c r="FX24" s="359"/>
      <c r="FY24" s="359"/>
      <c r="FZ24" s="359"/>
      <c r="GA24" s="359"/>
      <c r="GB24" s="359"/>
      <c r="GC24" s="359"/>
      <c r="GD24" s="359"/>
      <c r="GE24" s="359"/>
      <c r="GF24" s="359"/>
      <c r="GG24" s="359"/>
      <c r="GH24" s="365"/>
      <c r="GI24" s="359"/>
      <c r="GJ24" s="365"/>
      <c r="GK24" s="359"/>
      <c r="GL24" s="365"/>
      <c r="GM24" s="359"/>
      <c r="GN24" s="365"/>
      <c r="GO24" s="359"/>
      <c r="GP24" s="365"/>
      <c r="GQ24" s="359"/>
      <c r="GR24" s="365"/>
      <c r="GS24" s="359"/>
      <c r="GT24" s="365"/>
      <c r="GU24" s="359">
        <f ca="1">SUMIF('Working-Jan-25'!$C$600:$C$694,FP24,'Working-Jan-25'!$R$600:$R$694)</f>
        <v>0</v>
      </c>
      <c r="GV24" s="365">
        <f ca="1" t="shared" si="10"/>
        <v>0</v>
      </c>
      <c r="GX24" s="368" t="s">
        <v>508</v>
      </c>
      <c r="GY24" s="368"/>
      <c r="GZ24" s="369"/>
      <c r="HA24" s="369"/>
      <c r="HB24" s="369"/>
      <c r="HC24" s="369"/>
      <c r="HD24" s="369"/>
      <c r="HE24" s="369"/>
      <c r="HF24" s="369"/>
      <c r="HG24" s="369"/>
      <c r="HH24" s="369"/>
      <c r="HI24" s="369"/>
      <c r="HJ24" s="369"/>
      <c r="HK24" s="369"/>
      <c r="HL24" s="369"/>
      <c r="HM24" s="375"/>
      <c r="HN24" s="369"/>
      <c r="HO24" s="369"/>
      <c r="HP24" s="369"/>
      <c r="HQ24" s="369"/>
      <c r="HR24" s="369"/>
      <c r="HS24" s="369"/>
      <c r="HT24" s="369"/>
      <c r="HU24" s="369"/>
      <c r="HV24" s="369"/>
      <c r="HW24" s="369"/>
      <c r="HX24" s="369"/>
      <c r="HY24" s="375"/>
      <c r="HZ24" s="375"/>
      <c r="IA24" s="378"/>
      <c r="IB24" s="375"/>
      <c r="IC24" s="378">
        <f ca="1">SUMIF('Working-Jan-25'!$C$600:$C$694,GX24,'Working-Jan-25'!$F$600:$F$694)</f>
        <v>0</v>
      </c>
      <c r="ID24" s="378">
        <f ca="1" t="shared" si="5"/>
        <v>0</v>
      </c>
      <c r="IF24" s="368" t="s">
        <v>546</v>
      </c>
      <c r="IG24" s="368"/>
      <c r="IH24" s="369"/>
      <c r="II24" s="369"/>
      <c r="IJ24" s="369"/>
      <c r="IK24" s="369"/>
      <c r="IL24" s="369"/>
      <c r="IM24" s="369"/>
      <c r="IN24" s="369"/>
      <c r="IO24" s="369"/>
      <c r="IP24" s="369"/>
      <c r="IQ24" s="369"/>
      <c r="IR24" s="369"/>
      <c r="IS24" s="369"/>
      <c r="IT24" s="369"/>
      <c r="IU24" s="369"/>
      <c r="IV24" s="369"/>
      <c r="IW24" s="369"/>
      <c r="IX24" s="369"/>
      <c r="IY24" s="369"/>
      <c r="IZ24" s="369"/>
      <c r="JA24" s="369"/>
      <c r="JB24" s="369"/>
      <c r="JC24" s="369"/>
      <c r="JD24" s="369"/>
      <c r="JE24" s="369"/>
      <c r="JF24" s="369"/>
      <c r="JG24" s="369"/>
      <c r="JH24" s="369"/>
      <c r="JI24" s="369"/>
      <c r="JJ24" s="369"/>
      <c r="JK24" s="369">
        <f>VLOOKUP(IF24,'Working-Jan-25'!$C$5:$M$586,11,0)</f>
        <v>0</v>
      </c>
      <c r="JL24" s="369">
        <f t="shared" si="7"/>
        <v>0</v>
      </c>
      <c r="JN24" s="37" t="s">
        <v>493</v>
      </c>
      <c r="JO24" s="37" t="s">
        <v>515</v>
      </c>
      <c r="JP24" s="37"/>
      <c r="JQ24" s="382"/>
      <c r="JR24" s="382"/>
      <c r="JS24" s="382"/>
      <c r="JT24" s="382"/>
      <c r="JU24" s="382"/>
      <c r="JV24" s="382"/>
      <c r="JW24" s="385"/>
      <c r="JX24" s="386"/>
      <c r="JY24" s="386"/>
      <c r="JZ24" s="386"/>
      <c r="KA24" s="386"/>
      <c r="KB24" s="386"/>
      <c r="KC24" s="385"/>
      <c r="KD24" s="395"/>
      <c r="KE24" s="386"/>
      <c r="KF24" s="386">
        <f ca="1">SUMIF('Working-Jan-25'!$C$600:$C$694,JO24,'Working-Jan-25'!$L$600:$L$694)</f>
        <v>470031.97</v>
      </c>
      <c r="KG24" s="393"/>
      <c r="KH24" s="386"/>
      <c r="KI24" s="386" t="s">
        <v>547</v>
      </c>
      <c r="KJ24" s="386"/>
      <c r="KK24" s="386"/>
      <c r="KL24" s="386"/>
      <c r="KM24" s="386"/>
      <c r="KN24" s="386"/>
      <c r="KO24" s="386"/>
      <c r="KP24" s="386"/>
      <c r="KQ24" s="386"/>
      <c r="KR24" s="386"/>
      <c r="KS24" s="396"/>
      <c r="KT24" s="396"/>
      <c r="KU24" s="396"/>
      <c r="KV24" s="396"/>
      <c r="KW24" s="396"/>
      <c r="KX24" s="396"/>
      <c r="KY24" s="396">
        <f ca="1">SUMIF('Working-Jan-25'!$C$600:$C$694,KI24,'Working-Jan-25'!$I$600:$I$694)</f>
        <v>0</v>
      </c>
    </row>
    <row r="25" spans="2:311">
      <c r="B25" s="279" t="s">
        <v>513</v>
      </c>
      <c r="C25" s="279" t="s">
        <v>519</v>
      </c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>
        <f ca="1">SUMIF('Working-Jan-25'!$C$600:$C$694,C25,'Working-Jan-25'!$D$600:$D$694)</f>
        <v>0</v>
      </c>
      <c r="AH25" s="303">
        <f ca="1" t="shared" si="2"/>
        <v>0</v>
      </c>
      <c r="AJ25" s="306" t="s">
        <v>474</v>
      </c>
      <c r="AK25" s="306" t="s">
        <v>538</v>
      </c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  <c r="BI25" s="307"/>
      <c r="BJ25" s="307"/>
      <c r="BK25" s="307"/>
      <c r="BL25" s="307"/>
      <c r="BM25" s="307"/>
      <c r="BN25" s="307"/>
      <c r="BO25" s="307">
        <f ca="1">SUMIF('Working-Jan-25'!$C$600:$C$694,AK25,'Working-Jan-25'!$H$600:$H$694)</f>
        <v>0</v>
      </c>
      <c r="BP25" s="307">
        <f ca="1" t="shared" si="1"/>
        <v>0</v>
      </c>
      <c r="BR25" s="315" t="s">
        <v>44</v>
      </c>
      <c r="BS25" s="315"/>
      <c r="BT25" s="316"/>
      <c r="BU25" s="316"/>
      <c r="BV25" s="316"/>
      <c r="BW25" s="316"/>
      <c r="BX25" s="316"/>
      <c r="BY25" s="316"/>
      <c r="BZ25" s="316"/>
      <c r="CA25" s="316"/>
      <c r="CB25" s="316"/>
      <c r="CC25" s="316"/>
      <c r="CD25" s="316"/>
      <c r="CE25" s="316"/>
      <c r="CF25" s="316"/>
      <c r="CG25" s="322"/>
      <c r="CH25" s="316"/>
      <c r="CI25" s="322"/>
      <c r="CJ25" s="316"/>
      <c r="CK25" s="334"/>
      <c r="CL25" s="335"/>
      <c r="CM25" s="322"/>
      <c r="CN25" s="316"/>
      <c r="CO25" s="322"/>
      <c r="CP25" s="316"/>
      <c r="CQ25" s="322"/>
      <c r="CR25" s="316"/>
      <c r="CS25" s="322"/>
      <c r="CT25" s="316"/>
      <c r="CU25" s="322"/>
      <c r="CV25" s="316"/>
      <c r="CW25" s="322">
        <f ca="1">SUMIF('Working-Jan-25'!$C$600:$C$694,BR25,'Working-Jan-25'!$G$600:$G$694)</f>
        <v>0</v>
      </c>
      <c r="CX25" s="316">
        <f ca="1" t="shared" si="3"/>
        <v>0</v>
      </c>
      <c r="CZ25" s="337" t="s">
        <v>40</v>
      </c>
      <c r="DA25" s="337"/>
      <c r="DB25" s="341"/>
      <c r="DC25" s="341"/>
      <c r="DD25" s="341"/>
      <c r="DE25" s="341"/>
      <c r="DF25" s="341"/>
      <c r="DG25" s="341"/>
      <c r="DH25" s="341"/>
      <c r="DI25" s="341"/>
      <c r="DJ25" s="341"/>
      <c r="DK25" s="341"/>
      <c r="DL25" s="341"/>
      <c r="DM25" s="341"/>
      <c r="DN25" s="341"/>
      <c r="DO25" s="341"/>
      <c r="DP25" s="341"/>
      <c r="DQ25" s="341"/>
      <c r="DR25" s="341"/>
      <c r="DS25" s="341"/>
      <c r="DT25" s="341"/>
      <c r="DU25" s="341"/>
      <c r="DV25" s="341"/>
      <c r="DW25" s="341"/>
      <c r="DX25" s="341"/>
      <c r="DY25" s="341"/>
      <c r="DZ25" s="341"/>
      <c r="EA25" s="341"/>
      <c r="EB25" s="341"/>
      <c r="EC25" s="341"/>
      <c r="ED25" s="341"/>
      <c r="EE25" s="341">
        <f ca="1">SUMIF('Working-Jan-25'!$C$600:$C$694,CZ25,'Working-Jan-25'!$K$600:$K$694)</f>
        <v>0</v>
      </c>
      <c r="EF25" s="341">
        <f ca="1" t="shared" si="8"/>
        <v>0</v>
      </c>
      <c r="EH25" s="347" t="s">
        <v>535</v>
      </c>
      <c r="EI25" s="347"/>
      <c r="EJ25" s="348"/>
      <c r="EK25" s="348"/>
      <c r="EL25" s="348"/>
      <c r="EM25" s="348"/>
      <c r="EN25" s="348"/>
      <c r="EO25" s="348"/>
      <c r="EP25" s="348"/>
      <c r="EQ25" s="348"/>
      <c r="ER25" s="348"/>
      <c r="ES25" s="348"/>
      <c r="ET25" s="348"/>
      <c r="EU25" s="348"/>
      <c r="EV25" s="348"/>
      <c r="EW25" s="348"/>
      <c r="EX25" s="348"/>
      <c r="EY25" s="348"/>
      <c r="EZ25" s="348"/>
      <c r="FA25" s="348"/>
      <c r="FB25" s="348"/>
      <c r="FC25" s="348"/>
      <c r="FD25" s="348"/>
      <c r="FE25" s="348"/>
      <c r="FF25" s="348"/>
      <c r="FG25" s="348"/>
      <c r="FH25" s="348"/>
      <c r="FI25" s="354"/>
      <c r="FJ25" s="348"/>
      <c r="FK25" s="355"/>
      <c r="FL25" s="355"/>
      <c r="FM25" s="355"/>
      <c r="FN25" s="355">
        <f t="shared" si="4"/>
        <v>0</v>
      </c>
      <c r="FP25" s="358" t="s">
        <v>44</v>
      </c>
      <c r="FQ25" s="358"/>
      <c r="FR25" s="359"/>
      <c r="FS25" s="359"/>
      <c r="FT25" s="359"/>
      <c r="FU25" s="359"/>
      <c r="FV25" s="359"/>
      <c r="FW25" s="359"/>
      <c r="FX25" s="359"/>
      <c r="FY25" s="359"/>
      <c r="FZ25" s="359"/>
      <c r="GA25" s="359"/>
      <c r="GB25" s="359"/>
      <c r="GC25" s="359"/>
      <c r="GD25" s="359"/>
      <c r="GE25" s="359"/>
      <c r="GF25" s="359"/>
      <c r="GG25" s="359"/>
      <c r="GH25" s="365"/>
      <c r="GI25" s="359"/>
      <c r="GJ25" s="365"/>
      <c r="GK25" s="359"/>
      <c r="GL25" s="365"/>
      <c r="GM25" s="359"/>
      <c r="GN25" s="365"/>
      <c r="GO25" s="359"/>
      <c r="GP25" s="365"/>
      <c r="GQ25" s="359"/>
      <c r="GR25" s="365"/>
      <c r="GS25" s="359"/>
      <c r="GT25" s="365"/>
      <c r="GU25" s="359">
        <f ca="1">SUMIF('Working-Jan-25'!$C$600:$C$694,FP25,'Working-Jan-25'!$R$600:$R$694)</f>
        <v>0</v>
      </c>
      <c r="GV25" s="365">
        <f ca="1" t="shared" si="10"/>
        <v>0</v>
      </c>
      <c r="GX25" s="368" t="s">
        <v>548</v>
      </c>
      <c r="GY25" s="368"/>
      <c r="GZ25" s="369"/>
      <c r="HA25" s="369"/>
      <c r="HB25" s="369"/>
      <c r="HC25" s="369"/>
      <c r="HD25" s="369"/>
      <c r="HE25" s="369"/>
      <c r="HF25" s="369"/>
      <c r="HG25" s="369"/>
      <c r="HH25" s="369"/>
      <c r="HI25" s="369"/>
      <c r="HJ25" s="369"/>
      <c r="HK25" s="369"/>
      <c r="HL25" s="369"/>
      <c r="HM25" s="375"/>
      <c r="HN25" s="369"/>
      <c r="HO25" s="369"/>
      <c r="HP25" s="369"/>
      <c r="HQ25" s="369"/>
      <c r="HR25" s="369"/>
      <c r="HS25" s="369"/>
      <c r="HT25" s="369"/>
      <c r="HU25" s="369"/>
      <c r="HV25" s="369"/>
      <c r="HW25" s="369"/>
      <c r="HX25" s="369"/>
      <c r="HY25" s="375"/>
      <c r="HZ25" s="375"/>
      <c r="IA25" s="378"/>
      <c r="IB25" s="375"/>
      <c r="IC25" s="378">
        <f ca="1">SUMIF('Working-Jan-25'!$C$600:$C$694,GX25,'Working-Jan-25'!$F$600:$F$694)</f>
        <v>33526.47</v>
      </c>
      <c r="ID25" s="378">
        <f ca="1" t="shared" si="5"/>
        <v>0.869793192872756</v>
      </c>
      <c r="IF25" s="368" t="s">
        <v>549</v>
      </c>
      <c r="IG25" s="368"/>
      <c r="IH25" s="369"/>
      <c r="II25" s="369"/>
      <c r="IJ25" s="369"/>
      <c r="IK25" s="369"/>
      <c r="IL25" s="369"/>
      <c r="IM25" s="369"/>
      <c r="IN25" s="369"/>
      <c r="IO25" s="369"/>
      <c r="IP25" s="369"/>
      <c r="IQ25" s="369"/>
      <c r="IR25" s="369"/>
      <c r="IS25" s="369"/>
      <c r="IT25" s="369"/>
      <c r="IU25" s="369"/>
      <c r="IV25" s="369"/>
      <c r="IW25" s="369"/>
      <c r="IX25" s="369"/>
      <c r="IY25" s="369"/>
      <c r="IZ25" s="369"/>
      <c r="JA25" s="369"/>
      <c r="JB25" s="369"/>
      <c r="JC25" s="369"/>
      <c r="JD25" s="369"/>
      <c r="JE25" s="369"/>
      <c r="JF25" s="369"/>
      <c r="JG25" s="369"/>
      <c r="JH25" s="369"/>
      <c r="JI25" s="369"/>
      <c r="JJ25" s="369"/>
      <c r="JK25" s="369">
        <f>VLOOKUP(IF25,'Working-Jan-25'!$C$5:$M$586,11,0)</f>
        <v>141576</v>
      </c>
      <c r="JL25" s="369">
        <f t="shared" si="7"/>
        <v>3.67297365556688</v>
      </c>
      <c r="JN25" s="37" t="s">
        <v>532</v>
      </c>
      <c r="JO25" s="37" t="s">
        <v>550</v>
      </c>
      <c r="JP25" s="37"/>
      <c r="JQ25" s="382"/>
      <c r="JR25" s="382"/>
      <c r="JS25" s="382"/>
      <c r="JT25" s="382"/>
      <c r="JU25" s="382"/>
      <c r="JV25" s="382"/>
      <c r="JW25" s="386"/>
      <c r="JX25" s="386"/>
      <c r="JY25" s="386"/>
      <c r="JZ25" s="386"/>
      <c r="KA25" s="386"/>
      <c r="KB25" s="386"/>
      <c r="KC25" s="386"/>
      <c r="KD25" s="386"/>
      <c r="KE25" s="386"/>
      <c r="KF25" s="386">
        <f ca="1">SUMIF('Working-Jan-25'!$C$600:$C$694,JO25,'Working-Jan-25'!$L$600:$L$694)</f>
        <v>0</v>
      </c>
      <c r="KG25" s="393"/>
      <c r="KH25" s="386"/>
      <c r="KI25" s="386" t="s">
        <v>551</v>
      </c>
      <c r="KJ25" s="386"/>
      <c r="KK25" s="386"/>
      <c r="KL25" s="386"/>
      <c r="KM25" s="386"/>
      <c r="KN25" s="386"/>
      <c r="KO25" s="386"/>
      <c r="KP25" s="386"/>
      <c r="KQ25" s="386"/>
      <c r="KR25" s="386"/>
      <c r="KS25" s="396"/>
      <c r="KT25" s="396"/>
      <c r="KU25" s="396"/>
      <c r="KV25" s="396"/>
      <c r="KW25" s="396"/>
      <c r="KX25" s="396"/>
      <c r="KY25" s="396">
        <f ca="1">SUMIF('Working-Jan-25'!$C$600:$C$694,KI25,'Working-Jan-25'!$I$600:$I$694)</f>
        <v>0</v>
      </c>
    </row>
    <row r="26" spans="2:311">
      <c r="B26" s="279" t="s">
        <v>517</v>
      </c>
      <c r="C26" s="279" t="s">
        <v>517</v>
      </c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>
        <f ca="1">SUMIF('Working-Jan-25'!$C$600:$C$694,C26,'Working-Jan-25'!$D$600:$D$694)</f>
        <v>20000</v>
      </c>
      <c r="AH26" s="303">
        <f ca="1" t="shared" si="2"/>
        <v>0.69589422407794</v>
      </c>
      <c r="AJ26" s="306" t="s">
        <v>527</v>
      </c>
      <c r="AK26" s="306" t="s">
        <v>479</v>
      </c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  <c r="BI26" s="307"/>
      <c r="BJ26" s="307"/>
      <c r="BK26" s="307"/>
      <c r="BL26" s="307"/>
      <c r="BM26" s="307"/>
      <c r="BN26" s="307"/>
      <c r="BO26" s="307">
        <f ca="1">SUMIF('Working-Jan-25'!$C$600:$C$694,AK26,'Working-Jan-25'!$H$600:$H$694)</f>
        <v>0</v>
      </c>
      <c r="BP26" s="307">
        <f ca="1" t="shared" si="1"/>
        <v>0</v>
      </c>
      <c r="BR26" s="315" t="s">
        <v>46</v>
      </c>
      <c r="BS26" s="315"/>
      <c r="BT26" s="316"/>
      <c r="BU26" s="316"/>
      <c r="BV26" s="316"/>
      <c r="BW26" s="316"/>
      <c r="BX26" s="316"/>
      <c r="BY26" s="316"/>
      <c r="BZ26" s="316"/>
      <c r="CA26" s="316"/>
      <c r="CB26" s="316"/>
      <c r="CC26" s="316"/>
      <c r="CD26" s="316"/>
      <c r="CE26" s="316"/>
      <c r="CF26" s="316"/>
      <c r="CG26" s="333"/>
      <c r="CH26" s="316"/>
      <c r="CI26" s="322"/>
      <c r="CJ26" s="316"/>
      <c r="CK26" s="334"/>
      <c r="CL26" s="335"/>
      <c r="CM26" s="322"/>
      <c r="CN26" s="316"/>
      <c r="CO26" s="322"/>
      <c r="CP26" s="316"/>
      <c r="CQ26" s="322"/>
      <c r="CR26" s="316"/>
      <c r="CS26" s="322"/>
      <c r="CT26" s="316"/>
      <c r="CU26" s="322"/>
      <c r="CV26" s="316"/>
      <c r="CW26" s="322">
        <f ca="1">SUMIF('Working-Jan-25'!$C$600:$C$694,BR26,'Working-Jan-25'!$G$600:$G$694)</f>
        <v>0</v>
      </c>
      <c r="CX26" s="316">
        <f ca="1" t="shared" si="3"/>
        <v>0</v>
      </c>
      <c r="CZ26" s="337" t="s">
        <v>44</v>
      </c>
      <c r="DA26" s="337"/>
      <c r="DB26" s="341"/>
      <c r="DC26" s="341"/>
      <c r="DD26" s="341"/>
      <c r="DE26" s="341"/>
      <c r="DF26" s="341"/>
      <c r="DG26" s="341"/>
      <c r="DH26" s="341"/>
      <c r="DI26" s="341"/>
      <c r="DJ26" s="341"/>
      <c r="DK26" s="341"/>
      <c r="DL26" s="341"/>
      <c r="DM26" s="341"/>
      <c r="DN26" s="341"/>
      <c r="DO26" s="341"/>
      <c r="DP26" s="341"/>
      <c r="DQ26" s="341"/>
      <c r="DR26" s="341"/>
      <c r="DS26" s="341"/>
      <c r="DT26" s="341"/>
      <c r="DU26" s="341"/>
      <c r="DV26" s="341"/>
      <c r="DW26" s="341"/>
      <c r="DX26" s="341"/>
      <c r="DY26" s="341"/>
      <c r="DZ26" s="341"/>
      <c r="EA26" s="341"/>
      <c r="EB26" s="341"/>
      <c r="EC26" s="341"/>
      <c r="ED26" s="341"/>
      <c r="EE26" s="341">
        <f ca="1">SUMIF('Working-Jan-25'!$C$600:$C$694,CZ26,'Working-Jan-25'!$K$600:$K$694)</f>
        <v>0</v>
      </c>
      <c r="EF26" s="341">
        <f ca="1" t="shared" si="8"/>
        <v>0</v>
      </c>
      <c r="EH26" s="347" t="s">
        <v>475</v>
      </c>
      <c r="EI26" s="347"/>
      <c r="EJ26" s="348"/>
      <c r="EK26" s="348"/>
      <c r="EL26" s="348"/>
      <c r="EM26" s="348"/>
      <c r="EN26" s="348"/>
      <c r="EO26" s="348"/>
      <c r="EP26" s="348"/>
      <c r="EQ26" s="348"/>
      <c r="ER26" s="348"/>
      <c r="ES26" s="348"/>
      <c r="ET26" s="348"/>
      <c r="EU26" s="348"/>
      <c r="EV26" s="348"/>
      <c r="EW26" s="348"/>
      <c r="EX26" s="348"/>
      <c r="EY26" s="348"/>
      <c r="EZ26" s="348"/>
      <c r="FA26" s="348"/>
      <c r="FB26" s="348"/>
      <c r="FC26" s="348"/>
      <c r="FD26" s="348"/>
      <c r="FE26" s="348"/>
      <c r="FF26" s="348"/>
      <c r="FG26" s="348"/>
      <c r="FH26" s="348"/>
      <c r="FI26" s="354"/>
      <c r="FJ26" s="348"/>
      <c r="FK26" s="355"/>
      <c r="FL26" s="355"/>
      <c r="FM26" s="355">
        <f ca="1">SUMIF('Working-Jan-25'!$C$600:$C$694,EH26,'Working-Jan-25'!$Q$600:$Q$694)</f>
        <v>0</v>
      </c>
      <c r="FN26" s="355">
        <f ca="1" t="shared" si="4"/>
        <v>0</v>
      </c>
      <c r="FP26" s="358" t="s">
        <v>46</v>
      </c>
      <c r="FQ26" s="358"/>
      <c r="FR26" s="359"/>
      <c r="FS26" s="359"/>
      <c r="FT26" s="359"/>
      <c r="FU26" s="359"/>
      <c r="FV26" s="359"/>
      <c r="FW26" s="359"/>
      <c r="FX26" s="359"/>
      <c r="FY26" s="359"/>
      <c r="FZ26" s="359"/>
      <c r="GA26" s="359"/>
      <c r="GB26" s="359"/>
      <c r="GC26" s="359"/>
      <c r="GD26" s="359"/>
      <c r="GE26" s="359"/>
      <c r="GF26" s="359"/>
      <c r="GG26" s="359"/>
      <c r="GH26" s="365"/>
      <c r="GI26" s="359"/>
      <c r="GJ26" s="365"/>
      <c r="GK26" s="359"/>
      <c r="GL26" s="365"/>
      <c r="GM26" s="359"/>
      <c r="GN26" s="365"/>
      <c r="GO26" s="359"/>
      <c r="GP26" s="365"/>
      <c r="GQ26" s="359"/>
      <c r="GR26" s="365"/>
      <c r="GS26" s="359"/>
      <c r="GT26" s="365"/>
      <c r="GU26" s="359">
        <f ca="1">SUMIF('Working-Jan-25'!$C$600:$C$694,FP26,'Working-Jan-25'!$R$600:$R$694)</f>
        <v>0</v>
      </c>
      <c r="GV26" s="365">
        <f ca="1" t="shared" si="10"/>
        <v>0</v>
      </c>
      <c r="GX26" s="368" t="s">
        <v>552</v>
      </c>
      <c r="GY26" s="368"/>
      <c r="GZ26" s="369"/>
      <c r="HA26" s="369"/>
      <c r="HB26" s="369"/>
      <c r="HC26" s="369"/>
      <c r="HD26" s="369"/>
      <c r="HE26" s="369"/>
      <c r="HF26" s="369"/>
      <c r="HG26" s="369"/>
      <c r="HH26" s="369"/>
      <c r="HI26" s="369"/>
      <c r="HJ26" s="369"/>
      <c r="HK26" s="369"/>
      <c r="HL26" s="369"/>
      <c r="HM26" s="375"/>
      <c r="HN26" s="369"/>
      <c r="HO26" s="369"/>
      <c r="HP26" s="369"/>
      <c r="HQ26" s="369"/>
      <c r="HR26" s="369"/>
      <c r="HS26" s="369"/>
      <c r="HT26" s="369"/>
      <c r="HU26" s="369"/>
      <c r="HV26" s="369"/>
      <c r="HW26" s="369"/>
      <c r="HX26" s="369"/>
      <c r="HY26" s="375"/>
      <c r="HZ26" s="375"/>
      <c r="IA26" s="378"/>
      <c r="IB26" s="375"/>
      <c r="IC26" s="378">
        <f ca="1">SUMIF('Working-Jan-25'!$C$600:$C$694,GX26,'Working-Jan-25'!$F$600:$F$694)</f>
        <v>355677</v>
      </c>
      <c r="ID26" s="378">
        <f ca="1" t="shared" si="5"/>
        <v>9.22749795792409</v>
      </c>
      <c r="IF26" s="368" t="s">
        <v>553</v>
      </c>
      <c r="IG26" s="368"/>
      <c r="IH26" s="369"/>
      <c r="II26" s="369"/>
      <c r="IJ26" s="369"/>
      <c r="IK26" s="369"/>
      <c r="IL26" s="369"/>
      <c r="IM26" s="369"/>
      <c r="IN26" s="369"/>
      <c r="IO26" s="369"/>
      <c r="IP26" s="369"/>
      <c r="IQ26" s="369"/>
      <c r="IR26" s="369"/>
      <c r="IS26" s="369"/>
      <c r="IT26" s="369"/>
      <c r="IU26" s="369"/>
      <c r="IV26" s="369"/>
      <c r="IW26" s="369"/>
      <c r="IX26" s="369"/>
      <c r="IY26" s="369"/>
      <c r="IZ26" s="369"/>
      <c r="JA26" s="369"/>
      <c r="JB26" s="369"/>
      <c r="JC26" s="369"/>
      <c r="JD26" s="369"/>
      <c r="JE26" s="369"/>
      <c r="JF26" s="369"/>
      <c r="JG26" s="369"/>
      <c r="JH26" s="369"/>
      <c r="JI26" s="369"/>
      <c r="JJ26" s="369"/>
      <c r="JK26" s="369">
        <f>VLOOKUP(IF26,'Working-Jan-25'!$C$5:$M$586,11,0)</f>
        <v>3000</v>
      </c>
      <c r="JL26" s="369">
        <f t="shared" si="7"/>
        <v>0.0778304300637159</v>
      </c>
      <c r="JN26" s="37" t="s">
        <v>537</v>
      </c>
      <c r="JO26" s="37" t="s">
        <v>554</v>
      </c>
      <c r="JP26" s="37"/>
      <c r="JQ26" s="382"/>
      <c r="JR26" s="382"/>
      <c r="JS26" s="382"/>
      <c r="JT26" s="382"/>
      <c r="JU26" s="382"/>
      <c r="JV26" s="385"/>
      <c r="JW26" s="386"/>
      <c r="JX26" s="386"/>
      <c r="JY26" s="386"/>
      <c r="JZ26" s="386"/>
      <c r="KA26" s="386"/>
      <c r="KB26" s="385"/>
      <c r="KC26" s="386"/>
      <c r="KD26" s="395"/>
      <c r="KE26" s="386"/>
      <c r="KF26" s="386">
        <f ca="1">SUMIF('Working-Jan-25'!$C$600:$C$694,JO26,'Working-Jan-25'!$L$600:$L$694)</f>
        <v>123750</v>
      </c>
      <c r="KG26" s="393"/>
      <c r="KH26" s="386"/>
      <c r="KI26" s="386" t="s">
        <v>555</v>
      </c>
      <c r="KJ26" s="386"/>
      <c r="KK26" s="386"/>
      <c r="KL26" s="386"/>
      <c r="KM26" s="386"/>
      <c r="KN26" s="386"/>
      <c r="KO26" s="386"/>
      <c r="KP26" s="386"/>
      <c r="KQ26" s="386"/>
      <c r="KR26" s="386"/>
      <c r="KS26" s="396"/>
      <c r="KT26" s="396"/>
      <c r="KU26" s="396"/>
      <c r="KV26" s="396"/>
      <c r="KW26" s="396"/>
      <c r="KX26" s="396"/>
      <c r="KY26" s="396">
        <f ca="1">SUMIF('Working-Jan-25'!$C$600:$C$694,KI26,'Working-Jan-25'!$I$600:$I$694)</f>
        <v>0</v>
      </c>
    </row>
    <row r="27" spans="2:311">
      <c r="B27" s="279" t="s">
        <v>520</v>
      </c>
      <c r="C27" s="279" t="s">
        <v>513</v>
      </c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303"/>
      <c r="X27" s="303"/>
      <c r="Y27" s="303"/>
      <c r="Z27" s="304"/>
      <c r="AA27" s="303"/>
      <c r="AB27" s="304"/>
      <c r="AC27" s="303"/>
      <c r="AD27" s="303"/>
      <c r="AE27" s="303"/>
      <c r="AF27" s="303"/>
      <c r="AG27" s="303">
        <f ca="1">SUMIF('Working-Jan-25'!$C$600:$C$694,C27,'Working-Jan-25'!$D$600:$D$694)</f>
        <v>0</v>
      </c>
      <c r="AH27" s="303">
        <f ca="1" t="shared" si="2"/>
        <v>0</v>
      </c>
      <c r="AJ27" s="306" t="s">
        <v>533</v>
      </c>
      <c r="AK27" s="306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M27" s="307"/>
      <c r="BN27" s="307"/>
      <c r="BO27" s="307"/>
      <c r="BP27" s="307"/>
      <c r="BR27" s="315" t="s">
        <v>543</v>
      </c>
      <c r="BS27" s="315"/>
      <c r="BT27" s="316"/>
      <c r="BU27" s="316"/>
      <c r="BV27" s="316"/>
      <c r="BW27" s="316"/>
      <c r="BX27" s="316"/>
      <c r="BY27" s="316"/>
      <c r="BZ27" s="316"/>
      <c r="CA27" s="316"/>
      <c r="CB27" s="316"/>
      <c r="CC27" s="316"/>
      <c r="CD27" s="316"/>
      <c r="CE27" s="316"/>
      <c r="CF27" s="316"/>
      <c r="CG27" s="316"/>
      <c r="CH27" s="316"/>
      <c r="CI27" s="322"/>
      <c r="CJ27" s="316"/>
      <c r="CK27" s="334"/>
      <c r="CL27" s="335"/>
      <c r="CM27" s="322"/>
      <c r="CN27" s="316"/>
      <c r="CO27" s="322"/>
      <c r="CP27" s="316"/>
      <c r="CQ27" s="322"/>
      <c r="CR27" s="316"/>
      <c r="CS27" s="322"/>
      <c r="CT27" s="316"/>
      <c r="CU27" s="322"/>
      <c r="CV27" s="316"/>
      <c r="CW27" s="322">
        <f ca="1">SUMIF('Working-Jan-25'!$C$600:$C$694,BR27,'Working-Jan-25'!$G$600:$G$694)</f>
        <v>0</v>
      </c>
      <c r="CX27" s="316">
        <f ca="1" t="shared" si="3"/>
        <v>0</v>
      </c>
      <c r="CZ27" s="337" t="s">
        <v>46</v>
      </c>
      <c r="DA27" s="337"/>
      <c r="DB27" s="341"/>
      <c r="DC27" s="341"/>
      <c r="DD27" s="341"/>
      <c r="DE27" s="341"/>
      <c r="DF27" s="341"/>
      <c r="DG27" s="341"/>
      <c r="DH27" s="341"/>
      <c r="DI27" s="341"/>
      <c r="DJ27" s="341"/>
      <c r="DK27" s="341"/>
      <c r="DL27" s="341"/>
      <c r="DM27" s="341"/>
      <c r="DN27" s="341"/>
      <c r="DO27" s="341"/>
      <c r="DP27" s="341"/>
      <c r="DQ27" s="341"/>
      <c r="DR27" s="341"/>
      <c r="DS27" s="341"/>
      <c r="DT27" s="341"/>
      <c r="DU27" s="341"/>
      <c r="DV27" s="341"/>
      <c r="DW27" s="341"/>
      <c r="DX27" s="341"/>
      <c r="DY27" s="341"/>
      <c r="DZ27" s="341"/>
      <c r="EA27" s="341"/>
      <c r="EB27" s="341"/>
      <c r="EC27" s="341"/>
      <c r="ED27" s="341"/>
      <c r="EE27" s="341">
        <f ca="1">SUMIF('Working-Jan-25'!$C$600:$C$694,CZ27,'Working-Jan-25'!$K$600:$K$694)</f>
        <v>0</v>
      </c>
      <c r="EF27" s="341">
        <f ca="1" t="shared" si="8"/>
        <v>0</v>
      </c>
      <c r="EH27" s="347" t="s">
        <v>556</v>
      </c>
      <c r="EI27" s="347"/>
      <c r="EJ27" s="348"/>
      <c r="EK27" s="348"/>
      <c r="EL27" s="348"/>
      <c r="EM27" s="348"/>
      <c r="EN27" s="348"/>
      <c r="EO27" s="348"/>
      <c r="EP27" s="348"/>
      <c r="EQ27" s="348"/>
      <c r="ER27" s="348"/>
      <c r="ES27" s="348"/>
      <c r="ET27" s="348"/>
      <c r="EU27" s="348"/>
      <c r="EV27" s="348"/>
      <c r="EW27" s="348"/>
      <c r="EX27" s="348"/>
      <c r="EY27" s="348"/>
      <c r="EZ27" s="348"/>
      <c r="FA27" s="348"/>
      <c r="FB27" s="348"/>
      <c r="FC27" s="348"/>
      <c r="FD27" s="348"/>
      <c r="FE27" s="348"/>
      <c r="FF27" s="348"/>
      <c r="FG27" s="348"/>
      <c r="FH27" s="348"/>
      <c r="FI27" s="354"/>
      <c r="FJ27" s="348"/>
      <c r="FK27" s="355"/>
      <c r="FL27" s="355"/>
      <c r="FM27" s="355">
        <f ca="1">SUMIF('Working-Jan-25'!$C$600:$C$694,EH27,'Working-Jan-25'!$Q$600:$Q$694)</f>
        <v>0</v>
      </c>
      <c r="FN27" s="355">
        <f ca="1" t="shared" si="4"/>
        <v>0</v>
      </c>
      <c r="FP27" s="358" t="s">
        <v>543</v>
      </c>
      <c r="FQ27" s="358"/>
      <c r="FR27" s="359"/>
      <c r="FS27" s="359"/>
      <c r="FT27" s="359"/>
      <c r="FU27" s="359"/>
      <c r="FV27" s="359"/>
      <c r="FW27" s="359"/>
      <c r="FX27" s="359"/>
      <c r="FY27" s="359"/>
      <c r="FZ27" s="359"/>
      <c r="GA27" s="359"/>
      <c r="GB27" s="359"/>
      <c r="GC27" s="359"/>
      <c r="GD27" s="359"/>
      <c r="GE27" s="359"/>
      <c r="GF27" s="359"/>
      <c r="GG27" s="359"/>
      <c r="GH27" s="365"/>
      <c r="GI27" s="359"/>
      <c r="GJ27" s="365"/>
      <c r="GK27" s="359"/>
      <c r="GL27" s="365"/>
      <c r="GM27" s="359"/>
      <c r="GN27" s="365"/>
      <c r="GO27" s="359"/>
      <c r="GP27" s="365"/>
      <c r="GQ27" s="359"/>
      <c r="GR27" s="365"/>
      <c r="GS27" s="359"/>
      <c r="GT27" s="365"/>
      <c r="GU27" s="359">
        <f ca="1">SUMIF('Working-Jan-25'!$C$600:$C$694,FP27,'Working-Jan-25'!$R$600:$R$694)</f>
        <v>0</v>
      </c>
      <c r="GV27" s="365">
        <f ca="1" t="shared" si="10"/>
        <v>0</v>
      </c>
      <c r="GX27" s="368" t="s">
        <v>473</v>
      </c>
      <c r="GY27" s="370"/>
      <c r="GZ27" s="369"/>
      <c r="HA27" s="369"/>
      <c r="HB27" s="369"/>
      <c r="HC27" s="369"/>
      <c r="HD27" s="369"/>
      <c r="HE27" s="369"/>
      <c r="HF27" s="369"/>
      <c r="HG27" s="369"/>
      <c r="HH27" s="369"/>
      <c r="HI27" s="369"/>
      <c r="HJ27" s="369"/>
      <c r="HK27" s="369"/>
      <c r="HL27" s="369"/>
      <c r="HM27" s="375"/>
      <c r="HN27" s="369"/>
      <c r="HO27" s="369"/>
      <c r="HP27" s="369"/>
      <c r="HQ27" s="369"/>
      <c r="HR27" s="369"/>
      <c r="HS27" s="369"/>
      <c r="HT27" s="369"/>
      <c r="HU27" s="376"/>
      <c r="HV27" s="376"/>
      <c r="HW27" s="376"/>
      <c r="HX27" s="376"/>
      <c r="HY27" s="378"/>
      <c r="HZ27" s="378"/>
      <c r="IA27" s="378"/>
      <c r="IB27" s="378"/>
      <c r="IC27" s="378">
        <f ca="1">SUMIF('Working-Jan-25'!$C$600:$C$694,GX27,'Working-Jan-25'!$F$600:$F$694)</f>
        <v>476659.89</v>
      </c>
      <c r="ID27" s="378">
        <f ca="1" t="shared" si="5"/>
        <v>12.3662147442745</v>
      </c>
      <c r="IF27" s="368" t="s">
        <v>557</v>
      </c>
      <c r="IG27" s="368"/>
      <c r="IH27" s="369"/>
      <c r="II27" s="369"/>
      <c r="IJ27" s="369"/>
      <c r="IK27" s="369"/>
      <c r="IL27" s="369"/>
      <c r="IM27" s="369"/>
      <c r="IN27" s="369"/>
      <c r="IO27" s="369"/>
      <c r="IP27" s="369"/>
      <c r="IQ27" s="369"/>
      <c r="IR27" s="369"/>
      <c r="IS27" s="369"/>
      <c r="IT27" s="369"/>
      <c r="IU27" s="369"/>
      <c r="IV27" s="369"/>
      <c r="IW27" s="369"/>
      <c r="IX27" s="369"/>
      <c r="IY27" s="369"/>
      <c r="IZ27" s="369"/>
      <c r="JA27" s="369"/>
      <c r="JB27" s="369"/>
      <c r="JC27" s="369"/>
      <c r="JD27" s="369"/>
      <c r="JE27" s="369"/>
      <c r="JF27" s="369"/>
      <c r="JG27" s="369"/>
      <c r="JH27" s="369"/>
      <c r="JI27" s="369"/>
      <c r="JJ27" s="369"/>
      <c r="JK27" s="369">
        <f>VLOOKUP(IF27,'Working-Jan-25'!$C$5:$M$586,11,0)</f>
        <v>750</v>
      </c>
      <c r="JL27" s="369">
        <f t="shared" si="7"/>
        <v>0.019457607515929</v>
      </c>
      <c r="JN27" s="37" t="s">
        <v>542</v>
      </c>
      <c r="JO27" s="37" t="s">
        <v>558</v>
      </c>
      <c r="JP27" s="37"/>
      <c r="JQ27" s="382"/>
      <c r="JR27" s="382"/>
      <c r="JS27" s="382"/>
      <c r="JT27" s="382"/>
      <c r="JU27" s="382"/>
      <c r="JV27" s="382"/>
      <c r="JW27" s="386"/>
      <c r="JX27" s="386"/>
      <c r="JY27" s="386"/>
      <c r="JZ27" s="386"/>
      <c r="KA27" s="386"/>
      <c r="KB27" s="386"/>
      <c r="KC27" s="386"/>
      <c r="KD27" s="386"/>
      <c r="KE27" s="386"/>
      <c r="KF27" s="386">
        <f ca="1">SUMIF('Working-Jan-25'!$C$600:$C$694,JO27,'Working-Jan-25'!$L$600:$L$694)</f>
        <v>150000</v>
      </c>
      <c r="KG27" s="393"/>
      <c r="KH27" s="386"/>
      <c r="KI27" s="386" t="s">
        <v>36</v>
      </c>
      <c r="KJ27" s="386"/>
      <c r="KK27" s="386"/>
      <c r="KL27" s="386"/>
      <c r="KM27" s="386"/>
      <c r="KN27" s="386"/>
      <c r="KO27" s="386"/>
      <c r="KP27" s="386"/>
      <c r="KQ27" s="386"/>
      <c r="KR27" s="386"/>
      <c r="KS27" s="396"/>
      <c r="KT27" s="396"/>
      <c r="KU27" s="396"/>
      <c r="KV27" s="396"/>
      <c r="KW27" s="396"/>
      <c r="KX27" s="396"/>
      <c r="KY27" s="396">
        <f ca="1">SUMIF('Working-Jan-25'!$C$600:$C$694,KI27,'Working-Jan-25'!$I$600:$I$694)</f>
        <v>0</v>
      </c>
    </row>
    <row r="28" spans="2:311">
      <c r="B28" s="279" t="s">
        <v>502</v>
      </c>
      <c r="C28" s="279"/>
      <c r="D28" s="280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303"/>
      <c r="X28" s="303"/>
      <c r="Y28" s="303"/>
      <c r="Z28" s="303"/>
      <c r="AA28" s="303"/>
      <c r="AB28" s="303"/>
      <c r="AC28" s="303"/>
      <c r="AD28" s="303"/>
      <c r="AE28" s="303"/>
      <c r="AF28" s="303"/>
      <c r="AG28" s="303"/>
      <c r="AH28" s="303">
        <f t="shared" si="2"/>
        <v>0</v>
      </c>
      <c r="AJ28" s="306" t="s">
        <v>538</v>
      </c>
      <c r="AK28" s="306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307"/>
      <c r="BJ28" s="307"/>
      <c r="BK28" s="307"/>
      <c r="BL28" s="307"/>
      <c r="BM28" s="307"/>
      <c r="BN28" s="307"/>
      <c r="BO28" s="307"/>
      <c r="BP28" s="307"/>
      <c r="BR28" s="315" t="s">
        <v>559</v>
      </c>
      <c r="BS28" s="315"/>
      <c r="BT28" s="316"/>
      <c r="BU28" s="316"/>
      <c r="BV28" s="316"/>
      <c r="BW28" s="316"/>
      <c r="BX28" s="316"/>
      <c r="BY28" s="316"/>
      <c r="BZ28" s="316"/>
      <c r="CA28" s="316"/>
      <c r="CB28" s="316"/>
      <c r="CC28" s="316"/>
      <c r="CD28" s="316"/>
      <c r="CE28" s="316"/>
      <c r="CF28" s="316"/>
      <c r="CG28" s="316"/>
      <c r="CH28" s="316"/>
      <c r="CI28" s="322"/>
      <c r="CJ28" s="316"/>
      <c r="CK28" s="334"/>
      <c r="CL28" s="335"/>
      <c r="CM28" s="322"/>
      <c r="CN28" s="316"/>
      <c r="CO28" s="322"/>
      <c r="CP28" s="316"/>
      <c r="CQ28" s="322"/>
      <c r="CR28" s="316"/>
      <c r="CS28" s="322"/>
      <c r="CT28" s="316"/>
      <c r="CU28" s="322"/>
      <c r="CV28" s="316"/>
      <c r="CW28" s="322">
        <f ca="1">SUMIF('Working-Jan-25'!$C$600:$C$694,BR28,'Working-Jan-25'!$G$600:$G$694)</f>
        <v>0</v>
      </c>
      <c r="CX28" s="316">
        <f ca="1" t="shared" ref="CX28:CX32" si="11">IFERROR(CW28/$CQ$2,0)</f>
        <v>0</v>
      </c>
      <c r="CZ28" s="337" t="s">
        <v>543</v>
      </c>
      <c r="DA28" s="337"/>
      <c r="DB28" s="341"/>
      <c r="DC28" s="341"/>
      <c r="DD28" s="341"/>
      <c r="DE28" s="341"/>
      <c r="DF28" s="341"/>
      <c r="DG28" s="341"/>
      <c r="DH28" s="341"/>
      <c r="DI28" s="341"/>
      <c r="DJ28" s="341"/>
      <c r="DK28" s="341"/>
      <c r="DL28" s="341"/>
      <c r="DM28" s="341"/>
      <c r="DN28" s="341"/>
      <c r="DO28" s="341"/>
      <c r="DP28" s="341"/>
      <c r="DQ28" s="341"/>
      <c r="DR28" s="341"/>
      <c r="DS28" s="341"/>
      <c r="DT28" s="341"/>
      <c r="DU28" s="341"/>
      <c r="DV28" s="341"/>
      <c r="DW28" s="341"/>
      <c r="DX28" s="341"/>
      <c r="DY28" s="341"/>
      <c r="DZ28" s="341"/>
      <c r="EA28" s="341"/>
      <c r="EB28" s="341"/>
      <c r="EC28" s="341"/>
      <c r="ED28" s="341"/>
      <c r="EE28" s="341">
        <f ca="1">SUMIF('Working-Jan-25'!$C$600:$C$694,CZ28,'Working-Jan-25'!$K$600:$K$694)</f>
        <v>0</v>
      </c>
      <c r="EF28" s="341">
        <f ca="1" t="shared" si="8"/>
        <v>0</v>
      </c>
      <c r="EH28" s="347" t="s">
        <v>560</v>
      </c>
      <c r="EI28" s="347"/>
      <c r="EJ28" s="348"/>
      <c r="EK28" s="348"/>
      <c r="EL28" s="348"/>
      <c r="EM28" s="348"/>
      <c r="EN28" s="348"/>
      <c r="EO28" s="348"/>
      <c r="EP28" s="348"/>
      <c r="EQ28" s="348"/>
      <c r="ER28" s="348"/>
      <c r="ES28" s="348"/>
      <c r="ET28" s="348"/>
      <c r="EU28" s="348"/>
      <c r="EV28" s="348"/>
      <c r="EW28" s="348"/>
      <c r="EX28" s="348"/>
      <c r="EY28" s="348"/>
      <c r="EZ28" s="348"/>
      <c r="FA28" s="348"/>
      <c r="FB28" s="348"/>
      <c r="FC28" s="348"/>
      <c r="FD28" s="348"/>
      <c r="FE28" s="348"/>
      <c r="FF28" s="348"/>
      <c r="FG28" s="348"/>
      <c r="FH28" s="348"/>
      <c r="FI28" s="354"/>
      <c r="FJ28" s="348"/>
      <c r="FK28" s="355"/>
      <c r="FL28" s="355"/>
      <c r="FM28" s="355">
        <f ca="1">SUMIF('Working-Jan-25'!$C$600:$C$694,EH28,'Working-Jan-25'!$Q$600:$Q$694)</f>
        <v>0</v>
      </c>
      <c r="FN28" s="355">
        <f ca="1" t="shared" ref="FN28:FN50" si="12">IFERROR(FM28/$FK$3,0)</f>
        <v>0</v>
      </c>
      <c r="FP28" s="358" t="s">
        <v>547</v>
      </c>
      <c r="FQ28" s="358"/>
      <c r="FR28" s="359"/>
      <c r="FS28" s="359"/>
      <c r="FT28" s="359"/>
      <c r="FU28" s="359"/>
      <c r="FV28" s="359"/>
      <c r="FW28" s="359"/>
      <c r="FX28" s="359"/>
      <c r="FY28" s="359"/>
      <c r="FZ28" s="359"/>
      <c r="GA28" s="359"/>
      <c r="GB28" s="359"/>
      <c r="GC28" s="359"/>
      <c r="GD28" s="359"/>
      <c r="GE28" s="359"/>
      <c r="GF28" s="359"/>
      <c r="GG28" s="359"/>
      <c r="GH28" s="365"/>
      <c r="GI28" s="359"/>
      <c r="GJ28" s="365"/>
      <c r="GK28" s="359"/>
      <c r="GL28" s="365"/>
      <c r="GM28" s="359"/>
      <c r="GN28" s="365"/>
      <c r="GO28" s="359"/>
      <c r="GP28" s="365"/>
      <c r="GQ28" s="359"/>
      <c r="GR28" s="365"/>
      <c r="GS28" s="359"/>
      <c r="GT28" s="365"/>
      <c r="GU28" s="359">
        <f ca="1">SUMIF('Working-Jan-25'!$C$600:$C$694,FP28,'Working-Jan-25'!$R$600:$R$694)</f>
        <v>0</v>
      </c>
      <c r="GV28" s="365">
        <f ca="1" t="shared" si="10"/>
        <v>0</v>
      </c>
      <c r="GX28" s="368" t="s">
        <v>561</v>
      </c>
      <c r="GY28" s="370"/>
      <c r="GZ28" s="369"/>
      <c r="HA28" s="369"/>
      <c r="HB28" s="369"/>
      <c r="HC28" s="369"/>
      <c r="HD28" s="369"/>
      <c r="HE28" s="369"/>
      <c r="HF28" s="369"/>
      <c r="HG28" s="369"/>
      <c r="HH28" s="369"/>
      <c r="HI28" s="369"/>
      <c r="HJ28" s="369"/>
      <c r="HK28" s="369"/>
      <c r="HL28" s="369"/>
      <c r="HM28" s="375"/>
      <c r="HN28" s="369"/>
      <c r="HO28" s="369"/>
      <c r="HP28" s="369"/>
      <c r="HQ28" s="369"/>
      <c r="HR28" s="369"/>
      <c r="HS28" s="369"/>
      <c r="HT28" s="369"/>
      <c r="HU28" s="369"/>
      <c r="HV28" s="369"/>
      <c r="HW28" s="369"/>
      <c r="HX28" s="369"/>
      <c r="HY28" s="375"/>
      <c r="HZ28" s="375"/>
      <c r="IA28" s="378"/>
      <c r="IB28" s="375"/>
      <c r="IC28" s="378">
        <f ca="1">SUMIF('Working-Jan-25'!$C$600:$C$694,GX28,'Working-Jan-25'!$F$600:$F$694)</f>
        <v>0</v>
      </c>
      <c r="ID28" s="378">
        <f ca="1" t="shared" si="5"/>
        <v>0</v>
      </c>
      <c r="IF28" s="371" t="s">
        <v>54</v>
      </c>
      <c r="IG28" s="371"/>
      <c r="IH28" s="380"/>
      <c r="II28" s="380"/>
      <c r="IJ28" s="380"/>
      <c r="IK28" s="380"/>
      <c r="IL28" s="380"/>
      <c r="IM28" s="380"/>
      <c r="IN28" s="380"/>
      <c r="IO28" s="380"/>
      <c r="IP28" s="380"/>
      <c r="IQ28" s="380"/>
      <c r="IR28" s="380"/>
      <c r="IS28" s="380"/>
      <c r="IT28" s="380"/>
      <c r="IU28" s="380"/>
      <c r="IV28" s="380"/>
      <c r="IW28" s="380"/>
      <c r="IX28" s="369"/>
      <c r="IY28" s="380"/>
      <c r="IZ28" s="369"/>
      <c r="JA28" s="380"/>
      <c r="JB28" s="369"/>
      <c r="JC28" s="380"/>
      <c r="JD28" s="369"/>
      <c r="JE28" s="380"/>
      <c r="JF28" s="369"/>
      <c r="JG28" s="380"/>
      <c r="JH28" s="369"/>
      <c r="JI28" s="380"/>
      <c r="JJ28" s="369"/>
      <c r="JK28" s="380">
        <f>SUM(JK13:JK27)</f>
        <v>1585326.65</v>
      </c>
      <c r="JL28" s="369"/>
      <c r="JN28" s="37" t="s">
        <v>515</v>
      </c>
      <c r="JO28" s="37" t="s">
        <v>538</v>
      </c>
      <c r="JP28" s="37"/>
      <c r="JQ28" s="382"/>
      <c r="JR28" s="382"/>
      <c r="JS28" s="382"/>
      <c r="JT28" s="382"/>
      <c r="JU28" s="382"/>
      <c r="JV28" s="382"/>
      <c r="JW28" s="386"/>
      <c r="JX28" s="386"/>
      <c r="JY28" s="386"/>
      <c r="JZ28" s="386"/>
      <c r="KA28" s="386"/>
      <c r="KB28" s="386"/>
      <c r="KC28" s="386"/>
      <c r="KD28" s="395"/>
      <c r="KE28" s="386"/>
      <c r="KF28" s="386">
        <f ca="1">SUMIF('Working-Jan-25'!$C$600:$C$694,JO28,'Working-Jan-25'!$L$600:$L$694)</f>
        <v>28568</v>
      </c>
      <c r="KG28" s="393"/>
      <c r="KH28" s="386"/>
      <c r="KI28" s="386" t="s">
        <v>562</v>
      </c>
      <c r="KJ28" s="386"/>
      <c r="KK28" s="386"/>
      <c r="KL28" s="386"/>
      <c r="KM28" s="386"/>
      <c r="KN28" s="386"/>
      <c r="KO28" s="386"/>
      <c r="KP28" s="386"/>
      <c r="KQ28" s="386"/>
      <c r="KR28" s="386"/>
      <c r="KS28" s="396"/>
      <c r="KT28" s="396"/>
      <c r="KU28" s="396"/>
      <c r="KV28" s="396"/>
      <c r="KW28" s="396"/>
      <c r="KX28" s="396"/>
      <c r="KY28" s="396">
        <f ca="1">SUMIF('Working-Jan-25'!$C$600:$C$694,KI28,'Working-Jan-25'!$I$600:$I$694)</f>
        <v>42775.61</v>
      </c>
    </row>
    <row r="29" spans="2:311">
      <c r="B29" s="279"/>
      <c r="C29" s="293" t="s">
        <v>545</v>
      </c>
      <c r="D29" s="280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303"/>
      <c r="X29" s="303"/>
      <c r="Y29" s="303"/>
      <c r="Z29" s="303"/>
      <c r="AA29" s="303"/>
      <c r="AB29" s="303"/>
      <c r="AC29" s="303"/>
      <c r="AD29" s="303"/>
      <c r="AE29" s="303"/>
      <c r="AF29" s="303"/>
      <c r="AG29" s="303"/>
      <c r="AH29" s="303">
        <f t="shared" si="2"/>
        <v>0</v>
      </c>
      <c r="AJ29" s="306" t="s">
        <v>563</v>
      </c>
      <c r="AK29" s="313" t="s">
        <v>545</v>
      </c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7"/>
      <c r="BJ29" s="307"/>
      <c r="BK29" s="307"/>
      <c r="BL29" s="307"/>
      <c r="BM29" s="307"/>
      <c r="BN29" s="307"/>
      <c r="BO29" s="307"/>
      <c r="BP29" s="307"/>
      <c r="BR29" s="315" t="s">
        <v>551</v>
      </c>
      <c r="BS29" s="315"/>
      <c r="BT29" s="316"/>
      <c r="BU29" s="316"/>
      <c r="BV29" s="316"/>
      <c r="BW29" s="316"/>
      <c r="BX29" s="316"/>
      <c r="BY29" s="316"/>
      <c r="BZ29" s="316"/>
      <c r="CA29" s="316"/>
      <c r="CB29" s="316"/>
      <c r="CC29" s="316"/>
      <c r="CD29" s="316"/>
      <c r="CE29" s="316"/>
      <c r="CF29" s="316"/>
      <c r="CG29" s="316"/>
      <c r="CH29" s="316"/>
      <c r="CI29" s="322"/>
      <c r="CJ29" s="316"/>
      <c r="CK29" s="322"/>
      <c r="CL29" s="316"/>
      <c r="CM29" s="322"/>
      <c r="CN29" s="316"/>
      <c r="CO29" s="322"/>
      <c r="CP29" s="316"/>
      <c r="CQ29" s="322"/>
      <c r="CR29" s="316"/>
      <c r="CS29" s="322"/>
      <c r="CT29" s="316"/>
      <c r="CU29" s="322"/>
      <c r="CV29" s="316"/>
      <c r="CW29" s="322">
        <f ca="1">SUMIF('Working-Jan-25'!$C$600:$C$694,BR29,'Working-Jan-25'!$G$600:$G$694)</f>
        <v>0</v>
      </c>
      <c r="CX29" s="316">
        <f ca="1" t="shared" si="11"/>
        <v>0</v>
      </c>
      <c r="CZ29" s="337" t="s">
        <v>559</v>
      </c>
      <c r="DA29" s="337"/>
      <c r="DB29" s="341"/>
      <c r="DC29" s="341"/>
      <c r="DD29" s="341"/>
      <c r="DE29" s="341"/>
      <c r="DF29" s="341"/>
      <c r="DG29" s="341"/>
      <c r="DH29" s="341"/>
      <c r="DI29" s="341"/>
      <c r="DJ29" s="341"/>
      <c r="DK29" s="341"/>
      <c r="DL29" s="341"/>
      <c r="DM29" s="341"/>
      <c r="DN29" s="341"/>
      <c r="DO29" s="341"/>
      <c r="DP29" s="341"/>
      <c r="DQ29" s="341"/>
      <c r="DR29" s="341"/>
      <c r="DS29" s="341"/>
      <c r="DT29" s="341"/>
      <c r="DU29" s="341"/>
      <c r="DV29" s="341"/>
      <c r="DW29" s="341"/>
      <c r="DX29" s="341"/>
      <c r="DY29" s="341"/>
      <c r="DZ29" s="341"/>
      <c r="EA29" s="341"/>
      <c r="EB29" s="341"/>
      <c r="EC29" s="341"/>
      <c r="ED29" s="341"/>
      <c r="EE29" s="341">
        <f ca="1">SUMIF('Working-Jan-25'!$C$600:$C$694,CZ29,'Working-Jan-25'!$K$600:$K$694)</f>
        <v>0</v>
      </c>
      <c r="EF29" s="341">
        <f ca="1" t="shared" si="8"/>
        <v>0</v>
      </c>
      <c r="EH29" s="347" t="s">
        <v>493</v>
      </c>
      <c r="EI29" s="347"/>
      <c r="EJ29" s="348"/>
      <c r="EK29" s="348"/>
      <c r="EL29" s="348"/>
      <c r="EM29" s="348"/>
      <c r="EN29" s="348"/>
      <c r="EO29" s="348"/>
      <c r="EP29" s="348"/>
      <c r="EQ29" s="348"/>
      <c r="ER29" s="348"/>
      <c r="ES29" s="348"/>
      <c r="ET29" s="348"/>
      <c r="EU29" s="348"/>
      <c r="EV29" s="348"/>
      <c r="EW29" s="348"/>
      <c r="EX29" s="348"/>
      <c r="EY29" s="348"/>
      <c r="EZ29" s="348"/>
      <c r="FA29" s="348"/>
      <c r="FB29" s="348"/>
      <c r="FC29" s="348"/>
      <c r="FD29" s="348"/>
      <c r="FE29" s="348"/>
      <c r="FF29" s="348"/>
      <c r="FG29" s="348"/>
      <c r="FH29" s="348"/>
      <c r="FI29" s="354"/>
      <c r="FJ29" s="348"/>
      <c r="FK29" s="355"/>
      <c r="FL29" s="355"/>
      <c r="FM29" s="355">
        <f ca="1">SUMIF('Working-Jan-25'!$C$600:$C$694,EH29,'Working-Jan-25'!$Q$600:$Q$694)</f>
        <v>0</v>
      </c>
      <c r="FN29" s="355">
        <f ca="1" t="shared" si="12"/>
        <v>0</v>
      </c>
      <c r="FP29" s="358" t="s">
        <v>551</v>
      </c>
      <c r="FQ29" s="358"/>
      <c r="FR29" s="359"/>
      <c r="FS29" s="359"/>
      <c r="FT29" s="359"/>
      <c r="FU29" s="359"/>
      <c r="FV29" s="359"/>
      <c r="FW29" s="359"/>
      <c r="FX29" s="359"/>
      <c r="FY29" s="359"/>
      <c r="FZ29" s="359"/>
      <c r="GA29" s="359"/>
      <c r="GB29" s="359"/>
      <c r="GC29" s="359"/>
      <c r="GD29" s="359"/>
      <c r="GE29" s="359"/>
      <c r="GF29" s="359"/>
      <c r="GG29" s="359"/>
      <c r="GH29" s="365"/>
      <c r="GI29" s="359"/>
      <c r="GJ29" s="365"/>
      <c r="GK29" s="359"/>
      <c r="GL29" s="365"/>
      <c r="GM29" s="359"/>
      <c r="GN29" s="365"/>
      <c r="GO29" s="359"/>
      <c r="GP29" s="365"/>
      <c r="GQ29" s="359"/>
      <c r="GR29" s="365"/>
      <c r="GS29" s="359"/>
      <c r="GT29" s="365"/>
      <c r="GU29" s="359">
        <f ca="1">SUMIF('Working-Jan-25'!$C$600:$C$694,FP29,'Working-Jan-25'!$R$600:$R$694)</f>
        <v>0</v>
      </c>
      <c r="GV29" s="365">
        <f ca="1" t="shared" si="10"/>
        <v>0</v>
      </c>
      <c r="GX29" s="368" t="s">
        <v>564</v>
      </c>
      <c r="GY29" s="368"/>
      <c r="GZ29" s="369"/>
      <c r="HA29" s="369"/>
      <c r="HB29" s="369"/>
      <c r="HC29" s="369"/>
      <c r="HD29" s="369"/>
      <c r="HE29" s="369"/>
      <c r="HF29" s="369"/>
      <c r="HG29" s="369"/>
      <c r="HH29" s="369"/>
      <c r="HI29" s="369"/>
      <c r="HJ29" s="369"/>
      <c r="HK29" s="369"/>
      <c r="HL29" s="369"/>
      <c r="HM29" s="375"/>
      <c r="HN29" s="369"/>
      <c r="HO29" s="369"/>
      <c r="HP29" s="369"/>
      <c r="HQ29" s="369"/>
      <c r="HR29" s="369"/>
      <c r="HS29" s="369"/>
      <c r="HT29" s="369"/>
      <c r="HU29" s="369"/>
      <c r="HV29" s="369"/>
      <c r="HW29" s="369"/>
      <c r="HX29" s="369"/>
      <c r="HY29" s="378"/>
      <c r="HZ29" s="378"/>
      <c r="IA29" s="378"/>
      <c r="IB29" s="378"/>
      <c r="IC29" s="378">
        <f ca="1">SUMIF('Working-Jan-25'!$C$600:$C$694,GX29,'Working-Jan-25'!$F$600:$F$694)</f>
        <v>0</v>
      </c>
      <c r="ID29" s="378">
        <f ca="1" t="shared" si="5"/>
        <v>0</v>
      </c>
      <c r="IF29" s="371"/>
      <c r="IG29" s="371"/>
      <c r="IH29" s="380"/>
      <c r="II29" s="380"/>
      <c r="IJ29" s="380"/>
      <c r="IK29" s="380"/>
      <c r="IL29" s="380"/>
      <c r="IM29" s="380"/>
      <c r="IN29" s="380"/>
      <c r="IO29" s="380"/>
      <c r="IP29" s="380"/>
      <c r="IQ29" s="380"/>
      <c r="IR29" s="380"/>
      <c r="IS29" s="380"/>
      <c r="IT29" s="380"/>
      <c r="IU29" s="380"/>
      <c r="IV29" s="380"/>
      <c r="IW29" s="380"/>
      <c r="IX29" s="380"/>
      <c r="IY29" s="380"/>
      <c r="IZ29" s="380"/>
      <c r="JA29" s="380"/>
      <c r="JB29" s="369"/>
      <c r="JC29" s="380"/>
      <c r="JD29" s="369"/>
      <c r="JE29" s="380"/>
      <c r="JF29" s="369"/>
      <c r="JG29" s="380"/>
      <c r="JH29" s="369"/>
      <c r="JI29" s="380"/>
      <c r="JJ29" s="369"/>
      <c r="JK29" s="380"/>
      <c r="JL29" s="369"/>
      <c r="JN29" s="37" t="s">
        <v>550</v>
      </c>
      <c r="JO29" s="37" t="s">
        <v>565</v>
      </c>
      <c r="JP29" s="37"/>
      <c r="JQ29" s="382"/>
      <c r="JR29" s="382"/>
      <c r="JS29" s="382"/>
      <c r="JT29" s="382"/>
      <c r="JU29" s="382"/>
      <c r="JV29" s="382"/>
      <c r="JW29" s="386"/>
      <c r="JX29" s="386"/>
      <c r="JY29" s="386"/>
      <c r="JZ29" s="386"/>
      <c r="KA29" s="386"/>
      <c r="KB29" s="386"/>
      <c r="KC29" s="386"/>
      <c r="KD29" s="386"/>
      <c r="KE29" s="386"/>
      <c r="KF29" s="386">
        <f ca="1">SUMIF('Working-Jan-25'!$C$600:$C$694,JO29,'Working-Jan-25'!$L$600:$L$694)</f>
        <v>0</v>
      </c>
      <c r="KG29" s="393"/>
      <c r="KH29" s="386"/>
      <c r="KI29" s="386" t="s">
        <v>566</v>
      </c>
      <c r="KJ29" s="386"/>
      <c r="KK29" s="386"/>
      <c r="KL29" s="386"/>
      <c r="KM29" s="386"/>
      <c r="KN29" s="386"/>
      <c r="KO29" s="386"/>
      <c r="KP29" s="386"/>
      <c r="KQ29" s="386"/>
      <c r="KR29" s="386"/>
      <c r="KS29" s="396"/>
      <c r="KT29" s="396"/>
      <c r="KU29" s="396"/>
      <c r="KV29" s="396"/>
      <c r="KW29" s="396"/>
      <c r="KX29" s="396"/>
      <c r="KY29" s="396">
        <f ca="1">SUMIF('Working-Jan-25'!$C$600:$C$694,KI29,'Working-Jan-25'!$I$600:$I$694)</f>
        <v>0</v>
      </c>
    </row>
    <row r="30" spans="2:311">
      <c r="B30" s="279" t="s">
        <v>527</v>
      </c>
      <c r="C30" s="279" t="s">
        <v>556</v>
      </c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303"/>
      <c r="X30" s="303"/>
      <c r="Y30" s="303"/>
      <c r="Z30" s="303"/>
      <c r="AA30" s="303"/>
      <c r="AB30" s="303"/>
      <c r="AC30" s="303"/>
      <c r="AD30" s="303"/>
      <c r="AE30" s="303"/>
      <c r="AF30" s="303"/>
      <c r="AG30" s="303">
        <f ca="1">SUMIF('Working-Jan-25'!$C$600:$C$694,C30,'Working-Jan-25'!$D$600:$D$694)</f>
        <v>0</v>
      </c>
      <c r="AH30" s="303">
        <f ca="1" t="shared" si="2"/>
        <v>0</v>
      </c>
      <c r="AJ30" s="306" t="s">
        <v>517</v>
      </c>
      <c r="AK30" s="306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M30" s="307"/>
      <c r="BN30" s="307"/>
      <c r="BO30" s="307"/>
      <c r="BP30" s="307"/>
      <c r="BR30" s="315" t="s">
        <v>566</v>
      </c>
      <c r="BS30" s="315"/>
      <c r="BT30" s="316"/>
      <c r="BU30" s="316"/>
      <c r="BV30" s="316"/>
      <c r="BW30" s="316"/>
      <c r="BX30" s="316"/>
      <c r="BY30" s="316"/>
      <c r="BZ30" s="316"/>
      <c r="CA30" s="316"/>
      <c r="CB30" s="316"/>
      <c r="CC30" s="316"/>
      <c r="CD30" s="316"/>
      <c r="CE30" s="316"/>
      <c r="CF30" s="316"/>
      <c r="CG30" s="316"/>
      <c r="CH30" s="316"/>
      <c r="CI30" s="322"/>
      <c r="CJ30" s="316"/>
      <c r="CK30" s="322"/>
      <c r="CL30" s="316"/>
      <c r="CM30" s="322"/>
      <c r="CN30" s="316"/>
      <c r="CO30" s="322"/>
      <c r="CP30" s="316"/>
      <c r="CQ30" s="322"/>
      <c r="CR30" s="316"/>
      <c r="CS30" s="322"/>
      <c r="CT30" s="316"/>
      <c r="CU30" s="322"/>
      <c r="CV30" s="316"/>
      <c r="CW30" s="322">
        <f ca="1">SUMIF('Working-Jan-25'!$C$600:$C$694,BR30,'Working-Jan-25'!$G$600:$G$694)</f>
        <v>0</v>
      </c>
      <c r="CX30" s="316">
        <f ca="1" t="shared" si="11"/>
        <v>0</v>
      </c>
      <c r="CZ30" s="337" t="s">
        <v>551</v>
      </c>
      <c r="DA30" s="337"/>
      <c r="DB30" s="341"/>
      <c r="DC30" s="341"/>
      <c r="DD30" s="341"/>
      <c r="DE30" s="341"/>
      <c r="DF30" s="341"/>
      <c r="DG30" s="341"/>
      <c r="DH30" s="341"/>
      <c r="DI30" s="341"/>
      <c r="DJ30" s="341"/>
      <c r="DK30" s="341"/>
      <c r="DL30" s="341"/>
      <c r="DM30" s="341"/>
      <c r="DN30" s="341"/>
      <c r="DO30" s="341"/>
      <c r="DP30" s="341"/>
      <c r="DQ30" s="341"/>
      <c r="DR30" s="341"/>
      <c r="DS30" s="341"/>
      <c r="DT30" s="341"/>
      <c r="DU30" s="341"/>
      <c r="DV30" s="341"/>
      <c r="DW30" s="341"/>
      <c r="DX30" s="341"/>
      <c r="DY30" s="341"/>
      <c r="DZ30" s="341"/>
      <c r="EA30" s="341"/>
      <c r="EB30" s="341"/>
      <c r="EC30" s="341"/>
      <c r="ED30" s="341"/>
      <c r="EE30" s="341">
        <f ca="1">SUMIF('Working-Jan-25'!$C$600:$C$694,CZ30,'Working-Jan-25'!$K$600:$K$694)</f>
        <v>0</v>
      </c>
      <c r="EF30" s="341">
        <f ca="1" t="shared" si="8"/>
        <v>0</v>
      </c>
      <c r="EH30" s="347"/>
      <c r="EI30" s="347"/>
      <c r="EJ30" s="348"/>
      <c r="EK30" s="348"/>
      <c r="EL30" s="348"/>
      <c r="EM30" s="348"/>
      <c r="EN30" s="348"/>
      <c r="EO30" s="348"/>
      <c r="EP30" s="348"/>
      <c r="EQ30" s="348"/>
      <c r="ER30" s="348"/>
      <c r="ES30" s="348"/>
      <c r="ET30" s="348"/>
      <c r="EU30" s="348"/>
      <c r="EV30" s="348"/>
      <c r="EW30" s="348"/>
      <c r="EX30" s="348"/>
      <c r="EY30" s="348"/>
      <c r="EZ30" s="348"/>
      <c r="FA30" s="348"/>
      <c r="FB30" s="348"/>
      <c r="FC30" s="348"/>
      <c r="FD30" s="348"/>
      <c r="FE30" s="348"/>
      <c r="FF30" s="348"/>
      <c r="FG30" s="348"/>
      <c r="FH30" s="348"/>
      <c r="FI30" s="354"/>
      <c r="FJ30" s="348"/>
      <c r="FK30" s="355"/>
      <c r="FL30" s="355"/>
      <c r="FM30" s="355">
        <f ca="1">SUMIF('Working-Jan-25'!$C$600:$C$694,EH30,'Working-Jan-25'!$Q$600:$Q$694)</f>
        <v>0</v>
      </c>
      <c r="FN30" s="355">
        <f ca="1" t="shared" si="12"/>
        <v>0</v>
      </c>
      <c r="FP30" s="358" t="s">
        <v>566</v>
      </c>
      <c r="FQ30" s="358"/>
      <c r="FR30" s="359"/>
      <c r="FS30" s="359"/>
      <c r="FT30" s="359"/>
      <c r="FU30" s="359"/>
      <c r="FV30" s="359"/>
      <c r="FW30" s="359"/>
      <c r="FX30" s="359"/>
      <c r="FY30" s="359"/>
      <c r="FZ30" s="359"/>
      <c r="GA30" s="359"/>
      <c r="GB30" s="359"/>
      <c r="GC30" s="359"/>
      <c r="GD30" s="359"/>
      <c r="GE30" s="359"/>
      <c r="GF30" s="359"/>
      <c r="GG30" s="359"/>
      <c r="GH30" s="365"/>
      <c r="GI30" s="359"/>
      <c r="GJ30" s="365"/>
      <c r="GK30" s="359"/>
      <c r="GL30" s="365"/>
      <c r="GM30" s="359"/>
      <c r="GN30" s="365"/>
      <c r="GO30" s="359"/>
      <c r="GP30" s="365"/>
      <c r="GQ30" s="359"/>
      <c r="GR30" s="365"/>
      <c r="GS30" s="359"/>
      <c r="GT30" s="365"/>
      <c r="GU30" s="359">
        <f ca="1">SUMIF('Working-Jan-25'!$C$600:$C$694,FP30,'Working-Jan-25'!$R$600:$R$694)</f>
        <v>0</v>
      </c>
      <c r="GV30" s="365">
        <f ca="1" t="shared" si="10"/>
        <v>0</v>
      </c>
      <c r="GX30" s="368" t="s">
        <v>535</v>
      </c>
      <c r="GY30" s="370"/>
      <c r="GZ30" s="369"/>
      <c r="HA30" s="369"/>
      <c r="HB30" s="369"/>
      <c r="HC30" s="369"/>
      <c r="HD30" s="369"/>
      <c r="HE30" s="369"/>
      <c r="HF30" s="369"/>
      <c r="HG30" s="369"/>
      <c r="HH30" s="369"/>
      <c r="HI30" s="369"/>
      <c r="HJ30" s="369"/>
      <c r="HK30" s="369"/>
      <c r="HL30" s="369"/>
      <c r="HM30" s="375"/>
      <c r="HN30" s="369"/>
      <c r="HO30" s="369"/>
      <c r="HP30" s="369"/>
      <c r="HQ30" s="369"/>
      <c r="HR30" s="369"/>
      <c r="HS30" s="369"/>
      <c r="HT30" s="369"/>
      <c r="HU30" s="369"/>
      <c r="HV30" s="369"/>
      <c r="HW30" s="369"/>
      <c r="HX30" s="369"/>
      <c r="HY30" s="378"/>
      <c r="HZ30" s="378"/>
      <c r="IA30" s="378"/>
      <c r="IB30" s="378"/>
      <c r="IC30" s="378">
        <f ca="1">SUMIF('Working-Jan-25'!$C$600:$C$694,GX30,'Working-Jan-25'!$F$600:$F$694)</f>
        <v>14008.5</v>
      </c>
      <c r="ID30" s="378">
        <f ca="1" t="shared" si="5"/>
        <v>0.363429193182521</v>
      </c>
      <c r="IF30" s="371" t="s">
        <v>483</v>
      </c>
      <c r="IG30" s="371"/>
      <c r="IH30" s="369"/>
      <c r="II30" s="369"/>
      <c r="IJ30" s="369"/>
      <c r="IK30" s="369"/>
      <c r="IL30" s="369"/>
      <c r="IM30" s="369"/>
      <c r="IN30" s="369"/>
      <c r="IO30" s="369"/>
      <c r="IP30" s="369"/>
      <c r="IQ30" s="369"/>
      <c r="IR30" s="369"/>
      <c r="IS30" s="369"/>
      <c r="IT30" s="369"/>
      <c r="IU30" s="369"/>
      <c r="IV30" s="369"/>
      <c r="IW30" s="369"/>
      <c r="IX30" s="369"/>
      <c r="IY30" s="369"/>
      <c r="IZ30" s="369"/>
      <c r="JA30" s="369"/>
      <c r="JB30" s="369"/>
      <c r="JC30" s="369"/>
      <c r="JD30" s="369"/>
      <c r="JE30" s="369"/>
      <c r="JF30" s="369"/>
      <c r="JG30" s="369"/>
      <c r="JH30" s="369"/>
      <c r="JI30" s="369"/>
      <c r="JJ30" s="369"/>
      <c r="JK30" s="369"/>
      <c r="JL30" s="369"/>
      <c r="JN30" s="37" t="s">
        <v>554</v>
      </c>
      <c r="JO30" s="37" t="s">
        <v>502</v>
      </c>
      <c r="JP30" s="37"/>
      <c r="JQ30" s="382"/>
      <c r="JR30" s="382"/>
      <c r="JS30" s="382"/>
      <c r="JT30" s="382"/>
      <c r="JU30" s="382"/>
      <c r="JV30" s="382"/>
      <c r="JW30" s="386"/>
      <c r="JX30" s="386"/>
      <c r="JY30" s="386"/>
      <c r="JZ30" s="386"/>
      <c r="KA30" s="386"/>
      <c r="KB30" s="386"/>
      <c r="KC30" s="386"/>
      <c r="KD30" s="386"/>
      <c r="KE30" s="386"/>
      <c r="KF30" s="386">
        <f ca="1">SUMIF('Working-Jan-25'!$C$600:$C$694,JO30,'Working-Jan-25'!$L$600:$L$694)</f>
        <v>36951</v>
      </c>
      <c r="KG30" s="393"/>
      <c r="KH30" s="386"/>
      <c r="KI30" s="386" t="s">
        <v>567</v>
      </c>
      <c r="KJ30" s="386"/>
      <c r="KK30" s="386"/>
      <c r="KL30" s="386"/>
      <c r="KM30" s="386"/>
      <c r="KN30" s="386"/>
      <c r="KO30" s="386"/>
      <c r="KP30" s="386"/>
      <c r="KQ30" s="386"/>
      <c r="KR30" s="386"/>
      <c r="KS30" s="396"/>
      <c r="KT30" s="396"/>
      <c r="KU30" s="396"/>
      <c r="KV30" s="396"/>
      <c r="KW30" s="396"/>
      <c r="KX30" s="396"/>
      <c r="KY30" s="396">
        <f ca="1">SUMIF('Working-Jan-25'!$C$600:$C$694,KI30,'Working-Jan-25'!$I$600:$I$694)</f>
        <v>0</v>
      </c>
    </row>
    <row r="31" spans="2:311">
      <c r="B31" s="279" t="s">
        <v>533</v>
      </c>
      <c r="C31" s="279" t="s">
        <v>493</v>
      </c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303"/>
      <c r="X31" s="303"/>
      <c r="Y31" s="303"/>
      <c r="Z31" s="303"/>
      <c r="AA31" s="303"/>
      <c r="AB31" s="303"/>
      <c r="AC31" s="303"/>
      <c r="AD31" s="303"/>
      <c r="AE31" s="303"/>
      <c r="AF31" s="303"/>
      <c r="AG31" s="303">
        <f ca="1">SUMIF('Working-Jan-25'!$C$600:$C$694,C31,'Working-Jan-25'!$D$600:$D$694)</f>
        <v>0</v>
      </c>
      <c r="AH31" s="303">
        <f ca="1" t="shared" si="2"/>
        <v>0</v>
      </c>
      <c r="AJ31" s="306"/>
      <c r="AK31" s="306" t="s">
        <v>563</v>
      </c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14"/>
      <c r="BB31" s="307"/>
      <c r="BC31" s="307"/>
      <c r="BD31" s="307"/>
      <c r="BE31" s="307"/>
      <c r="BF31" s="307"/>
      <c r="BG31" s="307"/>
      <c r="BH31" s="307"/>
      <c r="BI31" s="307"/>
      <c r="BJ31" s="307"/>
      <c r="BK31" s="307"/>
      <c r="BL31" s="307"/>
      <c r="BM31" s="307"/>
      <c r="BN31" s="307"/>
      <c r="BO31" s="307">
        <f ca="1">SUMIF('Working-Jan-25'!$C$600:$C$694,AK31,'Working-Jan-25'!$H$600:$H$694)</f>
        <v>0</v>
      </c>
      <c r="BP31" s="307">
        <f ca="1">IFERROR(BO31/$BM$3,0)</f>
        <v>0</v>
      </c>
      <c r="BR31" s="315" t="s">
        <v>567</v>
      </c>
      <c r="BS31" s="315"/>
      <c r="BT31" s="316"/>
      <c r="BU31" s="316"/>
      <c r="BV31" s="316"/>
      <c r="BW31" s="316"/>
      <c r="BX31" s="316"/>
      <c r="BY31" s="316"/>
      <c r="BZ31" s="316"/>
      <c r="CA31" s="316"/>
      <c r="CB31" s="316"/>
      <c r="CC31" s="316"/>
      <c r="CD31" s="316"/>
      <c r="CE31" s="316"/>
      <c r="CF31" s="316"/>
      <c r="CG31" s="316"/>
      <c r="CH31" s="316"/>
      <c r="CI31" s="322"/>
      <c r="CJ31" s="316"/>
      <c r="CK31" s="322"/>
      <c r="CL31" s="316"/>
      <c r="CM31" s="322"/>
      <c r="CN31" s="316"/>
      <c r="CO31" s="322"/>
      <c r="CP31" s="316"/>
      <c r="CQ31" s="322"/>
      <c r="CR31" s="316"/>
      <c r="CS31" s="322"/>
      <c r="CT31" s="316"/>
      <c r="CU31" s="322"/>
      <c r="CV31" s="316"/>
      <c r="CW31" s="322">
        <f ca="1">SUMIF('Working-Jan-25'!$C$600:$C$694,BR31,'Working-Jan-25'!$G$600:$G$694)</f>
        <v>0</v>
      </c>
      <c r="CX31" s="316">
        <f ca="1" t="shared" si="11"/>
        <v>0</v>
      </c>
      <c r="CZ31" s="337" t="s">
        <v>566</v>
      </c>
      <c r="DA31" s="337"/>
      <c r="DB31" s="341"/>
      <c r="DC31" s="341"/>
      <c r="DD31" s="341"/>
      <c r="DE31" s="341"/>
      <c r="DF31" s="341"/>
      <c r="DG31" s="341"/>
      <c r="DH31" s="341"/>
      <c r="DI31" s="341"/>
      <c r="DJ31" s="341"/>
      <c r="DK31" s="341"/>
      <c r="DL31" s="341"/>
      <c r="DM31" s="341"/>
      <c r="DN31" s="341"/>
      <c r="DO31" s="341"/>
      <c r="DP31" s="341"/>
      <c r="DQ31" s="341"/>
      <c r="DR31" s="341"/>
      <c r="DS31" s="341"/>
      <c r="DT31" s="341"/>
      <c r="DU31" s="341"/>
      <c r="DV31" s="341"/>
      <c r="DW31" s="341"/>
      <c r="DX31" s="341"/>
      <c r="DY31" s="341"/>
      <c r="DZ31" s="341"/>
      <c r="EA31" s="341"/>
      <c r="EB31" s="341"/>
      <c r="EC31" s="341"/>
      <c r="ED31" s="341"/>
      <c r="EE31" s="341">
        <f ca="1">SUMIF('Working-Jan-25'!$C$600:$C$694,CZ31,'Working-Jan-25'!$K$600:$K$694)</f>
        <v>0</v>
      </c>
      <c r="EF31" s="341">
        <f ca="1" t="shared" si="8"/>
        <v>0</v>
      </c>
      <c r="EH31" s="347"/>
      <c r="EI31" s="347"/>
      <c r="EJ31" s="348"/>
      <c r="EK31" s="348"/>
      <c r="EL31" s="348"/>
      <c r="EM31" s="348"/>
      <c r="EN31" s="348"/>
      <c r="EO31" s="348"/>
      <c r="EP31" s="348"/>
      <c r="EQ31" s="348"/>
      <c r="ER31" s="348"/>
      <c r="ES31" s="348"/>
      <c r="ET31" s="348"/>
      <c r="EU31" s="348"/>
      <c r="EV31" s="348"/>
      <c r="EW31" s="348"/>
      <c r="EX31" s="348"/>
      <c r="EY31" s="348"/>
      <c r="EZ31" s="348"/>
      <c r="FA31" s="348"/>
      <c r="FB31" s="348"/>
      <c r="FC31" s="348"/>
      <c r="FD31" s="348"/>
      <c r="FE31" s="348"/>
      <c r="FF31" s="348"/>
      <c r="FG31" s="348"/>
      <c r="FH31" s="348"/>
      <c r="FI31" s="348"/>
      <c r="FJ31" s="348"/>
      <c r="FK31" s="348"/>
      <c r="FL31" s="355"/>
      <c r="FM31" s="348"/>
      <c r="FN31" s="355">
        <f t="shared" si="12"/>
        <v>0</v>
      </c>
      <c r="FP31" s="358" t="s">
        <v>567</v>
      </c>
      <c r="FQ31" s="358"/>
      <c r="FR31" s="359"/>
      <c r="FS31" s="359"/>
      <c r="FT31" s="359"/>
      <c r="FU31" s="359"/>
      <c r="FV31" s="359"/>
      <c r="FW31" s="359"/>
      <c r="FX31" s="359"/>
      <c r="FY31" s="359"/>
      <c r="FZ31" s="359"/>
      <c r="GA31" s="359"/>
      <c r="GB31" s="359"/>
      <c r="GC31" s="359"/>
      <c r="GD31" s="359"/>
      <c r="GE31" s="359"/>
      <c r="GF31" s="359"/>
      <c r="GG31" s="359"/>
      <c r="GH31" s="365"/>
      <c r="GI31" s="359"/>
      <c r="GJ31" s="365"/>
      <c r="GK31" s="359"/>
      <c r="GL31" s="365"/>
      <c r="GM31" s="359"/>
      <c r="GN31" s="365"/>
      <c r="GO31" s="359"/>
      <c r="GP31" s="365"/>
      <c r="GQ31" s="359"/>
      <c r="GR31" s="365"/>
      <c r="GS31" s="359"/>
      <c r="GT31" s="365"/>
      <c r="GU31" s="359">
        <f ca="1">SUMIF('Working-Jan-25'!$C$600:$C$694,FP31,'Working-Jan-25'!$R$600:$R$694)</f>
        <v>0</v>
      </c>
      <c r="GV31" s="365">
        <f ca="1" t="shared" si="10"/>
        <v>0</v>
      </c>
      <c r="GX31" s="368" t="s">
        <v>517</v>
      </c>
      <c r="GY31" s="370"/>
      <c r="GZ31" s="369"/>
      <c r="HA31" s="369"/>
      <c r="HB31" s="369"/>
      <c r="HC31" s="369"/>
      <c r="HD31" s="369"/>
      <c r="HE31" s="369"/>
      <c r="HF31" s="369"/>
      <c r="HG31" s="369"/>
      <c r="HH31" s="369"/>
      <c r="HI31" s="369"/>
      <c r="HJ31" s="369"/>
      <c r="HK31" s="369"/>
      <c r="HL31" s="369"/>
      <c r="HM31" s="375"/>
      <c r="HN31" s="369"/>
      <c r="HO31" s="369"/>
      <c r="HP31" s="369"/>
      <c r="HQ31" s="369"/>
      <c r="HR31" s="369"/>
      <c r="HS31" s="369"/>
      <c r="HT31" s="369"/>
      <c r="HU31" s="369"/>
      <c r="HV31" s="369"/>
      <c r="HW31" s="369"/>
      <c r="HX31" s="369"/>
      <c r="HY31" s="375"/>
      <c r="HZ31" s="375"/>
      <c r="IA31" s="378"/>
      <c r="IB31" s="375"/>
      <c r="IC31" s="378">
        <f ca="1">SUMIF('Working-Jan-25'!$C$600:$C$694,GX31,'Working-Jan-25'!$F$600:$F$694)</f>
        <v>20000</v>
      </c>
      <c r="ID31" s="378">
        <f ca="1" t="shared" si="5"/>
        <v>0.518869533758106</v>
      </c>
      <c r="IF31" s="368" t="s">
        <v>568</v>
      </c>
      <c r="IG31" s="368"/>
      <c r="IH31" s="369"/>
      <c r="II31" s="369"/>
      <c r="IJ31" s="369"/>
      <c r="IK31" s="369"/>
      <c r="IL31" s="369"/>
      <c r="IM31" s="369"/>
      <c r="IN31" s="369"/>
      <c r="IO31" s="369"/>
      <c r="IP31" s="369"/>
      <c r="IQ31" s="369"/>
      <c r="IR31" s="369"/>
      <c r="IS31" s="369"/>
      <c r="IT31" s="369"/>
      <c r="IU31" s="369"/>
      <c r="IV31" s="369"/>
      <c r="IW31" s="369"/>
      <c r="IX31" s="369"/>
      <c r="IY31" s="369"/>
      <c r="IZ31" s="369"/>
      <c r="JA31" s="369"/>
      <c r="JB31" s="369"/>
      <c r="JC31" s="369"/>
      <c r="JD31" s="369"/>
      <c r="JE31" s="369"/>
      <c r="JF31" s="369"/>
      <c r="JG31" s="369"/>
      <c r="JH31" s="369"/>
      <c r="JI31" s="369"/>
      <c r="JJ31" s="369"/>
      <c r="JK31" s="369">
        <f>VLOOKUP(IF31,'Working-Jan-25'!$C$5:$M$586,11,0)</f>
        <v>0</v>
      </c>
      <c r="JL31" s="369">
        <f t="shared" ref="JL31:JL45" si="13">IFERROR(JK31/$JI$3,0)</f>
        <v>0</v>
      </c>
      <c r="JN31" s="37" t="s">
        <v>558</v>
      </c>
      <c r="JO31" s="37" t="s">
        <v>569</v>
      </c>
      <c r="JP31" s="37"/>
      <c r="JQ31" s="382"/>
      <c r="JR31" s="382"/>
      <c r="JS31" s="382"/>
      <c r="JT31" s="382"/>
      <c r="JU31" s="382"/>
      <c r="JV31" s="382"/>
      <c r="JW31" s="386"/>
      <c r="JX31" s="386"/>
      <c r="JY31" s="386"/>
      <c r="JZ31" s="386"/>
      <c r="KA31" s="386"/>
      <c r="KB31" s="386"/>
      <c r="KC31" s="386"/>
      <c r="KD31" s="386"/>
      <c r="KE31" s="386"/>
      <c r="KF31" s="386">
        <f ca="1">SUMIF('Working-Jan-25'!$C$600:$C$694,JO31,'Working-Jan-25'!$L$600:$L$694)</f>
        <v>465002</v>
      </c>
      <c r="KG31" s="393"/>
      <c r="KH31" s="386"/>
      <c r="KI31" s="386" t="s">
        <v>138</v>
      </c>
      <c r="KJ31" s="386"/>
      <c r="KK31" s="386"/>
      <c r="KL31" s="386"/>
      <c r="KM31" s="386"/>
      <c r="KN31" s="386"/>
      <c r="KO31" s="386"/>
      <c r="KP31" s="386"/>
      <c r="KQ31" s="386"/>
      <c r="KR31" s="386"/>
      <c r="KS31" s="396"/>
      <c r="KT31" s="396"/>
      <c r="KU31" s="396"/>
      <c r="KV31" s="396"/>
      <c r="KW31" s="396"/>
      <c r="KX31" s="396"/>
      <c r="KY31" s="396">
        <f ca="1">SUMIF('Working-Jan-25'!$C$600:$C$694,KI31,'Working-Jan-25'!$I$600:$I$694)</f>
        <v>0</v>
      </c>
    </row>
    <row r="32" spans="2:311">
      <c r="B32" s="279" t="s">
        <v>538</v>
      </c>
      <c r="C32" s="279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303"/>
      <c r="X32" s="303"/>
      <c r="Y32" s="303"/>
      <c r="Z32" s="303"/>
      <c r="AA32" s="303"/>
      <c r="AB32" s="303"/>
      <c r="AC32" s="303"/>
      <c r="AD32" s="303"/>
      <c r="AE32" s="303"/>
      <c r="AF32" s="303"/>
      <c r="AG32" s="303"/>
      <c r="AH32" s="303">
        <f t="shared" si="2"/>
        <v>0</v>
      </c>
      <c r="AJ32" s="306"/>
      <c r="AK32" s="306" t="s">
        <v>493</v>
      </c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  <c r="BI32" s="307"/>
      <c r="BJ32" s="307"/>
      <c r="BK32" s="307"/>
      <c r="BL32" s="307"/>
      <c r="BM32" s="307"/>
      <c r="BN32" s="307"/>
      <c r="BO32" s="307">
        <f ca="1">SUMIF('Working-Jan-25'!$C$600:$C$694,AK32,'Working-Jan-25'!$H$600:$H$694)</f>
        <v>0</v>
      </c>
      <c r="BP32" s="307">
        <f ca="1">IFERROR(BO32/$BM$3,0)</f>
        <v>0</v>
      </c>
      <c r="BR32" s="315" t="s">
        <v>570</v>
      </c>
      <c r="BS32" s="315"/>
      <c r="BT32" s="316"/>
      <c r="BU32" s="316"/>
      <c r="BV32" s="316"/>
      <c r="BW32" s="316"/>
      <c r="BX32" s="316"/>
      <c r="BY32" s="316"/>
      <c r="BZ32" s="316"/>
      <c r="CA32" s="316"/>
      <c r="CB32" s="316"/>
      <c r="CC32" s="316"/>
      <c r="CD32" s="316"/>
      <c r="CE32" s="316"/>
      <c r="CF32" s="316"/>
      <c r="CG32" s="316"/>
      <c r="CH32" s="316"/>
      <c r="CI32" s="316"/>
      <c r="CJ32" s="316"/>
      <c r="CK32" s="316"/>
      <c r="CL32" s="316"/>
      <c r="CM32" s="322"/>
      <c r="CN32" s="316"/>
      <c r="CO32" s="322"/>
      <c r="CP32" s="316"/>
      <c r="CQ32" s="322"/>
      <c r="CR32" s="316"/>
      <c r="CS32" s="322"/>
      <c r="CT32" s="316"/>
      <c r="CU32" s="322"/>
      <c r="CV32" s="316"/>
      <c r="CW32" s="322">
        <f ca="1">SUMIF('Working-Jan-25'!$C$600:$C$694,BR32,'Working-Jan-25'!$G$600:$G$694)</f>
        <v>0</v>
      </c>
      <c r="CX32" s="316">
        <f ca="1" t="shared" si="11"/>
        <v>0</v>
      </c>
      <c r="CZ32" s="337" t="s">
        <v>567</v>
      </c>
      <c r="DA32" s="337"/>
      <c r="DB32" s="341"/>
      <c r="DC32" s="341"/>
      <c r="DD32" s="341"/>
      <c r="DE32" s="341"/>
      <c r="DF32" s="341"/>
      <c r="DG32" s="341"/>
      <c r="DH32" s="341"/>
      <c r="DI32" s="341"/>
      <c r="DJ32" s="341"/>
      <c r="DK32" s="341"/>
      <c r="DL32" s="341"/>
      <c r="DM32" s="341"/>
      <c r="DN32" s="341"/>
      <c r="DO32" s="341"/>
      <c r="DP32" s="341"/>
      <c r="DQ32" s="341"/>
      <c r="DR32" s="341"/>
      <c r="DS32" s="341"/>
      <c r="DT32" s="341"/>
      <c r="DU32" s="341"/>
      <c r="DV32" s="341"/>
      <c r="DW32" s="341"/>
      <c r="DX32" s="341"/>
      <c r="DY32" s="341"/>
      <c r="DZ32" s="341"/>
      <c r="EA32" s="341"/>
      <c r="EB32" s="341"/>
      <c r="EC32" s="341"/>
      <c r="ED32" s="341"/>
      <c r="EE32" s="341">
        <f ca="1">SUMIF('Working-Jan-25'!$C$600:$C$694,CZ32,'Working-Jan-25'!$K$600:$K$694)</f>
        <v>0</v>
      </c>
      <c r="EF32" s="341">
        <f ca="1" t="shared" si="8"/>
        <v>0</v>
      </c>
      <c r="EH32" s="347"/>
      <c r="EI32" s="347"/>
      <c r="EJ32" s="348"/>
      <c r="EK32" s="348"/>
      <c r="EL32" s="348"/>
      <c r="EM32" s="348"/>
      <c r="EN32" s="348"/>
      <c r="EO32" s="348"/>
      <c r="EP32" s="348"/>
      <c r="EQ32" s="348"/>
      <c r="ER32" s="348"/>
      <c r="ES32" s="348"/>
      <c r="ET32" s="348"/>
      <c r="EU32" s="348"/>
      <c r="EV32" s="348"/>
      <c r="EW32" s="348"/>
      <c r="EX32" s="348"/>
      <c r="EY32" s="348"/>
      <c r="EZ32" s="348"/>
      <c r="FA32" s="348"/>
      <c r="FB32" s="348"/>
      <c r="FC32" s="348"/>
      <c r="FD32" s="348"/>
      <c r="FE32" s="348"/>
      <c r="FF32" s="348"/>
      <c r="FG32" s="348"/>
      <c r="FH32" s="348"/>
      <c r="FI32" s="348"/>
      <c r="FJ32" s="348"/>
      <c r="FK32" s="348"/>
      <c r="FL32" s="355"/>
      <c r="FM32" s="348"/>
      <c r="FN32" s="355">
        <f t="shared" si="12"/>
        <v>0</v>
      </c>
      <c r="FP32" s="358" t="s">
        <v>570</v>
      </c>
      <c r="FQ32" s="358"/>
      <c r="FR32" s="359"/>
      <c r="FS32" s="359"/>
      <c r="FT32" s="359"/>
      <c r="FU32" s="359"/>
      <c r="FV32" s="359"/>
      <c r="FW32" s="359"/>
      <c r="FX32" s="359"/>
      <c r="FY32" s="359"/>
      <c r="FZ32" s="359"/>
      <c r="GA32" s="359"/>
      <c r="GB32" s="359"/>
      <c r="GC32" s="359"/>
      <c r="GD32" s="359"/>
      <c r="GE32" s="359"/>
      <c r="GF32" s="359"/>
      <c r="GG32" s="359"/>
      <c r="GH32" s="365"/>
      <c r="GI32" s="359"/>
      <c r="GJ32" s="365"/>
      <c r="GK32" s="359"/>
      <c r="GL32" s="365"/>
      <c r="GM32" s="359"/>
      <c r="GN32" s="365"/>
      <c r="GO32" s="359"/>
      <c r="GP32" s="365"/>
      <c r="GQ32" s="359"/>
      <c r="GR32" s="365"/>
      <c r="GS32" s="359"/>
      <c r="GT32" s="365"/>
      <c r="GU32" s="359">
        <f ca="1">SUMIF('Working-Jan-25'!$C$600:$C$694,FP32,'Working-Jan-25'!$R$600:$R$694)</f>
        <v>0</v>
      </c>
      <c r="GV32" s="365">
        <f ca="1" t="shared" si="10"/>
        <v>0</v>
      </c>
      <c r="GX32" s="368" t="s">
        <v>571</v>
      </c>
      <c r="GY32" s="368"/>
      <c r="GZ32" s="369"/>
      <c r="HA32" s="369"/>
      <c r="HB32" s="369"/>
      <c r="HC32" s="369"/>
      <c r="HD32" s="369"/>
      <c r="HE32" s="369"/>
      <c r="HF32" s="369"/>
      <c r="HG32" s="369"/>
      <c r="HH32" s="369"/>
      <c r="HI32" s="369"/>
      <c r="HJ32" s="369"/>
      <c r="HK32" s="369"/>
      <c r="HL32" s="369"/>
      <c r="HM32" s="375"/>
      <c r="HN32" s="369"/>
      <c r="HO32" s="369"/>
      <c r="HP32" s="369"/>
      <c r="HQ32" s="369"/>
      <c r="HR32" s="369"/>
      <c r="HS32" s="369"/>
      <c r="HT32" s="369"/>
      <c r="HU32" s="376"/>
      <c r="HV32" s="376"/>
      <c r="HW32" s="369"/>
      <c r="HX32" s="369"/>
      <c r="HY32" s="378"/>
      <c r="HZ32" s="378"/>
      <c r="IA32" s="378"/>
      <c r="IB32" s="378"/>
      <c r="IC32" s="378">
        <f ca="1">SUMIF('Working-Jan-25'!$C$600:$C$694,GX32,'Working-Jan-25'!$F$600:$F$694)</f>
        <v>147256.58</v>
      </c>
      <c r="ID32" s="378">
        <f ca="1" t="shared" si="5"/>
        <v>3.82034765037066</v>
      </c>
      <c r="IF32" s="368" t="s">
        <v>572</v>
      </c>
      <c r="IG32" s="368"/>
      <c r="IH32" s="369"/>
      <c r="II32" s="369"/>
      <c r="IJ32" s="369"/>
      <c r="IK32" s="369"/>
      <c r="IL32" s="369"/>
      <c r="IM32" s="369"/>
      <c r="IN32" s="369"/>
      <c r="IO32" s="369"/>
      <c r="IP32" s="369"/>
      <c r="IQ32" s="369"/>
      <c r="IR32" s="369"/>
      <c r="IS32" s="369"/>
      <c r="IT32" s="369"/>
      <c r="IU32" s="369"/>
      <c r="IV32" s="369"/>
      <c r="IW32" s="369"/>
      <c r="IX32" s="369"/>
      <c r="IY32" s="369"/>
      <c r="IZ32" s="369"/>
      <c r="JA32" s="369"/>
      <c r="JB32" s="369"/>
      <c r="JC32" s="369"/>
      <c r="JD32" s="369"/>
      <c r="JE32" s="369"/>
      <c r="JF32" s="369"/>
      <c r="JG32" s="369"/>
      <c r="JH32" s="369"/>
      <c r="JI32" s="369"/>
      <c r="JJ32" s="369"/>
      <c r="JK32" s="369">
        <f>VLOOKUP(IF32,'Working-Jan-25'!$C$5:$M$586,11,0)</f>
        <v>0</v>
      </c>
      <c r="JL32" s="369">
        <f t="shared" si="13"/>
        <v>0</v>
      </c>
      <c r="JN32" s="37" t="s">
        <v>573</v>
      </c>
      <c r="JO32" s="37" t="s">
        <v>574</v>
      </c>
      <c r="JP32" s="37"/>
      <c r="JQ32" s="382"/>
      <c r="JR32" s="382"/>
      <c r="JS32" s="382"/>
      <c r="JT32" s="382"/>
      <c r="JU32" s="382"/>
      <c r="JV32" s="382"/>
      <c r="JW32" s="386"/>
      <c r="JX32" s="386"/>
      <c r="JY32" s="386"/>
      <c r="JZ32" s="386"/>
      <c r="KA32" s="386"/>
      <c r="KB32" s="386"/>
      <c r="KC32" s="386"/>
      <c r="KD32" s="386"/>
      <c r="KE32" s="386"/>
      <c r="KF32" s="386">
        <f ca="1">SUMIF('Working-Jan-25'!$C$600:$C$694,JO32,'Working-Jan-25'!$L$600:$L$694)</f>
        <v>26331.25</v>
      </c>
      <c r="KG32" s="393"/>
      <c r="KH32" s="386"/>
      <c r="KI32" s="386" t="s">
        <v>575</v>
      </c>
      <c r="KJ32" s="386"/>
      <c r="KK32" s="386"/>
      <c r="KL32" s="386"/>
      <c r="KM32" s="386"/>
      <c r="KN32" s="386"/>
      <c r="KO32" s="386"/>
      <c r="KP32" s="386"/>
      <c r="KQ32" s="386"/>
      <c r="KR32" s="386"/>
      <c r="KS32" s="396"/>
      <c r="KT32" s="396"/>
      <c r="KU32" s="396"/>
      <c r="KV32" s="396"/>
      <c r="KW32" s="396"/>
      <c r="KX32" s="396"/>
      <c r="KY32" s="396">
        <f ca="1">SUMIF('Working-Jan-25'!$C$600:$C$694,KI32,'Working-Jan-25'!$I$600:$I$694)</f>
        <v>0</v>
      </c>
    </row>
    <row r="33" spans="2:311">
      <c r="B33" s="279" t="s">
        <v>548</v>
      </c>
      <c r="C33" s="293" t="s">
        <v>563</v>
      </c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303"/>
      <c r="X33" s="303"/>
      <c r="Y33" s="303"/>
      <c r="Z33" s="303"/>
      <c r="AA33" s="303"/>
      <c r="AB33" s="303"/>
      <c r="AC33" s="303"/>
      <c r="AD33" s="303"/>
      <c r="AE33" s="303"/>
      <c r="AF33" s="303"/>
      <c r="AG33" s="303"/>
      <c r="AH33" s="303">
        <f t="shared" si="2"/>
        <v>0</v>
      </c>
      <c r="AJ33" s="306"/>
      <c r="AK33" s="306" t="s">
        <v>556</v>
      </c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  <c r="BI33" s="307"/>
      <c r="BJ33" s="307"/>
      <c r="BK33" s="307"/>
      <c r="BL33" s="307"/>
      <c r="BM33" s="307"/>
      <c r="BN33" s="307"/>
      <c r="BO33" s="307">
        <f ca="1">SUMIF('Working-Jan-25'!$C$600:$C$694,AK33,'Working-Jan-25'!$H$600:$H$694)</f>
        <v>0</v>
      </c>
      <c r="BP33" s="307">
        <f ca="1">IFERROR(BO33/$BM$3,0)</f>
        <v>0</v>
      </c>
      <c r="BR33" s="315"/>
      <c r="BS33" s="315"/>
      <c r="BT33" s="316"/>
      <c r="BU33" s="316"/>
      <c r="BV33" s="316"/>
      <c r="BW33" s="316"/>
      <c r="BX33" s="316"/>
      <c r="BY33" s="316"/>
      <c r="BZ33" s="316"/>
      <c r="CA33" s="316"/>
      <c r="CB33" s="316"/>
      <c r="CC33" s="316"/>
      <c r="CD33" s="316"/>
      <c r="CE33" s="316"/>
      <c r="CF33" s="316"/>
      <c r="CG33" s="316"/>
      <c r="CH33" s="316"/>
      <c r="CI33" s="316"/>
      <c r="CJ33" s="316"/>
      <c r="CK33" s="316"/>
      <c r="CL33" s="316"/>
      <c r="CM33" s="316"/>
      <c r="CN33" s="316"/>
      <c r="CO33" s="316"/>
      <c r="CP33" s="316"/>
      <c r="CQ33" s="316"/>
      <c r="CR33" s="316"/>
      <c r="CS33" s="316"/>
      <c r="CT33" s="316"/>
      <c r="CU33" s="316"/>
      <c r="CV33" s="316"/>
      <c r="CW33" s="316"/>
      <c r="CX33" s="316"/>
      <c r="CZ33" s="337"/>
      <c r="DA33" s="337"/>
      <c r="DB33" s="341"/>
      <c r="DC33" s="341"/>
      <c r="DD33" s="341"/>
      <c r="DE33" s="341"/>
      <c r="DF33" s="341"/>
      <c r="DG33" s="341"/>
      <c r="DH33" s="341"/>
      <c r="DI33" s="341"/>
      <c r="DJ33" s="341"/>
      <c r="DK33" s="341"/>
      <c r="DL33" s="341"/>
      <c r="DM33" s="341"/>
      <c r="DN33" s="341"/>
      <c r="DO33" s="341"/>
      <c r="DP33" s="341"/>
      <c r="DQ33" s="341"/>
      <c r="DR33" s="341"/>
      <c r="DS33" s="341"/>
      <c r="DT33" s="341"/>
      <c r="DU33" s="341"/>
      <c r="DV33" s="341"/>
      <c r="DW33" s="341"/>
      <c r="DX33" s="341"/>
      <c r="DY33" s="341"/>
      <c r="DZ33" s="341"/>
      <c r="EA33" s="341"/>
      <c r="EB33" s="341"/>
      <c r="EC33" s="341"/>
      <c r="ED33" s="341"/>
      <c r="EE33" s="341"/>
      <c r="EF33" s="341">
        <f t="shared" si="8"/>
        <v>0</v>
      </c>
      <c r="EH33" s="347"/>
      <c r="EI33" s="347"/>
      <c r="EJ33" s="348"/>
      <c r="EK33" s="348"/>
      <c r="EL33" s="348"/>
      <c r="EM33" s="348"/>
      <c r="EN33" s="348"/>
      <c r="EO33" s="348"/>
      <c r="EP33" s="348"/>
      <c r="EQ33" s="348"/>
      <c r="ER33" s="348"/>
      <c r="ES33" s="348"/>
      <c r="ET33" s="348"/>
      <c r="EU33" s="348"/>
      <c r="EV33" s="348"/>
      <c r="EW33" s="348"/>
      <c r="EX33" s="348"/>
      <c r="EY33" s="348"/>
      <c r="EZ33" s="348"/>
      <c r="FA33" s="348"/>
      <c r="FB33" s="348"/>
      <c r="FC33" s="348"/>
      <c r="FD33" s="348"/>
      <c r="FE33" s="348"/>
      <c r="FF33" s="348"/>
      <c r="FG33" s="348"/>
      <c r="FH33" s="348"/>
      <c r="FI33" s="348"/>
      <c r="FJ33" s="348"/>
      <c r="FK33" s="348"/>
      <c r="FL33" s="355"/>
      <c r="FM33" s="348"/>
      <c r="FN33" s="355">
        <f t="shared" si="12"/>
        <v>0</v>
      </c>
      <c r="FP33" s="358"/>
      <c r="FQ33" s="358"/>
      <c r="FR33" s="359"/>
      <c r="FS33" s="359"/>
      <c r="FT33" s="359"/>
      <c r="FU33" s="359"/>
      <c r="FV33" s="359"/>
      <c r="FW33" s="359"/>
      <c r="FX33" s="359"/>
      <c r="FY33" s="359"/>
      <c r="FZ33" s="359"/>
      <c r="GA33" s="359"/>
      <c r="GB33" s="359"/>
      <c r="GC33" s="359"/>
      <c r="GD33" s="359"/>
      <c r="GE33" s="359"/>
      <c r="GF33" s="359"/>
      <c r="GG33" s="359"/>
      <c r="GH33" s="365"/>
      <c r="GI33" s="359"/>
      <c r="GJ33" s="365"/>
      <c r="GK33" s="359"/>
      <c r="GL33" s="365"/>
      <c r="GM33" s="359"/>
      <c r="GN33" s="365"/>
      <c r="GO33" s="359"/>
      <c r="GP33" s="365"/>
      <c r="GQ33" s="359"/>
      <c r="GR33" s="365"/>
      <c r="GS33" s="359"/>
      <c r="GT33" s="365"/>
      <c r="GU33" s="359">
        <f ca="1">SUMIF('Working-Jan-25'!$C$600:$C$694,FP33,'Working-Jan-25'!$R$600:$R$694)</f>
        <v>0</v>
      </c>
      <c r="GV33" s="365">
        <f ca="1" t="shared" si="10"/>
        <v>0</v>
      </c>
      <c r="GX33" s="368" t="s">
        <v>477</v>
      </c>
      <c r="GY33" s="370"/>
      <c r="GZ33" s="369"/>
      <c r="HA33" s="369"/>
      <c r="HB33" s="369"/>
      <c r="HC33" s="369"/>
      <c r="HD33" s="369"/>
      <c r="HE33" s="369"/>
      <c r="HF33" s="369"/>
      <c r="HG33" s="369"/>
      <c r="HH33" s="369"/>
      <c r="HI33" s="369"/>
      <c r="HJ33" s="369"/>
      <c r="HK33" s="369"/>
      <c r="HL33" s="369"/>
      <c r="HM33" s="375"/>
      <c r="HN33" s="369"/>
      <c r="HO33" s="369"/>
      <c r="HP33" s="369"/>
      <c r="HQ33" s="369"/>
      <c r="HR33" s="369"/>
      <c r="HS33" s="369"/>
      <c r="HT33" s="369"/>
      <c r="HU33" s="369"/>
      <c r="HV33" s="369"/>
      <c r="HW33" s="369"/>
      <c r="HX33" s="369"/>
      <c r="HY33" s="375"/>
      <c r="HZ33" s="375"/>
      <c r="IA33" s="375"/>
      <c r="IB33" s="375"/>
      <c r="IC33" s="378">
        <f ca="1">SUMIF('Working-Jan-25'!$C$600:$C$694,GX33,'Working-Jan-25'!$F$600:$F$694)</f>
        <v>0</v>
      </c>
      <c r="ID33" s="378">
        <f ca="1" t="shared" si="5"/>
        <v>0</v>
      </c>
      <c r="IF33" s="368" t="s">
        <v>576</v>
      </c>
      <c r="IG33" s="368"/>
      <c r="IH33" s="369"/>
      <c r="II33" s="369"/>
      <c r="IJ33" s="369"/>
      <c r="IK33" s="369"/>
      <c r="IL33" s="369"/>
      <c r="IM33" s="369"/>
      <c r="IN33" s="369"/>
      <c r="IO33" s="369"/>
      <c r="IP33" s="369"/>
      <c r="IQ33" s="369"/>
      <c r="IR33" s="369"/>
      <c r="IS33" s="369"/>
      <c r="IT33" s="369"/>
      <c r="IU33" s="369"/>
      <c r="IV33" s="369"/>
      <c r="IW33" s="369"/>
      <c r="IX33" s="369"/>
      <c r="IY33" s="369"/>
      <c r="IZ33" s="369"/>
      <c r="JA33" s="369"/>
      <c r="JB33" s="369"/>
      <c r="JC33" s="369"/>
      <c r="JD33" s="369"/>
      <c r="JE33" s="369"/>
      <c r="JF33" s="369"/>
      <c r="JG33" s="369"/>
      <c r="JH33" s="369"/>
      <c r="JI33" s="369"/>
      <c r="JJ33" s="369"/>
      <c r="JK33" s="369">
        <f>VLOOKUP(IF33,'Working-Jan-25'!$C$5:$M$586,11,0)</f>
        <v>-0.979999999981374</v>
      </c>
      <c r="JL33" s="369">
        <f t="shared" si="13"/>
        <v>0</v>
      </c>
      <c r="JN33" s="37" t="s">
        <v>538</v>
      </c>
      <c r="JO33" s="37" t="s">
        <v>577</v>
      </c>
      <c r="JP33" s="37"/>
      <c r="JQ33" s="382"/>
      <c r="JR33" s="382"/>
      <c r="JS33" s="382"/>
      <c r="JT33" s="382"/>
      <c r="JU33" s="382"/>
      <c r="JV33" s="382"/>
      <c r="JW33" s="386"/>
      <c r="JX33" s="386"/>
      <c r="JY33" s="386"/>
      <c r="JZ33" s="386"/>
      <c r="KA33" s="386"/>
      <c r="KB33" s="386"/>
      <c r="KC33" s="385"/>
      <c r="KD33" s="386"/>
      <c r="KE33" s="386"/>
      <c r="KF33" s="386">
        <f ca="1">SUMIF('Working-Jan-25'!$C$600:$C$694,JO33,'Working-Jan-25'!$L$600:$L$694)</f>
        <v>9588</v>
      </c>
      <c r="KG33" s="393"/>
      <c r="KH33" s="386"/>
      <c r="KI33" s="386" t="s">
        <v>488</v>
      </c>
      <c r="KJ33" s="386"/>
      <c r="KK33" s="386"/>
      <c r="KL33" s="386"/>
      <c r="KM33" s="386"/>
      <c r="KN33" s="386"/>
      <c r="KO33" s="386"/>
      <c r="KP33" s="386"/>
      <c r="KQ33" s="386"/>
      <c r="KR33" s="386"/>
      <c r="KS33" s="396"/>
      <c r="KT33" s="396"/>
      <c r="KU33" s="396"/>
      <c r="KV33" s="396"/>
      <c r="KW33" s="396"/>
      <c r="KX33" s="396"/>
      <c r="KY33" s="396">
        <f ca="1">SUMIF('Working-Jan-25'!$C$600:$C$694,KI33,'Working-Jan-25'!$I$600:$I$694)</f>
        <v>0</v>
      </c>
    </row>
    <row r="34" spans="2:311">
      <c r="B34" s="279" t="s">
        <v>519</v>
      </c>
      <c r="C34" s="279" t="s">
        <v>556</v>
      </c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301"/>
      <c r="V34" s="301"/>
      <c r="W34" s="303"/>
      <c r="X34" s="303"/>
      <c r="Y34" s="303"/>
      <c r="Z34" s="303"/>
      <c r="AA34" s="303"/>
      <c r="AB34" s="303"/>
      <c r="AC34" s="303"/>
      <c r="AD34" s="303"/>
      <c r="AE34" s="303"/>
      <c r="AF34" s="303"/>
      <c r="AG34" s="303">
        <f ca="1">SUMIF('Working-Jan-25'!$C$600:$C$694,C34,'Working-Jan-25'!$D$600:$D$694)</f>
        <v>0</v>
      </c>
      <c r="AH34" s="303">
        <f ca="1" t="shared" si="2"/>
        <v>0</v>
      </c>
      <c r="AJ34" s="306"/>
      <c r="AK34" s="306" t="s">
        <v>560</v>
      </c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  <c r="BI34" s="307"/>
      <c r="BJ34" s="307"/>
      <c r="BK34" s="307"/>
      <c r="BL34" s="307"/>
      <c r="BM34" s="307"/>
      <c r="BN34" s="307"/>
      <c r="BO34" s="307">
        <f ca="1">SUMIF('Working-Jan-25'!$C$600:$C$694,AK34,'Working-Jan-25'!$H$600:$H$694)</f>
        <v>0</v>
      </c>
      <c r="BP34" s="307">
        <f ca="1">IFERROR(BO34/$BM$3,0)</f>
        <v>0</v>
      </c>
      <c r="BR34" s="315"/>
      <c r="BS34" s="315"/>
      <c r="BT34" s="316"/>
      <c r="BU34" s="316"/>
      <c r="BV34" s="316"/>
      <c r="BW34" s="316"/>
      <c r="BX34" s="316"/>
      <c r="BY34" s="316"/>
      <c r="BZ34" s="316"/>
      <c r="CA34" s="316"/>
      <c r="CB34" s="316"/>
      <c r="CC34" s="316"/>
      <c r="CD34" s="316"/>
      <c r="CE34" s="316"/>
      <c r="CF34" s="316"/>
      <c r="CG34" s="316"/>
      <c r="CH34" s="316"/>
      <c r="CI34" s="316"/>
      <c r="CJ34" s="316"/>
      <c r="CK34" s="316"/>
      <c r="CL34" s="316"/>
      <c r="CM34" s="316"/>
      <c r="CN34" s="316"/>
      <c r="CO34" s="316"/>
      <c r="CP34" s="316"/>
      <c r="CQ34" s="316"/>
      <c r="CR34" s="316"/>
      <c r="CS34" s="316"/>
      <c r="CT34" s="316"/>
      <c r="CU34" s="316"/>
      <c r="CV34" s="316"/>
      <c r="CW34" s="316"/>
      <c r="CX34" s="316"/>
      <c r="CZ34" s="337"/>
      <c r="DA34" s="337"/>
      <c r="DB34" s="341"/>
      <c r="DC34" s="341"/>
      <c r="DD34" s="341"/>
      <c r="DE34" s="341"/>
      <c r="DF34" s="341"/>
      <c r="DG34" s="341"/>
      <c r="DH34" s="341"/>
      <c r="DI34" s="341"/>
      <c r="DJ34" s="341"/>
      <c r="DK34" s="341"/>
      <c r="DL34" s="341"/>
      <c r="DM34" s="341"/>
      <c r="DN34" s="341"/>
      <c r="DO34" s="341"/>
      <c r="DP34" s="341"/>
      <c r="DQ34" s="341"/>
      <c r="DR34" s="341"/>
      <c r="DS34" s="341"/>
      <c r="DT34" s="341"/>
      <c r="DU34" s="341"/>
      <c r="DV34" s="341"/>
      <c r="DW34" s="341"/>
      <c r="DX34" s="341"/>
      <c r="DY34" s="341"/>
      <c r="DZ34" s="341"/>
      <c r="EA34" s="341"/>
      <c r="EB34" s="341"/>
      <c r="EC34" s="341"/>
      <c r="ED34" s="341"/>
      <c r="EE34" s="341"/>
      <c r="EF34" s="341">
        <f t="shared" si="8"/>
        <v>0</v>
      </c>
      <c r="EH34" s="347"/>
      <c r="EI34" s="347"/>
      <c r="EJ34" s="348"/>
      <c r="EK34" s="348"/>
      <c r="EL34" s="348"/>
      <c r="EM34" s="348"/>
      <c r="EN34" s="348"/>
      <c r="EO34" s="348"/>
      <c r="EP34" s="348"/>
      <c r="EQ34" s="348"/>
      <c r="ER34" s="348"/>
      <c r="ES34" s="348"/>
      <c r="ET34" s="348"/>
      <c r="EU34" s="348"/>
      <c r="EV34" s="348"/>
      <c r="EW34" s="348"/>
      <c r="EX34" s="348"/>
      <c r="EY34" s="348"/>
      <c r="EZ34" s="348"/>
      <c r="FA34" s="348"/>
      <c r="FB34" s="348"/>
      <c r="FC34" s="348"/>
      <c r="FD34" s="348"/>
      <c r="FE34" s="348"/>
      <c r="FF34" s="348"/>
      <c r="FG34" s="348"/>
      <c r="FH34" s="348"/>
      <c r="FI34" s="348"/>
      <c r="FJ34" s="348"/>
      <c r="FK34" s="348"/>
      <c r="FL34" s="355"/>
      <c r="FM34" s="348"/>
      <c r="FN34" s="355">
        <f t="shared" si="12"/>
        <v>0</v>
      </c>
      <c r="FP34" s="358"/>
      <c r="FQ34" s="358"/>
      <c r="FR34" s="359"/>
      <c r="FS34" s="359"/>
      <c r="FT34" s="359"/>
      <c r="FU34" s="359"/>
      <c r="FV34" s="359"/>
      <c r="FW34" s="359"/>
      <c r="FX34" s="359"/>
      <c r="FY34" s="359"/>
      <c r="FZ34" s="359"/>
      <c r="GA34" s="359"/>
      <c r="GB34" s="359"/>
      <c r="GC34" s="359"/>
      <c r="GD34" s="359"/>
      <c r="GE34" s="359"/>
      <c r="GF34" s="359"/>
      <c r="GG34" s="359"/>
      <c r="GH34" s="365"/>
      <c r="GI34" s="359"/>
      <c r="GJ34" s="365"/>
      <c r="GK34" s="359"/>
      <c r="GL34" s="365"/>
      <c r="GM34" s="359"/>
      <c r="GN34" s="365"/>
      <c r="GO34" s="359"/>
      <c r="GP34" s="365"/>
      <c r="GQ34" s="359"/>
      <c r="GR34" s="365"/>
      <c r="GS34" s="359"/>
      <c r="GT34" s="365"/>
      <c r="GU34" s="359"/>
      <c r="GV34" s="365">
        <f t="shared" si="10"/>
        <v>0</v>
      </c>
      <c r="GW34" s="363" t="s">
        <v>485</v>
      </c>
      <c r="GX34" s="368" t="s">
        <v>534</v>
      </c>
      <c r="GY34" s="368"/>
      <c r="GZ34" s="369"/>
      <c r="HA34" s="369"/>
      <c r="HB34" s="369"/>
      <c r="HC34" s="369"/>
      <c r="HD34" s="369"/>
      <c r="HE34" s="369"/>
      <c r="HF34" s="369"/>
      <c r="HG34" s="369"/>
      <c r="HH34" s="369"/>
      <c r="HI34" s="369"/>
      <c r="HJ34" s="369"/>
      <c r="HK34" s="369"/>
      <c r="HL34" s="369"/>
      <c r="HM34" s="375"/>
      <c r="HN34" s="369"/>
      <c r="HO34" s="369"/>
      <c r="HP34" s="369"/>
      <c r="HQ34" s="369"/>
      <c r="HR34" s="369"/>
      <c r="HS34" s="369"/>
      <c r="HT34" s="369"/>
      <c r="HU34" s="369"/>
      <c r="HV34" s="369"/>
      <c r="HW34" s="369"/>
      <c r="HX34" s="369"/>
      <c r="HY34" s="375"/>
      <c r="HZ34" s="375"/>
      <c r="IA34" s="375"/>
      <c r="IB34" s="375"/>
      <c r="IC34" s="378">
        <f ca="1">SUMIF('Working-Jan-25'!$C$600:$C$694,GX34,'Working-Jan-25'!$F$600:$F$694)</f>
        <v>0</v>
      </c>
      <c r="ID34" s="378">
        <f ca="1" t="shared" si="5"/>
        <v>0</v>
      </c>
      <c r="IF34" s="368" t="s">
        <v>578</v>
      </c>
      <c r="IG34" s="368"/>
      <c r="IH34" s="369"/>
      <c r="II34" s="369"/>
      <c r="IJ34" s="369"/>
      <c r="IK34" s="369"/>
      <c r="IL34" s="369"/>
      <c r="IM34" s="369"/>
      <c r="IN34" s="369"/>
      <c r="IO34" s="369"/>
      <c r="IP34" s="369"/>
      <c r="IQ34" s="369"/>
      <c r="IR34" s="369"/>
      <c r="IS34" s="369"/>
      <c r="IT34" s="369"/>
      <c r="IU34" s="369"/>
      <c r="IV34" s="369"/>
      <c r="IW34" s="369"/>
      <c r="IX34" s="369"/>
      <c r="IY34" s="369"/>
      <c r="IZ34" s="369"/>
      <c r="JA34" s="369"/>
      <c r="JB34" s="369"/>
      <c r="JC34" s="369"/>
      <c r="JD34" s="369"/>
      <c r="JE34" s="369"/>
      <c r="JF34" s="369"/>
      <c r="JG34" s="369"/>
      <c r="JH34" s="369"/>
      <c r="JI34" s="369"/>
      <c r="JJ34" s="369"/>
      <c r="JK34" s="369">
        <f>VLOOKUP(IF34,'Working-Jan-25'!$C$5:$M$586,11,0)</f>
        <v>0</v>
      </c>
      <c r="JL34" s="369">
        <f t="shared" si="13"/>
        <v>0</v>
      </c>
      <c r="JN34" s="37" t="s">
        <v>565</v>
      </c>
      <c r="JO34" s="37" t="s">
        <v>579</v>
      </c>
      <c r="JP34" s="37"/>
      <c r="JQ34" s="382"/>
      <c r="JR34" s="382"/>
      <c r="JS34" s="382"/>
      <c r="JT34" s="382"/>
      <c r="JU34" s="382"/>
      <c r="JV34" s="382"/>
      <c r="JW34" s="386"/>
      <c r="JX34" s="386"/>
      <c r="JY34" s="386"/>
      <c r="JZ34" s="386"/>
      <c r="KA34" s="386"/>
      <c r="KB34" s="386"/>
      <c r="KC34" s="386"/>
      <c r="KD34" s="386"/>
      <c r="KE34" s="386"/>
      <c r="KF34" s="386">
        <f ca="1">SUMIF('Working-Jan-25'!$C$600:$C$694,JO34,'Working-Jan-25'!$L$600:$L$694)</f>
        <v>1630</v>
      </c>
      <c r="KG34" s="393"/>
      <c r="KH34" s="386"/>
      <c r="KI34" s="386" t="s">
        <v>495</v>
      </c>
      <c r="KJ34" s="386"/>
      <c r="KK34" s="386"/>
      <c r="KL34" s="386"/>
      <c r="KM34" s="386"/>
      <c r="KN34" s="386"/>
      <c r="KO34" s="386"/>
      <c r="KP34" s="386"/>
      <c r="KQ34" s="386"/>
      <c r="KR34" s="386"/>
      <c r="KS34" s="396"/>
      <c r="KT34" s="396"/>
      <c r="KU34" s="396"/>
      <c r="KV34" s="396"/>
      <c r="KW34" s="396"/>
      <c r="KX34" s="396"/>
      <c r="KY34" s="396">
        <f ca="1">SUMIF('Working-Jan-25'!$C$600:$C$694,KI34,'Working-Jan-25'!$I$600:$I$694)</f>
        <v>0</v>
      </c>
    </row>
    <row r="35" spans="2:311">
      <c r="B35" s="279" t="s">
        <v>563</v>
      </c>
      <c r="C35" s="279" t="s">
        <v>560</v>
      </c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301"/>
      <c r="V35" s="301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>
        <f ca="1">SUMIF('Working-Jan-25'!$C$600:$C$694,C35,'Working-Jan-25'!$D$600:$D$694)</f>
        <v>0</v>
      </c>
      <c r="AH35" s="303">
        <f ca="1" t="shared" si="2"/>
        <v>0</v>
      </c>
      <c r="AJ35" s="306"/>
      <c r="AK35" s="306" t="s">
        <v>527</v>
      </c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  <c r="BI35" s="307"/>
      <c r="BJ35" s="307"/>
      <c r="BK35" s="307"/>
      <c r="BL35" s="307"/>
      <c r="BM35" s="307"/>
      <c r="BN35" s="307"/>
      <c r="BO35" s="307">
        <f ca="1">SUMIF('Working-Jan-25'!$C$600:$C$694,AK35,'Working-Jan-25'!$H$600:$H$694)</f>
        <v>0</v>
      </c>
      <c r="BP35" s="307">
        <f ca="1">IFERROR(BO35/$BM$3,0)</f>
        <v>0</v>
      </c>
      <c r="BR35" s="315"/>
      <c r="BS35" s="315"/>
      <c r="BT35" s="316"/>
      <c r="BU35" s="316"/>
      <c r="BV35" s="316"/>
      <c r="BW35" s="316"/>
      <c r="BX35" s="316"/>
      <c r="BY35" s="316"/>
      <c r="BZ35" s="316"/>
      <c r="CA35" s="316"/>
      <c r="CB35" s="316"/>
      <c r="CC35" s="316"/>
      <c r="CD35" s="316"/>
      <c r="CE35" s="316"/>
      <c r="CF35" s="316"/>
      <c r="CG35" s="316"/>
      <c r="CH35" s="316"/>
      <c r="CI35" s="316"/>
      <c r="CJ35" s="316"/>
      <c r="CK35" s="316"/>
      <c r="CL35" s="316"/>
      <c r="CM35" s="316"/>
      <c r="CN35" s="316"/>
      <c r="CO35" s="316"/>
      <c r="CP35" s="316"/>
      <c r="CQ35" s="316"/>
      <c r="CR35" s="316"/>
      <c r="CS35" s="316"/>
      <c r="CT35" s="316"/>
      <c r="CU35" s="316"/>
      <c r="CV35" s="316"/>
      <c r="CW35" s="316"/>
      <c r="CX35" s="316"/>
      <c r="CZ35" s="337"/>
      <c r="DA35" s="337"/>
      <c r="DB35" s="341"/>
      <c r="DC35" s="341"/>
      <c r="DD35" s="341"/>
      <c r="DE35" s="341"/>
      <c r="DF35" s="341"/>
      <c r="DG35" s="341"/>
      <c r="DH35" s="341"/>
      <c r="DI35" s="341"/>
      <c r="DJ35" s="341"/>
      <c r="DK35" s="341"/>
      <c r="DL35" s="341"/>
      <c r="DM35" s="341"/>
      <c r="DN35" s="341"/>
      <c r="DO35" s="341"/>
      <c r="DP35" s="341"/>
      <c r="DQ35" s="341"/>
      <c r="DR35" s="341"/>
      <c r="DS35" s="341"/>
      <c r="DT35" s="341"/>
      <c r="DU35" s="341"/>
      <c r="DV35" s="341"/>
      <c r="DW35" s="341"/>
      <c r="DX35" s="341"/>
      <c r="DY35" s="341"/>
      <c r="DZ35" s="341"/>
      <c r="EA35" s="341"/>
      <c r="EB35" s="341"/>
      <c r="EC35" s="341"/>
      <c r="ED35" s="341"/>
      <c r="EE35" s="341"/>
      <c r="EF35" s="341">
        <f t="shared" si="8"/>
        <v>0</v>
      </c>
      <c r="EH35" s="347"/>
      <c r="EI35" s="347"/>
      <c r="EJ35" s="348"/>
      <c r="EK35" s="348"/>
      <c r="EL35" s="348"/>
      <c r="EM35" s="348"/>
      <c r="EN35" s="348"/>
      <c r="EO35" s="348"/>
      <c r="EP35" s="348"/>
      <c r="EQ35" s="348"/>
      <c r="ER35" s="348"/>
      <c r="ES35" s="348"/>
      <c r="ET35" s="348"/>
      <c r="EU35" s="348"/>
      <c r="EV35" s="348"/>
      <c r="EW35" s="348"/>
      <c r="EX35" s="348"/>
      <c r="EY35" s="348"/>
      <c r="EZ35" s="348"/>
      <c r="FA35" s="348"/>
      <c r="FB35" s="348"/>
      <c r="FC35" s="348"/>
      <c r="FD35" s="348"/>
      <c r="FE35" s="348"/>
      <c r="FF35" s="348"/>
      <c r="FG35" s="348"/>
      <c r="FH35" s="348"/>
      <c r="FI35" s="348"/>
      <c r="FJ35" s="348"/>
      <c r="FK35" s="348"/>
      <c r="FL35" s="355"/>
      <c r="FM35" s="348"/>
      <c r="FN35" s="355">
        <f t="shared" si="12"/>
        <v>0</v>
      </c>
      <c r="FP35" s="358"/>
      <c r="FQ35" s="358"/>
      <c r="FR35" s="359"/>
      <c r="FS35" s="359"/>
      <c r="FT35" s="359"/>
      <c r="FU35" s="359"/>
      <c r="FV35" s="359"/>
      <c r="FW35" s="359"/>
      <c r="FX35" s="359"/>
      <c r="FY35" s="359"/>
      <c r="FZ35" s="359"/>
      <c r="GA35" s="359"/>
      <c r="GB35" s="359"/>
      <c r="GC35" s="359"/>
      <c r="GD35" s="359"/>
      <c r="GE35" s="359"/>
      <c r="GF35" s="359"/>
      <c r="GG35" s="359"/>
      <c r="GH35" s="365"/>
      <c r="GI35" s="359"/>
      <c r="GJ35" s="365"/>
      <c r="GK35" s="359"/>
      <c r="GL35" s="365"/>
      <c r="GM35" s="359"/>
      <c r="GN35" s="365"/>
      <c r="GO35" s="359"/>
      <c r="GP35" s="365"/>
      <c r="GQ35" s="359"/>
      <c r="GR35" s="365"/>
      <c r="GS35" s="359"/>
      <c r="GT35" s="365"/>
      <c r="GU35" s="359"/>
      <c r="GV35" s="365">
        <f t="shared" si="10"/>
        <v>0</v>
      </c>
      <c r="GW35" s="363" t="s">
        <v>580</v>
      </c>
      <c r="GX35" s="368" t="s">
        <v>36</v>
      </c>
      <c r="GY35" s="368"/>
      <c r="GZ35" s="369"/>
      <c r="HA35" s="369"/>
      <c r="HB35" s="369"/>
      <c r="HC35" s="369"/>
      <c r="HD35" s="369"/>
      <c r="HE35" s="369"/>
      <c r="HF35" s="369"/>
      <c r="HG35" s="369"/>
      <c r="HH35" s="369"/>
      <c r="HI35" s="369"/>
      <c r="HJ35" s="369"/>
      <c r="HK35" s="369"/>
      <c r="HL35" s="369"/>
      <c r="HM35" s="375"/>
      <c r="HN35" s="369"/>
      <c r="HO35" s="369"/>
      <c r="HP35" s="369"/>
      <c r="HQ35" s="369"/>
      <c r="HR35" s="369"/>
      <c r="HS35" s="369"/>
      <c r="HT35" s="369"/>
      <c r="HU35" s="369"/>
      <c r="HV35" s="369"/>
      <c r="HW35" s="369"/>
      <c r="HX35" s="369"/>
      <c r="HY35" s="375"/>
      <c r="HZ35" s="375"/>
      <c r="IA35" s="375"/>
      <c r="IB35" s="375"/>
      <c r="IC35" s="378">
        <f ca="1">SUMIF('Working-Jan-25'!$C$600:$C$694,GX35,'Working-Jan-25'!$F$600:$F$694)</f>
        <v>0</v>
      </c>
      <c r="ID35" s="378">
        <f ca="1" t="shared" si="5"/>
        <v>0</v>
      </c>
      <c r="IF35" s="368" t="s">
        <v>581</v>
      </c>
      <c r="IG35" s="368"/>
      <c r="IH35" s="369"/>
      <c r="II35" s="369"/>
      <c r="IJ35" s="369"/>
      <c r="IK35" s="369"/>
      <c r="IL35" s="369"/>
      <c r="IM35" s="369"/>
      <c r="IN35" s="369"/>
      <c r="IO35" s="369"/>
      <c r="IP35" s="369"/>
      <c r="IQ35" s="369"/>
      <c r="IR35" s="369"/>
      <c r="IS35" s="369"/>
      <c r="IT35" s="369"/>
      <c r="IU35" s="369"/>
      <c r="IV35" s="369"/>
      <c r="IW35" s="369"/>
      <c r="IX35" s="369"/>
      <c r="IY35" s="369"/>
      <c r="IZ35" s="369"/>
      <c r="JA35" s="369"/>
      <c r="JB35" s="369"/>
      <c r="JC35" s="369"/>
      <c r="JD35" s="369"/>
      <c r="JE35" s="369"/>
      <c r="JF35" s="369"/>
      <c r="JG35" s="369"/>
      <c r="JH35" s="369"/>
      <c r="JI35" s="369"/>
      <c r="JJ35" s="369"/>
      <c r="JK35" s="369">
        <f>VLOOKUP(IF35,'Working-Jan-25'!$C$5:$M$586,11,0)</f>
        <v>18276.4</v>
      </c>
      <c r="JL35" s="369">
        <f t="shared" si="13"/>
        <v>0</v>
      </c>
      <c r="JN35" s="37" t="s">
        <v>502</v>
      </c>
      <c r="JO35" s="37" t="s">
        <v>582</v>
      </c>
      <c r="JP35" s="37"/>
      <c r="JQ35" s="382"/>
      <c r="JR35" s="382"/>
      <c r="JS35" s="382"/>
      <c r="JT35" s="382"/>
      <c r="JU35" s="382"/>
      <c r="JV35" s="382"/>
      <c r="JW35" s="386"/>
      <c r="JX35" s="386"/>
      <c r="JY35" s="386"/>
      <c r="JZ35" s="386"/>
      <c r="KA35" s="386"/>
      <c r="KB35" s="386"/>
      <c r="KC35" s="386"/>
      <c r="KD35" s="395"/>
      <c r="KE35" s="386"/>
      <c r="KF35" s="386">
        <f ca="1">SUMIF('Working-Jan-25'!$C$600:$C$694,JO35,'Working-Jan-25'!$L$600:$L$694)</f>
        <v>7305.38</v>
      </c>
      <c r="KG35" s="393"/>
      <c r="KH35" s="386"/>
      <c r="KI35" s="386" t="s">
        <v>583</v>
      </c>
      <c r="KJ35" s="386"/>
      <c r="KK35" s="386"/>
      <c r="KL35" s="386"/>
      <c r="KM35" s="386"/>
      <c r="KN35" s="386"/>
      <c r="KO35" s="386"/>
      <c r="KP35" s="386"/>
      <c r="KQ35" s="386"/>
      <c r="KR35" s="386"/>
      <c r="KS35" s="396"/>
      <c r="KT35" s="396"/>
      <c r="KU35" s="396"/>
      <c r="KV35" s="396"/>
      <c r="KW35" s="396"/>
      <c r="KX35" s="396"/>
      <c r="KY35" s="396">
        <f ca="1">SUMIF('Working-Jan-25'!$C$600:$C$694,KI35,'Working-Jan-25'!$I$600:$I$694)</f>
        <v>0</v>
      </c>
    </row>
    <row r="36" spans="2:311">
      <c r="B36" s="279" t="s">
        <v>475</v>
      </c>
      <c r="C36" s="279" t="s">
        <v>563</v>
      </c>
      <c r="D36" s="280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303"/>
      <c r="V36" s="303"/>
      <c r="W36" s="303"/>
      <c r="X36" s="303"/>
      <c r="Y36" s="303"/>
      <c r="Z36" s="303"/>
      <c r="AA36" s="301"/>
      <c r="AB36" s="301"/>
      <c r="AC36" s="303"/>
      <c r="AD36" s="303"/>
      <c r="AE36" s="303"/>
      <c r="AF36" s="303"/>
      <c r="AG36" s="303">
        <f ca="1">SUMIF('Working-Jan-25'!$C$600:$C$694,C36,'Working-Jan-25'!$D$600:$D$694)</f>
        <v>0</v>
      </c>
      <c r="AH36" s="303">
        <f ca="1" t="shared" si="2"/>
        <v>0</v>
      </c>
      <c r="AJ36" s="306"/>
      <c r="AK36" s="306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  <c r="BI36" s="307"/>
      <c r="BJ36" s="307"/>
      <c r="BK36" s="307"/>
      <c r="BL36" s="307"/>
      <c r="BM36" s="307"/>
      <c r="BN36" s="307"/>
      <c r="BO36" s="307"/>
      <c r="BP36" s="307"/>
      <c r="BR36" s="315"/>
      <c r="BS36" s="315"/>
      <c r="BT36" s="316"/>
      <c r="BU36" s="316"/>
      <c r="BV36" s="316"/>
      <c r="BW36" s="316"/>
      <c r="BX36" s="316"/>
      <c r="BY36" s="316"/>
      <c r="BZ36" s="316"/>
      <c r="CA36" s="316"/>
      <c r="CB36" s="316"/>
      <c r="CC36" s="316"/>
      <c r="CD36" s="316"/>
      <c r="CE36" s="316"/>
      <c r="CF36" s="316"/>
      <c r="CG36" s="316"/>
      <c r="CH36" s="316"/>
      <c r="CI36" s="316"/>
      <c r="CJ36" s="316"/>
      <c r="CK36" s="316"/>
      <c r="CL36" s="316"/>
      <c r="CM36" s="316"/>
      <c r="CN36" s="316"/>
      <c r="CO36" s="316"/>
      <c r="CP36" s="316"/>
      <c r="CQ36" s="316"/>
      <c r="CR36" s="316"/>
      <c r="CS36" s="316"/>
      <c r="CT36" s="316"/>
      <c r="CU36" s="316"/>
      <c r="CV36" s="316"/>
      <c r="CW36" s="316"/>
      <c r="CX36" s="316"/>
      <c r="CZ36" s="337"/>
      <c r="DA36" s="337"/>
      <c r="DB36" s="341"/>
      <c r="DC36" s="341"/>
      <c r="DD36" s="341"/>
      <c r="DE36" s="341"/>
      <c r="DF36" s="341"/>
      <c r="DG36" s="341"/>
      <c r="DH36" s="341"/>
      <c r="DI36" s="341"/>
      <c r="DJ36" s="341"/>
      <c r="DK36" s="341"/>
      <c r="DL36" s="341"/>
      <c r="DM36" s="341"/>
      <c r="DN36" s="341"/>
      <c r="DO36" s="341"/>
      <c r="DP36" s="341"/>
      <c r="DQ36" s="341"/>
      <c r="DR36" s="341"/>
      <c r="DS36" s="341"/>
      <c r="DT36" s="341"/>
      <c r="DU36" s="341"/>
      <c r="DV36" s="341"/>
      <c r="DW36" s="341"/>
      <c r="DX36" s="341"/>
      <c r="DY36" s="341"/>
      <c r="DZ36" s="341"/>
      <c r="EA36" s="341"/>
      <c r="EB36" s="341"/>
      <c r="EC36" s="341"/>
      <c r="ED36" s="341"/>
      <c r="EE36" s="341"/>
      <c r="EF36" s="341">
        <f t="shared" si="8"/>
        <v>0</v>
      </c>
      <c r="EH36" s="347"/>
      <c r="EI36" s="347"/>
      <c r="EJ36" s="348"/>
      <c r="EK36" s="348"/>
      <c r="EL36" s="348"/>
      <c r="EM36" s="348"/>
      <c r="EN36" s="348"/>
      <c r="EO36" s="348"/>
      <c r="EP36" s="348"/>
      <c r="EQ36" s="348"/>
      <c r="ER36" s="348"/>
      <c r="ES36" s="348"/>
      <c r="ET36" s="348"/>
      <c r="EU36" s="348"/>
      <c r="EV36" s="348"/>
      <c r="EW36" s="348"/>
      <c r="EX36" s="348"/>
      <c r="EY36" s="348"/>
      <c r="EZ36" s="348"/>
      <c r="FA36" s="348"/>
      <c r="FB36" s="348"/>
      <c r="FC36" s="348"/>
      <c r="FD36" s="348"/>
      <c r="FE36" s="348"/>
      <c r="FF36" s="348"/>
      <c r="FG36" s="348"/>
      <c r="FH36" s="348"/>
      <c r="FI36" s="348"/>
      <c r="FJ36" s="348"/>
      <c r="FK36" s="348"/>
      <c r="FL36" s="355"/>
      <c r="FM36" s="348"/>
      <c r="FN36" s="355">
        <f t="shared" si="12"/>
        <v>0</v>
      </c>
      <c r="FP36" s="358"/>
      <c r="FQ36" s="358"/>
      <c r="FR36" s="359"/>
      <c r="FS36" s="359"/>
      <c r="FT36" s="359"/>
      <c r="FU36" s="359"/>
      <c r="FV36" s="359"/>
      <c r="FW36" s="359"/>
      <c r="FX36" s="359"/>
      <c r="FY36" s="359"/>
      <c r="FZ36" s="359"/>
      <c r="GA36" s="359"/>
      <c r="GB36" s="359"/>
      <c r="GC36" s="359"/>
      <c r="GD36" s="359"/>
      <c r="GE36" s="359"/>
      <c r="GF36" s="359"/>
      <c r="GG36" s="359"/>
      <c r="GH36" s="359"/>
      <c r="GI36" s="359"/>
      <c r="GJ36" s="359"/>
      <c r="GK36" s="359"/>
      <c r="GL36" s="359"/>
      <c r="GM36" s="359"/>
      <c r="GN36" s="359"/>
      <c r="GO36" s="359"/>
      <c r="GP36" s="365"/>
      <c r="GQ36" s="359"/>
      <c r="GR36" s="365"/>
      <c r="GS36" s="359"/>
      <c r="GT36" s="365"/>
      <c r="GU36" s="359"/>
      <c r="GV36" s="365">
        <f t="shared" si="10"/>
        <v>0</v>
      </c>
      <c r="GX36" s="368" t="s">
        <v>40</v>
      </c>
      <c r="GY36" s="368"/>
      <c r="GZ36" s="369"/>
      <c r="HA36" s="369"/>
      <c r="HB36" s="369"/>
      <c r="HC36" s="369"/>
      <c r="HD36" s="369"/>
      <c r="HE36" s="369"/>
      <c r="HF36" s="369"/>
      <c r="HG36" s="369"/>
      <c r="HH36" s="369"/>
      <c r="HI36" s="369"/>
      <c r="HJ36" s="369"/>
      <c r="HK36" s="369"/>
      <c r="HL36" s="369"/>
      <c r="HM36" s="375"/>
      <c r="HN36" s="369"/>
      <c r="HO36" s="369"/>
      <c r="HP36" s="369"/>
      <c r="HQ36" s="369"/>
      <c r="HR36" s="369"/>
      <c r="HS36" s="369"/>
      <c r="HT36" s="369"/>
      <c r="HU36" s="369"/>
      <c r="HV36" s="369"/>
      <c r="HW36" s="369"/>
      <c r="HX36" s="369"/>
      <c r="HY36" s="375"/>
      <c r="HZ36" s="375"/>
      <c r="IA36" s="375"/>
      <c r="IB36" s="375"/>
      <c r="IC36" s="378">
        <f ca="1">SUMIF('Working-Jan-25'!$C$600:$C$694,GX36,'Working-Jan-25'!$F$600:$F$694)</f>
        <v>0</v>
      </c>
      <c r="ID36" s="378">
        <f ca="1" t="shared" si="5"/>
        <v>0</v>
      </c>
      <c r="IF36" s="368" t="s">
        <v>584</v>
      </c>
      <c r="IG36" s="368"/>
      <c r="IH36" s="369"/>
      <c r="II36" s="369"/>
      <c r="IJ36" s="369"/>
      <c r="IK36" s="369"/>
      <c r="IL36" s="369"/>
      <c r="IM36" s="369"/>
      <c r="IN36" s="369"/>
      <c r="IO36" s="369"/>
      <c r="IP36" s="369"/>
      <c r="IQ36" s="369"/>
      <c r="IR36" s="369"/>
      <c r="IS36" s="369"/>
      <c r="IT36" s="369"/>
      <c r="IU36" s="369"/>
      <c r="IV36" s="369"/>
      <c r="IW36" s="369"/>
      <c r="IX36" s="369"/>
      <c r="IY36" s="369"/>
      <c r="IZ36" s="369"/>
      <c r="JA36" s="369"/>
      <c r="JB36" s="369"/>
      <c r="JC36" s="369"/>
      <c r="JD36" s="369"/>
      <c r="JE36" s="369"/>
      <c r="JF36" s="369"/>
      <c r="JG36" s="369"/>
      <c r="JH36" s="369"/>
      <c r="JI36" s="369"/>
      <c r="JJ36" s="369"/>
      <c r="JK36" s="369">
        <f>VLOOKUP(IF36,'Working-Jan-25'!$C$5:$M$586,11,0)</f>
        <v>559432.33</v>
      </c>
      <c r="JL36" s="369">
        <f t="shared" si="13"/>
        <v>0</v>
      </c>
      <c r="JN36" s="37" t="s">
        <v>569</v>
      </c>
      <c r="JO36" s="37" t="s">
        <v>585</v>
      </c>
      <c r="JP36" s="37"/>
      <c r="JQ36" s="382"/>
      <c r="JR36" s="382"/>
      <c r="JS36" s="382"/>
      <c r="JT36" s="382"/>
      <c r="JU36" s="382"/>
      <c r="JV36" s="382"/>
      <c r="JW36" s="386"/>
      <c r="JX36" s="386"/>
      <c r="JY36" s="386"/>
      <c r="JZ36" s="386"/>
      <c r="KA36" s="386"/>
      <c r="KB36" s="386"/>
      <c r="KC36" s="386"/>
      <c r="KD36" s="386"/>
      <c r="KE36" s="386"/>
      <c r="KF36" s="386">
        <f ca="1">SUMIF('Working-Jan-25'!$C$600:$C$694,JO36,'Working-Jan-25'!$L$600:$L$694)</f>
        <v>90</v>
      </c>
      <c r="KG36" s="393"/>
      <c r="KH36" s="386"/>
      <c r="KI36" s="386" t="s">
        <v>64</v>
      </c>
      <c r="KJ36" s="386"/>
      <c r="KK36" s="386"/>
      <c r="KL36" s="386"/>
      <c r="KM36" s="386"/>
      <c r="KN36" s="386"/>
      <c r="KO36" s="386"/>
      <c r="KP36" s="386"/>
      <c r="KQ36" s="386"/>
      <c r="KR36" s="386"/>
      <c r="KS36" s="396"/>
      <c r="KT36" s="396"/>
      <c r="KU36" s="396"/>
      <c r="KV36" s="396"/>
      <c r="KW36" s="396"/>
      <c r="KX36" s="396"/>
      <c r="KY36" s="396">
        <f ca="1">SUMIF('Working-Jan-25'!$C$600:$C$694,KI36,'Working-Jan-25'!$I$600:$I$694)</f>
        <v>0</v>
      </c>
    </row>
    <row r="37" spans="2:311">
      <c r="B37" s="279"/>
      <c r="C37" s="279" t="s">
        <v>552</v>
      </c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303"/>
      <c r="V37" s="303"/>
      <c r="W37" s="303"/>
      <c r="X37" s="303"/>
      <c r="Y37" s="303"/>
      <c r="Z37" s="303"/>
      <c r="AA37" s="301"/>
      <c r="AB37" s="301"/>
      <c r="AC37" s="303"/>
      <c r="AD37" s="303"/>
      <c r="AE37" s="303"/>
      <c r="AF37" s="303"/>
      <c r="AG37" s="303">
        <f ca="1">SUMIF('Working-Jan-25'!$C$600:$C$694,C37,'Working-Jan-25'!$D$600:$D$694)</f>
        <v>0</v>
      </c>
      <c r="AH37" s="303">
        <f ca="1" t="shared" si="2"/>
        <v>0</v>
      </c>
      <c r="AJ37" s="306"/>
      <c r="AK37" s="306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  <c r="BI37" s="307"/>
      <c r="BJ37" s="307"/>
      <c r="BK37" s="307"/>
      <c r="BL37" s="307"/>
      <c r="BM37" s="307"/>
      <c r="BN37" s="307"/>
      <c r="BO37" s="307"/>
      <c r="BP37" s="307"/>
      <c r="BR37" s="315"/>
      <c r="BS37" s="315"/>
      <c r="BT37" s="316"/>
      <c r="BU37" s="316"/>
      <c r="BV37" s="316"/>
      <c r="BW37" s="316"/>
      <c r="BX37" s="316"/>
      <c r="BY37" s="316"/>
      <c r="BZ37" s="316"/>
      <c r="CA37" s="316"/>
      <c r="CB37" s="316"/>
      <c r="CC37" s="316"/>
      <c r="CD37" s="316"/>
      <c r="CE37" s="316"/>
      <c r="CF37" s="316"/>
      <c r="CG37" s="316"/>
      <c r="CH37" s="316"/>
      <c r="CI37" s="316"/>
      <c r="CJ37" s="316"/>
      <c r="CK37" s="316"/>
      <c r="CL37" s="316"/>
      <c r="CM37" s="316"/>
      <c r="CN37" s="316"/>
      <c r="CO37" s="316"/>
      <c r="CP37" s="316"/>
      <c r="CQ37" s="316"/>
      <c r="CR37" s="316"/>
      <c r="CS37" s="316"/>
      <c r="CT37" s="316"/>
      <c r="CU37" s="316"/>
      <c r="CV37" s="316"/>
      <c r="CW37" s="316"/>
      <c r="CX37" s="316"/>
      <c r="CZ37" s="337"/>
      <c r="DA37" s="337"/>
      <c r="DB37" s="341"/>
      <c r="DC37" s="341"/>
      <c r="DD37" s="341"/>
      <c r="DE37" s="341"/>
      <c r="DF37" s="341"/>
      <c r="DG37" s="341"/>
      <c r="DH37" s="341"/>
      <c r="DI37" s="341"/>
      <c r="DJ37" s="341"/>
      <c r="DK37" s="341"/>
      <c r="DL37" s="341"/>
      <c r="DM37" s="341"/>
      <c r="DN37" s="341"/>
      <c r="DO37" s="341"/>
      <c r="DP37" s="341"/>
      <c r="DQ37" s="341"/>
      <c r="DR37" s="341"/>
      <c r="DS37" s="341"/>
      <c r="DT37" s="341"/>
      <c r="DU37" s="341"/>
      <c r="DV37" s="341"/>
      <c r="DW37" s="341"/>
      <c r="DX37" s="341"/>
      <c r="DY37" s="341"/>
      <c r="DZ37" s="341"/>
      <c r="EA37" s="341"/>
      <c r="EB37" s="341"/>
      <c r="EC37" s="341"/>
      <c r="ED37" s="341"/>
      <c r="EE37" s="341"/>
      <c r="EF37" s="341"/>
      <c r="EH37" s="347"/>
      <c r="EI37" s="347"/>
      <c r="EJ37" s="348"/>
      <c r="EK37" s="348"/>
      <c r="EL37" s="348"/>
      <c r="EM37" s="348"/>
      <c r="EN37" s="348"/>
      <c r="EO37" s="348"/>
      <c r="EP37" s="348"/>
      <c r="EQ37" s="348"/>
      <c r="ER37" s="348"/>
      <c r="ES37" s="348"/>
      <c r="ET37" s="348"/>
      <c r="EU37" s="348"/>
      <c r="EV37" s="348"/>
      <c r="EW37" s="348"/>
      <c r="EX37" s="348"/>
      <c r="EY37" s="348"/>
      <c r="EZ37" s="348"/>
      <c r="FA37" s="348"/>
      <c r="FB37" s="348"/>
      <c r="FC37" s="348"/>
      <c r="FD37" s="348"/>
      <c r="FE37" s="348"/>
      <c r="FF37" s="348"/>
      <c r="FG37" s="348"/>
      <c r="FH37" s="348"/>
      <c r="FI37" s="348"/>
      <c r="FJ37" s="348"/>
      <c r="FK37" s="348"/>
      <c r="FL37" s="355"/>
      <c r="FM37" s="348"/>
      <c r="FN37" s="355">
        <f t="shared" si="12"/>
        <v>0</v>
      </c>
      <c r="FP37" s="358"/>
      <c r="FQ37" s="358"/>
      <c r="FR37" s="359"/>
      <c r="FS37" s="359"/>
      <c r="FT37" s="359"/>
      <c r="FU37" s="359"/>
      <c r="FV37" s="359"/>
      <c r="FW37" s="359"/>
      <c r="FX37" s="359"/>
      <c r="FY37" s="359"/>
      <c r="FZ37" s="359"/>
      <c r="GA37" s="359"/>
      <c r="GB37" s="359"/>
      <c r="GC37" s="359"/>
      <c r="GD37" s="359"/>
      <c r="GE37" s="359"/>
      <c r="GF37" s="359"/>
      <c r="GG37" s="359"/>
      <c r="GH37" s="359"/>
      <c r="GI37" s="359"/>
      <c r="GJ37" s="359"/>
      <c r="GK37" s="359"/>
      <c r="GL37" s="359"/>
      <c r="GM37" s="359"/>
      <c r="GN37" s="359"/>
      <c r="GO37" s="359"/>
      <c r="GP37" s="365"/>
      <c r="GQ37" s="359"/>
      <c r="GR37" s="365"/>
      <c r="GS37" s="359"/>
      <c r="GT37" s="365"/>
      <c r="GU37" s="359"/>
      <c r="GV37" s="365">
        <f t="shared" si="10"/>
        <v>0</v>
      </c>
      <c r="GW37" s="363" t="s">
        <v>586</v>
      </c>
      <c r="GX37" s="368" t="s">
        <v>44</v>
      </c>
      <c r="GY37" s="368"/>
      <c r="GZ37" s="369"/>
      <c r="HA37" s="369"/>
      <c r="HB37" s="369"/>
      <c r="HC37" s="369"/>
      <c r="HD37" s="369"/>
      <c r="HE37" s="369"/>
      <c r="HF37" s="369"/>
      <c r="HG37" s="369"/>
      <c r="HH37" s="369"/>
      <c r="HI37" s="369"/>
      <c r="HJ37" s="369"/>
      <c r="HK37" s="369"/>
      <c r="HL37" s="369"/>
      <c r="HM37" s="375"/>
      <c r="HN37" s="369"/>
      <c r="HO37" s="369"/>
      <c r="HP37" s="369"/>
      <c r="HQ37" s="369"/>
      <c r="HR37" s="369"/>
      <c r="HS37" s="369"/>
      <c r="HT37" s="369"/>
      <c r="HU37" s="369"/>
      <c r="HV37" s="369"/>
      <c r="HW37" s="369"/>
      <c r="HX37" s="369"/>
      <c r="HY37" s="375"/>
      <c r="HZ37" s="375"/>
      <c r="IA37" s="375"/>
      <c r="IB37" s="375"/>
      <c r="IC37" s="378">
        <f ca="1">SUMIF('Working-Jan-25'!$C$600:$C$694,GX37,'Working-Jan-25'!$F$600:$F$694)</f>
        <v>0</v>
      </c>
      <c r="ID37" s="378">
        <f ca="1" t="shared" si="5"/>
        <v>0</v>
      </c>
      <c r="IF37" s="368" t="s">
        <v>587</v>
      </c>
      <c r="IG37" s="368"/>
      <c r="IH37" s="369"/>
      <c r="II37" s="369"/>
      <c r="IJ37" s="369"/>
      <c r="IK37" s="369"/>
      <c r="IL37" s="369"/>
      <c r="IM37" s="369"/>
      <c r="IN37" s="369"/>
      <c r="IO37" s="369"/>
      <c r="IP37" s="369"/>
      <c r="IQ37" s="369"/>
      <c r="IR37" s="369"/>
      <c r="IS37" s="369"/>
      <c r="IT37" s="369"/>
      <c r="IU37" s="369"/>
      <c r="IV37" s="369"/>
      <c r="IW37" s="369"/>
      <c r="IX37" s="369"/>
      <c r="IY37" s="369"/>
      <c r="IZ37" s="369"/>
      <c r="JA37" s="369"/>
      <c r="JB37" s="369"/>
      <c r="JC37" s="369"/>
      <c r="JD37" s="369"/>
      <c r="JE37" s="369"/>
      <c r="JF37" s="369"/>
      <c r="JG37" s="369"/>
      <c r="JH37" s="369"/>
      <c r="JI37" s="369"/>
      <c r="JJ37" s="369"/>
      <c r="JK37" s="369">
        <f>VLOOKUP(IF37,'Working-Jan-25'!$C$5:$M$586,11,0)</f>
        <v>5164</v>
      </c>
      <c r="JL37" s="369">
        <f t="shared" si="13"/>
        <v>0</v>
      </c>
      <c r="JN37" s="37" t="s">
        <v>574</v>
      </c>
      <c r="JO37" s="37" t="s">
        <v>588</v>
      </c>
      <c r="JP37" s="37"/>
      <c r="JQ37" s="382"/>
      <c r="JR37" s="382"/>
      <c r="JS37" s="382"/>
      <c r="JT37" s="382"/>
      <c r="JU37" s="382"/>
      <c r="JV37" s="382"/>
      <c r="JW37" s="386"/>
      <c r="JX37" s="386"/>
      <c r="JY37" s="386"/>
      <c r="JZ37" s="386"/>
      <c r="KA37" s="385"/>
      <c r="KB37" s="386"/>
      <c r="KC37" s="386"/>
      <c r="KD37" s="395"/>
      <c r="KE37" s="386"/>
      <c r="KF37" s="386">
        <f ca="1">SUMIF('Working-Jan-25'!$C$600:$C$694,JO37,'Working-Jan-25'!$L$600:$L$694)</f>
        <v>19906</v>
      </c>
      <c r="KG37" s="393"/>
      <c r="KH37" s="386"/>
      <c r="KI37" s="386" t="s">
        <v>516</v>
      </c>
      <c r="KJ37" s="386"/>
      <c r="KK37" s="386"/>
      <c r="KL37" s="386"/>
      <c r="KM37" s="386"/>
      <c r="KN37" s="386"/>
      <c r="KO37" s="386"/>
      <c r="KP37" s="386"/>
      <c r="KQ37" s="386"/>
      <c r="KR37" s="386"/>
      <c r="KS37" s="396"/>
      <c r="KT37" s="396"/>
      <c r="KU37" s="396"/>
      <c r="KV37" s="396"/>
      <c r="KW37" s="396"/>
      <c r="KX37" s="396"/>
      <c r="KY37" s="396">
        <f ca="1">SUMIF('Working-Jan-25'!$C$600:$C$694,KI37,'Working-Jan-25'!$I$600:$I$694)</f>
        <v>0</v>
      </c>
    </row>
    <row r="38" spans="2:311">
      <c r="B38" s="279"/>
      <c r="C38" s="279" t="s">
        <v>473</v>
      </c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303"/>
      <c r="V38" s="303"/>
      <c r="W38" s="303"/>
      <c r="X38" s="303"/>
      <c r="Y38" s="303"/>
      <c r="Z38" s="303"/>
      <c r="AA38" s="301"/>
      <c r="AB38" s="301"/>
      <c r="AC38" s="303"/>
      <c r="AD38" s="303"/>
      <c r="AE38" s="303"/>
      <c r="AF38" s="303"/>
      <c r="AG38" s="303"/>
      <c r="AH38" s="303"/>
      <c r="AJ38" s="306"/>
      <c r="AK38" s="306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  <c r="BI38" s="307"/>
      <c r="BJ38" s="307"/>
      <c r="BK38" s="307"/>
      <c r="BL38" s="307"/>
      <c r="BM38" s="307"/>
      <c r="BN38" s="307"/>
      <c r="BO38" s="307"/>
      <c r="BP38" s="307"/>
      <c r="BR38" s="315"/>
      <c r="BS38" s="315"/>
      <c r="BT38" s="316"/>
      <c r="BU38" s="316"/>
      <c r="BV38" s="316"/>
      <c r="BW38" s="316"/>
      <c r="BX38" s="316"/>
      <c r="BY38" s="316"/>
      <c r="BZ38" s="316"/>
      <c r="CA38" s="316"/>
      <c r="CB38" s="316"/>
      <c r="CC38" s="316"/>
      <c r="CD38" s="316"/>
      <c r="CE38" s="316"/>
      <c r="CF38" s="316"/>
      <c r="CG38" s="316"/>
      <c r="CH38" s="316"/>
      <c r="CI38" s="316"/>
      <c r="CJ38" s="316"/>
      <c r="CK38" s="316"/>
      <c r="CL38" s="316"/>
      <c r="CM38" s="316"/>
      <c r="CN38" s="316"/>
      <c r="CO38" s="316"/>
      <c r="CP38" s="316"/>
      <c r="CQ38" s="316"/>
      <c r="CR38" s="316"/>
      <c r="CS38" s="316"/>
      <c r="CT38" s="316"/>
      <c r="CU38" s="316"/>
      <c r="CV38" s="316"/>
      <c r="CW38" s="316"/>
      <c r="CX38" s="316"/>
      <c r="CZ38" s="337"/>
      <c r="DA38" s="337"/>
      <c r="DB38" s="341"/>
      <c r="DC38" s="341"/>
      <c r="DD38" s="341"/>
      <c r="DE38" s="341"/>
      <c r="DF38" s="341"/>
      <c r="DG38" s="341"/>
      <c r="DH38" s="341"/>
      <c r="DI38" s="341"/>
      <c r="DJ38" s="341"/>
      <c r="DK38" s="341"/>
      <c r="DL38" s="341"/>
      <c r="DM38" s="341"/>
      <c r="DN38" s="341"/>
      <c r="DO38" s="341"/>
      <c r="DP38" s="341"/>
      <c r="DQ38" s="341"/>
      <c r="DR38" s="341"/>
      <c r="DS38" s="341"/>
      <c r="DT38" s="341"/>
      <c r="DU38" s="341"/>
      <c r="DV38" s="341"/>
      <c r="DW38" s="341"/>
      <c r="DX38" s="341"/>
      <c r="DY38" s="341"/>
      <c r="DZ38" s="341"/>
      <c r="EA38" s="341"/>
      <c r="EB38" s="341"/>
      <c r="EC38" s="341"/>
      <c r="ED38" s="341"/>
      <c r="EE38" s="341"/>
      <c r="EF38" s="341"/>
      <c r="EH38" s="347"/>
      <c r="EI38" s="347"/>
      <c r="EJ38" s="348"/>
      <c r="EK38" s="348"/>
      <c r="EL38" s="348"/>
      <c r="EM38" s="348"/>
      <c r="EN38" s="348"/>
      <c r="EO38" s="348"/>
      <c r="EP38" s="348"/>
      <c r="EQ38" s="348"/>
      <c r="ER38" s="348"/>
      <c r="ES38" s="348"/>
      <c r="ET38" s="348"/>
      <c r="EU38" s="348"/>
      <c r="EV38" s="348"/>
      <c r="EW38" s="348"/>
      <c r="EX38" s="348"/>
      <c r="EY38" s="348"/>
      <c r="EZ38" s="348"/>
      <c r="FA38" s="348"/>
      <c r="FB38" s="348"/>
      <c r="FC38" s="348"/>
      <c r="FD38" s="348"/>
      <c r="FE38" s="348"/>
      <c r="FF38" s="348"/>
      <c r="FG38" s="348"/>
      <c r="FH38" s="348"/>
      <c r="FI38" s="348"/>
      <c r="FJ38" s="348"/>
      <c r="FK38" s="348"/>
      <c r="FL38" s="355"/>
      <c r="FM38" s="348"/>
      <c r="FN38" s="355">
        <f t="shared" si="12"/>
        <v>0</v>
      </c>
      <c r="FP38" s="358"/>
      <c r="FQ38" s="358"/>
      <c r="FR38" s="359"/>
      <c r="FS38" s="359"/>
      <c r="FT38" s="359"/>
      <c r="FU38" s="359"/>
      <c r="FV38" s="359"/>
      <c r="FW38" s="359"/>
      <c r="FX38" s="359"/>
      <c r="FY38" s="359"/>
      <c r="FZ38" s="359"/>
      <c r="GA38" s="359"/>
      <c r="GB38" s="359"/>
      <c r="GC38" s="359"/>
      <c r="GD38" s="359"/>
      <c r="GE38" s="359"/>
      <c r="GF38" s="359"/>
      <c r="GG38" s="359"/>
      <c r="GH38" s="359"/>
      <c r="GI38" s="359"/>
      <c r="GJ38" s="359"/>
      <c r="GK38" s="359"/>
      <c r="GL38" s="359"/>
      <c r="GM38" s="359"/>
      <c r="GN38" s="359"/>
      <c r="GO38" s="359"/>
      <c r="GP38" s="365"/>
      <c r="GQ38" s="359"/>
      <c r="GR38" s="365"/>
      <c r="GS38" s="359"/>
      <c r="GT38" s="365"/>
      <c r="GU38" s="359"/>
      <c r="GV38" s="365">
        <f t="shared" si="10"/>
        <v>0</v>
      </c>
      <c r="GX38" s="368" t="s">
        <v>46</v>
      </c>
      <c r="GY38" s="368"/>
      <c r="GZ38" s="369"/>
      <c r="HA38" s="369"/>
      <c r="HB38" s="369"/>
      <c r="HC38" s="369"/>
      <c r="HD38" s="369"/>
      <c r="HE38" s="369"/>
      <c r="HF38" s="369"/>
      <c r="HG38" s="369"/>
      <c r="HH38" s="369"/>
      <c r="HI38" s="369"/>
      <c r="HJ38" s="369"/>
      <c r="HK38" s="369"/>
      <c r="HL38" s="369"/>
      <c r="HM38" s="375"/>
      <c r="HN38" s="369"/>
      <c r="HO38" s="369"/>
      <c r="HP38" s="369"/>
      <c r="HQ38" s="369"/>
      <c r="HR38" s="369"/>
      <c r="HS38" s="369"/>
      <c r="HT38" s="369"/>
      <c r="HU38" s="369"/>
      <c r="HV38" s="369"/>
      <c r="HW38" s="369"/>
      <c r="HX38" s="369"/>
      <c r="HY38" s="375"/>
      <c r="HZ38" s="375"/>
      <c r="IA38" s="375"/>
      <c r="IB38" s="375"/>
      <c r="IC38" s="378">
        <f ca="1">SUMIF('Working-Jan-25'!$C$600:$C$694,GX38,'Working-Jan-25'!$F$600:$F$694)</f>
        <v>0</v>
      </c>
      <c r="ID38" s="378">
        <f ca="1" t="shared" si="5"/>
        <v>0</v>
      </c>
      <c r="IF38" s="368" t="s">
        <v>589</v>
      </c>
      <c r="IG38" s="368"/>
      <c r="IH38" s="369"/>
      <c r="II38" s="369"/>
      <c r="IJ38" s="369"/>
      <c r="IK38" s="369"/>
      <c r="IL38" s="369"/>
      <c r="IM38" s="369"/>
      <c r="IN38" s="369"/>
      <c r="IO38" s="369"/>
      <c r="IP38" s="369"/>
      <c r="IQ38" s="369"/>
      <c r="IR38" s="369"/>
      <c r="IS38" s="369"/>
      <c r="IT38" s="369"/>
      <c r="IU38" s="369"/>
      <c r="IV38" s="369"/>
      <c r="IW38" s="369"/>
      <c r="IX38" s="369"/>
      <c r="IY38" s="369"/>
      <c r="IZ38" s="369"/>
      <c r="JA38" s="369"/>
      <c r="JB38" s="369"/>
      <c r="JC38" s="369"/>
      <c r="JD38" s="369"/>
      <c r="JE38" s="369"/>
      <c r="JF38" s="369"/>
      <c r="JG38" s="369"/>
      <c r="JH38" s="369"/>
      <c r="JI38" s="369"/>
      <c r="JJ38" s="369"/>
      <c r="JK38" s="369">
        <f>VLOOKUP(IF38,'Working-Jan-25'!$C$5:$M$586,11,0)</f>
        <v>22452.45</v>
      </c>
      <c r="JL38" s="369">
        <f t="shared" si="13"/>
        <v>0</v>
      </c>
      <c r="JM38" s="363" t="s">
        <v>590</v>
      </c>
      <c r="JN38" s="37" t="s">
        <v>577</v>
      </c>
      <c r="JO38" s="37" t="s">
        <v>591</v>
      </c>
      <c r="JP38" s="37"/>
      <c r="JQ38" s="382"/>
      <c r="JR38" s="382"/>
      <c r="JS38" s="382"/>
      <c r="JT38" s="382"/>
      <c r="JU38" s="382"/>
      <c r="JV38" s="382"/>
      <c r="JW38" s="386"/>
      <c r="JX38" s="386"/>
      <c r="JY38" s="386"/>
      <c r="JZ38" s="386"/>
      <c r="KA38" s="386"/>
      <c r="KB38" s="386"/>
      <c r="KC38" s="386"/>
      <c r="KD38" s="386"/>
      <c r="KE38" s="386"/>
      <c r="KF38" s="386">
        <f ca="1">SUMIF('Working-Jan-25'!$C$600:$C$694,JO38,'Working-Jan-25'!$L$600:$L$694)</f>
        <v>0</v>
      </c>
      <c r="KG38" s="393"/>
      <c r="KH38" s="386"/>
      <c r="KI38" s="386" t="s">
        <v>592</v>
      </c>
      <c r="KJ38" s="386"/>
      <c r="KK38" s="386"/>
      <c r="KL38" s="386"/>
      <c r="KM38" s="386"/>
      <c r="KN38" s="386"/>
      <c r="KO38" s="386"/>
      <c r="KP38" s="386"/>
      <c r="KQ38" s="386"/>
      <c r="KR38" s="386"/>
      <c r="KS38" s="396"/>
      <c r="KT38" s="396"/>
      <c r="KU38" s="396"/>
      <c r="KV38" s="396"/>
      <c r="KW38" s="396"/>
      <c r="KX38" s="396"/>
      <c r="KY38" s="396">
        <f ca="1">SUMIF('Working-Jan-25'!$C$600:$C$694,KI38,'Working-Jan-25'!$I$600:$I$694)</f>
        <v>0</v>
      </c>
    </row>
    <row r="39" spans="2:311">
      <c r="B39" s="279"/>
      <c r="C39" s="279" t="s">
        <v>480</v>
      </c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303"/>
      <c r="V39" s="303"/>
      <c r="W39" s="303"/>
      <c r="X39" s="303"/>
      <c r="Y39" s="303"/>
      <c r="Z39" s="303"/>
      <c r="AA39" s="301"/>
      <c r="AB39" s="301"/>
      <c r="AC39" s="303"/>
      <c r="AD39" s="303"/>
      <c r="AE39" s="303"/>
      <c r="AF39" s="303"/>
      <c r="AG39" s="303">
        <f ca="1">SUMIF('Working-Jan-25'!$C$600:$C$694,C39,'Working-Jan-25'!$D$600:$D$694)</f>
        <v>0</v>
      </c>
      <c r="AH39" s="303">
        <f ca="1" t="shared" ref="AH39:AH52" si="14">IFERROR(AG39/$AE$3,0)</f>
        <v>0</v>
      </c>
      <c r="AJ39" s="306"/>
      <c r="AK39" s="306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  <c r="BI39" s="307"/>
      <c r="BJ39" s="307"/>
      <c r="BK39" s="307"/>
      <c r="BL39" s="307"/>
      <c r="BM39" s="307"/>
      <c r="BN39" s="307"/>
      <c r="BO39" s="307"/>
      <c r="BP39" s="307"/>
      <c r="BR39" s="315"/>
      <c r="BS39" s="315"/>
      <c r="BT39" s="316"/>
      <c r="BU39" s="316"/>
      <c r="BV39" s="316"/>
      <c r="BW39" s="316"/>
      <c r="BX39" s="316"/>
      <c r="BY39" s="316"/>
      <c r="BZ39" s="316"/>
      <c r="CA39" s="316"/>
      <c r="CB39" s="316"/>
      <c r="CC39" s="316"/>
      <c r="CD39" s="316"/>
      <c r="CE39" s="316"/>
      <c r="CF39" s="316"/>
      <c r="CG39" s="316"/>
      <c r="CH39" s="316"/>
      <c r="CI39" s="316"/>
      <c r="CJ39" s="316"/>
      <c r="CK39" s="316"/>
      <c r="CL39" s="316"/>
      <c r="CM39" s="316"/>
      <c r="CN39" s="316"/>
      <c r="CO39" s="316"/>
      <c r="CP39" s="316"/>
      <c r="CQ39" s="316"/>
      <c r="CR39" s="316"/>
      <c r="CS39" s="316"/>
      <c r="CT39" s="316"/>
      <c r="CU39" s="316"/>
      <c r="CV39" s="316"/>
      <c r="CW39" s="316"/>
      <c r="CX39" s="316"/>
      <c r="CZ39" s="337"/>
      <c r="DA39" s="337"/>
      <c r="DB39" s="341"/>
      <c r="DC39" s="341"/>
      <c r="DD39" s="341"/>
      <c r="DE39" s="341"/>
      <c r="DF39" s="341"/>
      <c r="DG39" s="341"/>
      <c r="DH39" s="341"/>
      <c r="DI39" s="341"/>
      <c r="DJ39" s="341"/>
      <c r="DK39" s="341"/>
      <c r="DL39" s="341"/>
      <c r="DM39" s="341"/>
      <c r="DN39" s="341"/>
      <c r="DO39" s="341"/>
      <c r="DP39" s="341"/>
      <c r="DQ39" s="341"/>
      <c r="DR39" s="341"/>
      <c r="DS39" s="341"/>
      <c r="DT39" s="341"/>
      <c r="DU39" s="341"/>
      <c r="DV39" s="341"/>
      <c r="DW39" s="341"/>
      <c r="DX39" s="341"/>
      <c r="DY39" s="341"/>
      <c r="DZ39" s="341"/>
      <c r="EA39" s="341"/>
      <c r="EB39" s="341"/>
      <c r="EC39" s="341"/>
      <c r="ED39" s="341"/>
      <c r="EE39" s="341"/>
      <c r="EF39" s="341"/>
      <c r="EH39" s="347"/>
      <c r="EI39" s="347"/>
      <c r="EJ39" s="348"/>
      <c r="EK39" s="348"/>
      <c r="EL39" s="348"/>
      <c r="EM39" s="348"/>
      <c r="EN39" s="348"/>
      <c r="EO39" s="348"/>
      <c r="EP39" s="348"/>
      <c r="EQ39" s="348"/>
      <c r="ER39" s="348"/>
      <c r="ES39" s="348"/>
      <c r="ET39" s="348"/>
      <c r="EU39" s="348"/>
      <c r="EV39" s="348"/>
      <c r="EW39" s="348"/>
      <c r="EX39" s="348"/>
      <c r="EY39" s="348"/>
      <c r="EZ39" s="348"/>
      <c r="FA39" s="348"/>
      <c r="FB39" s="348"/>
      <c r="FC39" s="348"/>
      <c r="FD39" s="348"/>
      <c r="FE39" s="348"/>
      <c r="FF39" s="348"/>
      <c r="FG39" s="348"/>
      <c r="FH39" s="348"/>
      <c r="FI39" s="348"/>
      <c r="FJ39" s="348"/>
      <c r="FK39" s="348"/>
      <c r="FL39" s="355"/>
      <c r="FM39" s="348"/>
      <c r="FN39" s="355">
        <f t="shared" si="12"/>
        <v>0</v>
      </c>
      <c r="FP39" s="358"/>
      <c r="FQ39" s="358"/>
      <c r="FR39" s="359"/>
      <c r="FS39" s="359"/>
      <c r="FT39" s="359"/>
      <c r="FU39" s="359"/>
      <c r="FV39" s="359"/>
      <c r="FW39" s="359"/>
      <c r="FX39" s="359"/>
      <c r="FY39" s="359"/>
      <c r="FZ39" s="359"/>
      <c r="GA39" s="359"/>
      <c r="GB39" s="359"/>
      <c r="GC39" s="359"/>
      <c r="GD39" s="359"/>
      <c r="GE39" s="359"/>
      <c r="GF39" s="359"/>
      <c r="GG39" s="359"/>
      <c r="GH39" s="359"/>
      <c r="GI39" s="359"/>
      <c r="GJ39" s="359"/>
      <c r="GK39" s="359"/>
      <c r="GL39" s="359"/>
      <c r="GM39" s="359"/>
      <c r="GN39" s="359"/>
      <c r="GO39" s="359"/>
      <c r="GP39" s="365"/>
      <c r="GQ39" s="359"/>
      <c r="GR39" s="365"/>
      <c r="GS39" s="359"/>
      <c r="GT39" s="365"/>
      <c r="GU39" s="359"/>
      <c r="GV39" s="365">
        <f t="shared" si="10"/>
        <v>0</v>
      </c>
      <c r="GX39" s="368" t="s">
        <v>543</v>
      </c>
      <c r="GY39" s="368"/>
      <c r="GZ39" s="369"/>
      <c r="HA39" s="369"/>
      <c r="HB39" s="369"/>
      <c r="HC39" s="369"/>
      <c r="HD39" s="369"/>
      <c r="HE39" s="369"/>
      <c r="HF39" s="369"/>
      <c r="HG39" s="369"/>
      <c r="HH39" s="369"/>
      <c r="HI39" s="369"/>
      <c r="HJ39" s="369"/>
      <c r="HK39" s="369"/>
      <c r="HL39" s="369"/>
      <c r="HM39" s="375"/>
      <c r="HN39" s="369"/>
      <c r="HO39" s="369"/>
      <c r="HP39" s="369"/>
      <c r="HQ39" s="369"/>
      <c r="HR39" s="369"/>
      <c r="HS39" s="369"/>
      <c r="HT39" s="369"/>
      <c r="HU39" s="369"/>
      <c r="HV39" s="369"/>
      <c r="HW39" s="369"/>
      <c r="HX39" s="369"/>
      <c r="HY39" s="375"/>
      <c r="HZ39" s="375"/>
      <c r="IA39" s="375"/>
      <c r="IB39" s="375"/>
      <c r="IC39" s="378">
        <f ca="1">SUMIF('Working-Jan-25'!$C$600:$C$694,GX39,'Working-Jan-25'!$F$600:$F$694)</f>
        <v>0</v>
      </c>
      <c r="ID39" s="378">
        <f ca="1" t="shared" si="5"/>
        <v>0</v>
      </c>
      <c r="IF39" s="368" t="s">
        <v>593</v>
      </c>
      <c r="IG39" s="368"/>
      <c r="IH39" s="369"/>
      <c r="II39" s="369"/>
      <c r="IJ39" s="369"/>
      <c r="IK39" s="369"/>
      <c r="IL39" s="369"/>
      <c r="IM39" s="369"/>
      <c r="IN39" s="369"/>
      <c r="IO39" s="369"/>
      <c r="IP39" s="369"/>
      <c r="IQ39" s="369"/>
      <c r="IR39" s="369"/>
      <c r="IS39" s="369"/>
      <c r="IT39" s="369"/>
      <c r="IU39" s="369"/>
      <c r="IV39" s="369"/>
      <c r="IW39" s="369"/>
      <c r="IX39" s="369"/>
      <c r="IY39" s="369"/>
      <c r="IZ39" s="369"/>
      <c r="JA39" s="369"/>
      <c r="JB39" s="369"/>
      <c r="JC39" s="369"/>
      <c r="JD39" s="369"/>
      <c r="JE39" s="369"/>
      <c r="JF39" s="369"/>
      <c r="JG39" s="369"/>
      <c r="JH39" s="369"/>
      <c r="JI39" s="369"/>
      <c r="JJ39" s="369"/>
      <c r="JK39" s="369">
        <f>VLOOKUP(IF39,'Working-Jan-25'!$C$5:$M$586,11,0)</f>
        <v>0</v>
      </c>
      <c r="JL39" s="369">
        <f t="shared" si="13"/>
        <v>0</v>
      </c>
      <c r="JN39" s="37" t="s">
        <v>579</v>
      </c>
      <c r="JO39" s="37" t="s">
        <v>594</v>
      </c>
      <c r="JP39" s="37"/>
      <c r="JQ39" s="382"/>
      <c r="JR39" s="382"/>
      <c r="JS39" s="382"/>
      <c r="JT39" s="382"/>
      <c r="JU39" s="382"/>
      <c r="JV39" s="382"/>
      <c r="JW39" s="386"/>
      <c r="JX39" s="386"/>
      <c r="JY39" s="386"/>
      <c r="JZ39" s="386"/>
      <c r="KA39" s="386"/>
      <c r="KB39" s="386"/>
      <c r="KC39" s="386"/>
      <c r="KD39" s="386"/>
      <c r="KE39" s="386"/>
      <c r="KF39" s="386">
        <f ca="1">SUMIF('Working-Jan-25'!$C$600:$C$694,JO39,'Working-Jan-25'!$L$600:$L$694)</f>
        <v>0</v>
      </c>
      <c r="KG39" s="393"/>
      <c r="KH39" s="386"/>
      <c r="KI39" s="386" t="s">
        <v>483</v>
      </c>
      <c r="KJ39" s="386"/>
      <c r="KK39" s="386"/>
      <c r="KL39" s="386"/>
      <c r="KM39" s="386"/>
      <c r="KN39" s="386"/>
      <c r="KO39" s="386"/>
      <c r="KP39" s="386"/>
      <c r="KQ39" s="386"/>
      <c r="KR39" s="386"/>
      <c r="KS39" s="396"/>
      <c r="KT39" s="396"/>
      <c r="KU39" s="396"/>
      <c r="KV39" s="396"/>
      <c r="KW39" s="396"/>
      <c r="KX39" s="396"/>
      <c r="KY39" s="396">
        <f ca="1">SUMIF('Working-Jan-25'!$C$600:$C$694,KI39,'Working-Jan-25'!$I$600:$I$694)</f>
        <v>0</v>
      </c>
    </row>
    <row r="40" spans="2:311">
      <c r="B40" s="279"/>
      <c r="C40" s="279" t="s">
        <v>535</v>
      </c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303"/>
      <c r="V40" s="303"/>
      <c r="W40" s="303"/>
      <c r="X40" s="303"/>
      <c r="Y40" s="303"/>
      <c r="Z40" s="303"/>
      <c r="AA40" s="301"/>
      <c r="AB40" s="301"/>
      <c r="AC40" s="303"/>
      <c r="AD40" s="303"/>
      <c r="AE40" s="303"/>
      <c r="AF40" s="303"/>
      <c r="AG40" s="303">
        <f ca="1">SUMIF('Working-Jan-25'!$C$600:$C$694,C40,'Working-Jan-25'!$D$600:$D$694)</f>
        <v>112068</v>
      </c>
      <c r="AH40" s="303">
        <f ca="1" t="shared" si="14"/>
        <v>0</v>
      </c>
      <c r="AJ40" s="306"/>
      <c r="AK40" s="306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  <c r="BI40" s="307"/>
      <c r="BJ40" s="307"/>
      <c r="BK40" s="307"/>
      <c r="BL40" s="307"/>
      <c r="BM40" s="307"/>
      <c r="BN40" s="307"/>
      <c r="BO40" s="307"/>
      <c r="BP40" s="307"/>
      <c r="BR40" s="315"/>
      <c r="BS40" s="315"/>
      <c r="BT40" s="316"/>
      <c r="BU40" s="316"/>
      <c r="BV40" s="316"/>
      <c r="BW40" s="316"/>
      <c r="BX40" s="316"/>
      <c r="BY40" s="316"/>
      <c r="BZ40" s="316"/>
      <c r="CA40" s="316"/>
      <c r="CB40" s="316"/>
      <c r="CC40" s="316"/>
      <c r="CD40" s="316"/>
      <c r="CE40" s="316"/>
      <c r="CF40" s="316"/>
      <c r="CG40" s="316"/>
      <c r="CH40" s="316"/>
      <c r="CI40" s="316"/>
      <c r="CJ40" s="316"/>
      <c r="CK40" s="316"/>
      <c r="CL40" s="316"/>
      <c r="CM40" s="316"/>
      <c r="CN40" s="316"/>
      <c r="CO40" s="316"/>
      <c r="CP40" s="316"/>
      <c r="CQ40" s="316"/>
      <c r="CR40" s="316"/>
      <c r="CS40" s="316"/>
      <c r="CT40" s="316"/>
      <c r="CU40" s="316"/>
      <c r="CV40" s="316"/>
      <c r="CW40" s="316"/>
      <c r="CX40" s="316"/>
      <c r="CZ40" s="337"/>
      <c r="DA40" s="337"/>
      <c r="DB40" s="341"/>
      <c r="DC40" s="341"/>
      <c r="DD40" s="341"/>
      <c r="DE40" s="341"/>
      <c r="DF40" s="341"/>
      <c r="DG40" s="341"/>
      <c r="DH40" s="341"/>
      <c r="DI40" s="341"/>
      <c r="DJ40" s="341"/>
      <c r="DK40" s="341"/>
      <c r="DL40" s="341"/>
      <c r="DM40" s="341"/>
      <c r="DN40" s="341"/>
      <c r="DO40" s="341"/>
      <c r="DP40" s="341"/>
      <c r="DQ40" s="341"/>
      <c r="DR40" s="341"/>
      <c r="DS40" s="341"/>
      <c r="DT40" s="341"/>
      <c r="DU40" s="341"/>
      <c r="DV40" s="341"/>
      <c r="DW40" s="341"/>
      <c r="DX40" s="341"/>
      <c r="DY40" s="341"/>
      <c r="DZ40" s="341"/>
      <c r="EA40" s="341"/>
      <c r="EB40" s="341"/>
      <c r="EC40" s="341"/>
      <c r="ED40" s="341"/>
      <c r="EE40" s="341"/>
      <c r="EF40" s="341"/>
      <c r="EH40" s="347"/>
      <c r="EI40" s="347"/>
      <c r="EJ40" s="348"/>
      <c r="EK40" s="348"/>
      <c r="EL40" s="348"/>
      <c r="EM40" s="348"/>
      <c r="EN40" s="348"/>
      <c r="EO40" s="348"/>
      <c r="EP40" s="348"/>
      <c r="EQ40" s="348"/>
      <c r="ER40" s="348"/>
      <c r="ES40" s="348"/>
      <c r="ET40" s="348"/>
      <c r="EU40" s="348"/>
      <c r="EV40" s="348"/>
      <c r="EW40" s="348"/>
      <c r="EX40" s="348"/>
      <c r="EY40" s="348"/>
      <c r="EZ40" s="348"/>
      <c r="FA40" s="348"/>
      <c r="FB40" s="348"/>
      <c r="FC40" s="348"/>
      <c r="FD40" s="348"/>
      <c r="FE40" s="348"/>
      <c r="FF40" s="348"/>
      <c r="FG40" s="348"/>
      <c r="FH40" s="348"/>
      <c r="FI40" s="348"/>
      <c r="FJ40" s="348"/>
      <c r="FK40" s="348"/>
      <c r="FL40" s="355"/>
      <c r="FM40" s="348"/>
      <c r="FN40" s="355">
        <f t="shared" si="12"/>
        <v>0</v>
      </c>
      <c r="FP40" s="358"/>
      <c r="FQ40" s="358"/>
      <c r="FR40" s="359"/>
      <c r="FS40" s="359"/>
      <c r="FT40" s="359"/>
      <c r="FU40" s="359"/>
      <c r="FV40" s="359"/>
      <c r="FW40" s="359"/>
      <c r="FX40" s="359"/>
      <c r="FY40" s="359"/>
      <c r="FZ40" s="359"/>
      <c r="GA40" s="359"/>
      <c r="GB40" s="359"/>
      <c r="GC40" s="359"/>
      <c r="GD40" s="359"/>
      <c r="GE40" s="359"/>
      <c r="GF40" s="359"/>
      <c r="GG40" s="359"/>
      <c r="GH40" s="359"/>
      <c r="GI40" s="359"/>
      <c r="GJ40" s="359"/>
      <c r="GK40" s="359"/>
      <c r="GL40" s="359"/>
      <c r="GM40" s="359"/>
      <c r="GN40" s="359"/>
      <c r="GO40" s="359"/>
      <c r="GP40" s="365"/>
      <c r="GQ40" s="359"/>
      <c r="GR40" s="365"/>
      <c r="GS40" s="359"/>
      <c r="GT40" s="365"/>
      <c r="GU40" s="359"/>
      <c r="GV40" s="365">
        <f t="shared" si="10"/>
        <v>0</v>
      </c>
      <c r="GX40" s="368" t="s">
        <v>547</v>
      </c>
      <c r="GY40" s="368"/>
      <c r="GZ40" s="369"/>
      <c r="HA40" s="369"/>
      <c r="HB40" s="369"/>
      <c r="HC40" s="369"/>
      <c r="HD40" s="369"/>
      <c r="HE40" s="369"/>
      <c r="HF40" s="369"/>
      <c r="HG40" s="369"/>
      <c r="HH40" s="369"/>
      <c r="HI40" s="369"/>
      <c r="HJ40" s="369"/>
      <c r="HK40" s="369"/>
      <c r="HL40" s="369"/>
      <c r="HM40" s="375"/>
      <c r="HN40" s="369"/>
      <c r="HO40" s="369"/>
      <c r="HP40" s="369"/>
      <c r="HQ40" s="369"/>
      <c r="HR40" s="369"/>
      <c r="HS40" s="369"/>
      <c r="HT40" s="369"/>
      <c r="HU40" s="369"/>
      <c r="HV40" s="369"/>
      <c r="HW40" s="369"/>
      <c r="HX40" s="369"/>
      <c r="HY40" s="375"/>
      <c r="HZ40" s="375"/>
      <c r="IA40" s="375"/>
      <c r="IB40" s="375"/>
      <c r="IC40" s="378">
        <f ca="1">SUMIF('Working-Jan-25'!$C$600:$C$694,GX40,'Working-Jan-25'!$F$600:$F$694)</f>
        <v>0</v>
      </c>
      <c r="ID40" s="378">
        <f ca="1" t="shared" si="5"/>
        <v>0</v>
      </c>
      <c r="IF40" s="368" t="s">
        <v>595</v>
      </c>
      <c r="IG40" s="368"/>
      <c r="IH40" s="369"/>
      <c r="II40" s="369"/>
      <c r="IJ40" s="369"/>
      <c r="IK40" s="369"/>
      <c r="IL40" s="369"/>
      <c r="IM40" s="369"/>
      <c r="IN40" s="369"/>
      <c r="IO40" s="369"/>
      <c r="IP40" s="369"/>
      <c r="IQ40" s="369"/>
      <c r="IR40" s="369"/>
      <c r="IS40" s="369"/>
      <c r="IT40" s="369"/>
      <c r="IU40" s="369"/>
      <c r="IV40" s="369"/>
      <c r="IW40" s="369"/>
      <c r="IX40" s="369"/>
      <c r="IY40" s="369"/>
      <c r="IZ40" s="369"/>
      <c r="JA40" s="369"/>
      <c r="JB40" s="369"/>
      <c r="JC40" s="369"/>
      <c r="JD40" s="369"/>
      <c r="JE40" s="369"/>
      <c r="JF40" s="369"/>
      <c r="JG40" s="369"/>
      <c r="JH40" s="369"/>
      <c r="JI40" s="369"/>
      <c r="JJ40" s="369"/>
      <c r="JK40" s="369">
        <f>VLOOKUP(IF40,'Working-Jan-25'!$C$5:$M$586,11,0)</f>
        <v>11528</v>
      </c>
      <c r="JL40" s="369">
        <f t="shared" si="13"/>
        <v>0</v>
      </c>
      <c r="JN40" s="37" t="s">
        <v>582</v>
      </c>
      <c r="JO40" s="37" t="s">
        <v>596</v>
      </c>
      <c r="JP40" s="37"/>
      <c r="JQ40" s="382"/>
      <c r="JR40" s="382"/>
      <c r="JS40" s="382"/>
      <c r="JT40" s="382"/>
      <c r="JU40" s="382"/>
      <c r="JV40" s="386"/>
      <c r="JW40" s="386"/>
      <c r="JX40" s="386"/>
      <c r="JY40" s="386"/>
      <c r="JZ40" s="386"/>
      <c r="KA40" s="386"/>
      <c r="KB40" s="386"/>
      <c r="KC40" s="386"/>
      <c r="KD40" s="386"/>
      <c r="KE40" s="386"/>
      <c r="KF40" s="386">
        <f ca="1">SUMIF('Working-Jan-25'!$C$600:$C$694,JO40,'Working-Jan-25'!$L$600:$L$694)</f>
        <v>0</v>
      </c>
      <c r="KG40" s="393"/>
      <c r="KH40" s="386"/>
      <c r="KI40" s="386"/>
      <c r="KJ40" s="386"/>
      <c r="KK40" s="386"/>
      <c r="KL40" s="386"/>
      <c r="KM40" s="386"/>
      <c r="KN40" s="386"/>
      <c r="KO40" s="386"/>
      <c r="KP40" s="386"/>
      <c r="KQ40" s="386"/>
      <c r="KR40" s="386"/>
      <c r="KS40" s="396"/>
      <c r="KT40" s="396"/>
      <c r="KU40" s="396"/>
      <c r="KV40" s="396"/>
      <c r="KW40" s="396"/>
      <c r="KX40" s="396"/>
      <c r="KY40" s="396"/>
    </row>
    <row r="41" spans="2:311">
      <c r="B41" s="279"/>
      <c r="C41" s="279" t="s">
        <v>575</v>
      </c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303"/>
      <c r="V41" s="303"/>
      <c r="W41" s="303"/>
      <c r="X41" s="303"/>
      <c r="Y41" s="303"/>
      <c r="Z41" s="303"/>
      <c r="AA41" s="303"/>
      <c r="AB41" s="303"/>
      <c r="AC41" s="303"/>
      <c r="AD41" s="303"/>
      <c r="AE41" s="303"/>
      <c r="AF41" s="303"/>
      <c r="AG41" s="303">
        <f ca="1">SUMIF('Working-Jan-25'!$C$600:$C$694,C41,'Working-Jan-25'!$D$600:$D$694)</f>
        <v>0</v>
      </c>
      <c r="AH41" s="303">
        <f ca="1" t="shared" si="14"/>
        <v>0</v>
      </c>
      <c r="AJ41" s="306"/>
      <c r="AK41" s="306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  <c r="BI41" s="307"/>
      <c r="BJ41" s="307"/>
      <c r="BK41" s="307"/>
      <c r="BL41" s="307"/>
      <c r="BM41" s="307"/>
      <c r="BN41" s="307"/>
      <c r="BO41" s="307"/>
      <c r="BP41" s="307"/>
      <c r="BR41" s="315"/>
      <c r="BS41" s="315"/>
      <c r="BT41" s="316"/>
      <c r="BU41" s="316"/>
      <c r="BV41" s="316"/>
      <c r="BW41" s="316"/>
      <c r="BX41" s="316"/>
      <c r="BY41" s="316"/>
      <c r="BZ41" s="316"/>
      <c r="CA41" s="316"/>
      <c r="CB41" s="316"/>
      <c r="CC41" s="316"/>
      <c r="CD41" s="316"/>
      <c r="CE41" s="316"/>
      <c r="CF41" s="316"/>
      <c r="CG41" s="316"/>
      <c r="CH41" s="316"/>
      <c r="CI41" s="316"/>
      <c r="CJ41" s="316"/>
      <c r="CK41" s="316"/>
      <c r="CL41" s="316"/>
      <c r="CM41" s="316"/>
      <c r="CN41" s="316"/>
      <c r="CO41" s="316"/>
      <c r="CP41" s="316"/>
      <c r="CQ41" s="316"/>
      <c r="CR41" s="316"/>
      <c r="CS41" s="316"/>
      <c r="CT41" s="316"/>
      <c r="CU41" s="316"/>
      <c r="CV41" s="316"/>
      <c r="CW41" s="316"/>
      <c r="CX41" s="316"/>
      <c r="CZ41" s="337"/>
      <c r="DA41" s="337"/>
      <c r="DB41" s="341"/>
      <c r="DC41" s="341"/>
      <c r="DD41" s="341"/>
      <c r="DE41" s="341"/>
      <c r="DF41" s="341"/>
      <c r="DG41" s="341"/>
      <c r="DH41" s="341"/>
      <c r="DI41" s="341"/>
      <c r="DJ41" s="341"/>
      <c r="DK41" s="341"/>
      <c r="DL41" s="341"/>
      <c r="DM41" s="341"/>
      <c r="DN41" s="341"/>
      <c r="DO41" s="341"/>
      <c r="DP41" s="341"/>
      <c r="DQ41" s="341"/>
      <c r="DR41" s="341"/>
      <c r="DS41" s="341"/>
      <c r="DT41" s="341"/>
      <c r="DU41" s="341"/>
      <c r="DV41" s="341"/>
      <c r="DW41" s="341"/>
      <c r="DX41" s="341"/>
      <c r="DY41" s="341"/>
      <c r="DZ41" s="341"/>
      <c r="EA41" s="341"/>
      <c r="EB41" s="341"/>
      <c r="EC41" s="341"/>
      <c r="ED41" s="341"/>
      <c r="EE41" s="341"/>
      <c r="EF41" s="341"/>
      <c r="EH41" s="347"/>
      <c r="EI41" s="347"/>
      <c r="EJ41" s="348"/>
      <c r="EK41" s="348"/>
      <c r="EL41" s="348"/>
      <c r="EM41" s="348"/>
      <c r="EN41" s="348"/>
      <c r="EO41" s="348"/>
      <c r="EP41" s="348"/>
      <c r="EQ41" s="348"/>
      <c r="ER41" s="348"/>
      <c r="ES41" s="348"/>
      <c r="ET41" s="348"/>
      <c r="EU41" s="348"/>
      <c r="EV41" s="348"/>
      <c r="EW41" s="348"/>
      <c r="EX41" s="348"/>
      <c r="EY41" s="348"/>
      <c r="EZ41" s="348"/>
      <c r="FA41" s="348"/>
      <c r="FB41" s="348"/>
      <c r="FC41" s="348"/>
      <c r="FD41" s="348"/>
      <c r="FE41" s="348"/>
      <c r="FF41" s="348"/>
      <c r="FG41" s="348"/>
      <c r="FH41" s="348"/>
      <c r="FI41" s="348"/>
      <c r="FJ41" s="348"/>
      <c r="FK41" s="348"/>
      <c r="FL41" s="355"/>
      <c r="FM41" s="348"/>
      <c r="FN41" s="355">
        <f t="shared" si="12"/>
        <v>0</v>
      </c>
      <c r="FP41" s="358"/>
      <c r="FQ41" s="358"/>
      <c r="FR41" s="359"/>
      <c r="FS41" s="359"/>
      <c r="FT41" s="359"/>
      <c r="FU41" s="359"/>
      <c r="FV41" s="359"/>
      <c r="FW41" s="359"/>
      <c r="FX41" s="359"/>
      <c r="FY41" s="359"/>
      <c r="FZ41" s="359"/>
      <c r="GA41" s="359"/>
      <c r="GB41" s="359"/>
      <c r="GC41" s="359"/>
      <c r="GD41" s="359"/>
      <c r="GE41" s="359"/>
      <c r="GF41" s="359"/>
      <c r="GG41" s="359"/>
      <c r="GH41" s="359"/>
      <c r="GI41" s="359"/>
      <c r="GJ41" s="359"/>
      <c r="GK41" s="359"/>
      <c r="GL41" s="359"/>
      <c r="GM41" s="359"/>
      <c r="GN41" s="359"/>
      <c r="GO41" s="359"/>
      <c r="GP41" s="365"/>
      <c r="GQ41" s="359"/>
      <c r="GR41" s="365"/>
      <c r="GS41" s="359"/>
      <c r="GT41" s="365"/>
      <c r="GU41" s="359"/>
      <c r="GV41" s="365">
        <f t="shared" si="10"/>
        <v>0</v>
      </c>
      <c r="GX41" s="368" t="s">
        <v>551</v>
      </c>
      <c r="GY41" s="368"/>
      <c r="GZ41" s="369"/>
      <c r="HA41" s="369"/>
      <c r="HB41" s="369"/>
      <c r="HC41" s="369"/>
      <c r="HD41" s="369"/>
      <c r="HE41" s="369"/>
      <c r="HF41" s="369"/>
      <c r="HG41" s="369"/>
      <c r="HH41" s="369"/>
      <c r="HI41" s="369"/>
      <c r="HJ41" s="369"/>
      <c r="HK41" s="369"/>
      <c r="HL41" s="369"/>
      <c r="HM41" s="375"/>
      <c r="HN41" s="369"/>
      <c r="HO41" s="369"/>
      <c r="HP41" s="369"/>
      <c r="HQ41" s="369"/>
      <c r="HR41" s="369"/>
      <c r="HS41" s="369"/>
      <c r="HT41" s="369"/>
      <c r="HU41" s="369"/>
      <c r="HV41" s="369"/>
      <c r="HW41" s="369"/>
      <c r="HX41" s="369"/>
      <c r="HY41" s="375"/>
      <c r="HZ41" s="375"/>
      <c r="IA41" s="375"/>
      <c r="IB41" s="375"/>
      <c r="IC41" s="378">
        <f ca="1">SUMIF('Working-Jan-25'!$C$600:$C$694,GX41,'Working-Jan-25'!$F$600:$F$694)</f>
        <v>0</v>
      </c>
      <c r="ID41" s="378">
        <f ca="1" t="shared" si="5"/>
        <v>0</v>
      </c>
      <c r="IF41" s="368" t="s">
        <v>597</v>
      </c>
      <c r="IG41" s="368"/>
      <c r="IH41" s="369"/>
      <c r="II41" s="369"/>
      <c r="IJ41" s="369"/>
      <c r="IK41" s="369"/>
      <c r="IL41" s="369"/>
      <c r="IM41" s="369"/>
      <c r="IN41" s="369"/>
      <c r="IO41" s="369"/>
      <c r="IP41" s="369"/>
      <c r="IQ41" s="369"/>
      <c r="IR41" s="369"/>
      <c r="IS41" s="369"/>
      <c r="IT41" s="369"/>
      <c r="IU41" s="369"/>
      <c r="IV41" s="369"/>
      <c r="IW41" s="369"/>
      <c r="IX41" s="369"/>
      <c r="IY41" s="369"/>
      <c r="IZ41" s="369"/>
      <c r="JA41" s="369"/>
      <c r="JB41" s="369"/>
      <c r="JC41" s="369"/>
      <c r="JD41" s="369"/>
      <c r="JE41" s="369"/>
      <c r="JF41" s="369"/>
      <c r="JG41" s="369"/>
      <c r="JH41" s="369"/>
      <c r="JI41" s="369"/>
      <c r="JJ41" s="369"/>
      <c r="JK41" s="369">
        <f>VLOOKUP(IF41,'Working-Jan-25'!$C$5:$M$586,11,0)</f>
        <v>0</v>
      </c>
      <c r="JL41" s="369">
        <f t="shared" si="13"/>
        <v>0</v>
      </c>
      <c r="JN41" s="37" t="s">
        <v>585</v>
      </c>
      <c r="JO41" s="37" t="s">
        <v>598</v>
      </c>
      <c r="JP41" s="37"/>
      <c r="JQ41" s="382"/>
      <c r="JR41" s="382"/>
      <c r="JS41" s="382"/>
      <c r="JT41" s="382"/>
      <c r="JU41" s="382"/>
      <c r="JV41" s="382"/>
      <c r="JW41" s="386"/>
      <c r="JX41" s="386"/>
      <c r="JY41" s="386"/>
      <c r="JZ41" s="386"/>
      <c r="KA41" s="386"/>
      <c r="KB41" s="386"/>
      <c r="KC41" s="386"/>
      <c r="KD41" s="386"/>
      <c r="KE41" s="386"/>
      <c r="KF41" s="386">
        <f ca="1">SUMIF('Working-Jan-25'!$C$600:$C$694,JO41,'Working-Jan-25'!$L$600:$L$694)</f>
        <v>42</v>
      </c>
      <c r="KG41" s="393"/>
      <c r="KH41" s="386"/>
      <c r="KI41" s="386"/>
      <c r="KJ41" s="386"/>
      <c r="KK41" s="386"/>
      <c r="KL41" s="386"/>
      <c r="KM41" s="386"/>
      <c r="KN41" s="386"/>
      <c r="KO41" s="386"/>
      <c r="KP41" s="386"/>
      <c r="KQ41" s="386"/>
      <c r="KR41" s="386"/>
      <c r="KS41" s="396"/>
      <c r="KT41" s="396"/>
      <c r="KU41" s="396"/>
      <c r="KV41" s="396"/>
      <c r="KW41" s="396"/>
      <c r="KX41" s="396"/>
      <c r="KY41" s="396"/>
    </row>
    <row r="42" spans="2:311">
      <c r="B42" s="279"/>
      <c r="C42" s="279" t="s">
        <v>493</v>
      </c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303"/>
      <c r="V42" s="303"/>
      <c r="W42" s="303"/>
      <c r="X42" s="303"/>
      <c r="Y42" s="303"/>
      <c r="Z42" s="303"/>
      <c r="AA42" s="303"/>
      <c r="AB42" s="303"/>
      <c r="AC42" s="303"/>
      <c r="AD42" s="303"/>
      <c r="AE42" s="303"/>
      <c r="AF42" s="303"/>
      <c r="AG42" s="303">
        <f ca="1">SUMIF('Working-Jan-25'!$C$600:$C$694,C42,'Working-Jan-25'!$D$600:$D$694)</f>
        <v>0</v>
      </c>
      <c r="AH42" s="303">
        <f ca="1" t="shared" si="14"/>
        <v>0</v>
      </c>
      <c r="AJ42" s="306"/>
      <c r="AK42" s="306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  <c r="BI42" s="307"/>
      <c r="BJ42" s="307"/>
      <c r="BK42" s="307"/>
      <c r="BL42" s="307"/>
      <c r="BM42" s="307"/>
      <c r="BN42" s="307"/>
      <c r="BO42" s="307"/>
      <c r="BP42" s="307"/>
      <c r="BR42" s="315"/>
      <c r="BS42" s="315"/>
      <c r="BT42" s="316"/>
      <c r="BU42" s="316"/>
      <c r="BV42" s="316"/>
      <c r="BW42" s="316"/>
      <c r="BX42" s="316"/>
      <c r="BY42" s="316"/>
      <c r="BZ42" s="316"/>
      <c r="CA42" s="316"/>
      <c r="CB42" s="316"/>
      <c r="CC42" s="316"/>
      <c r="CD42" s="316"/>
      <c r="CE42" s="316"/>
      <c r="CF42" s="316"/>
      <c r="CG42" s="316"/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6"/>
      <c r="CT42" s="316"/>
      <c r="CU42" s="316"/>
      <c r="CV42" s="316"/>
      <c r="CW42" s="316"/>
      <c r="CX42" s="316"/>
      <c r="CZ42" s="337"/>
      <c r="DA42" s="337"/>
      <c r="DB42" s="341"/>
      <c r="DC42" s="341"/>
      <c r="DD42" s="341"/>
      <c r="DE42" s="341"/>
      <c r="DF42" s="341"/>
      <c r="DG42" s="341"/>
      <c r="DH42" s="341"/>
      <c r="DI42" s="341"/>
      <c r="DJ42" s="341"/>
      <c r="DK42" s="341"/>
      <c r="DL42" s="341"/>
      <c r="DM42" s="341"/>
      <c r="DN42" s="341"/>
      <c r="DO42" s="341"/>
      <c r="DP42" s="341"/>
      <c r="DQ42" s="341"/>
      <c r="DR42" s="341"/>
      <c r="DS42" s="341"/>
      <c r="DT42" s="341"/>
      <c r="DU42" s="341"/>
      <c r="DV42" s="341"/>
      <c r="DW42" s="341"/>
      <c r="DX42" s="341"/>
      <c r="DY42" s="341"/>
      <c r="DZ42" s="341"/>
      <c r="EA42" s="341"/>
      <c r="EB42" s="341"/>
      <c r="EC42" s="341"/>
      <c r="ED42" s="341"/>
      <c r="EE42" s="341"/>
      <c r="EF42" s="341"/>
      <c r="EH42" s="347"/>
      <c r="EI42" s="347"/>
      <c r="EJ42" s="348"/>
      <c r="EK42" s="348"/>
      <c r="EL42" s="348"/>
      <c r="EM42" s="348"/>
      <c r="EN42" s="348"/>
      <c r="EO42" s="348"/>
      <c r="EP42" s="348"/>
      <c r="EQ42" s="348"/>
      <c r="ER42" s="348"/>
      <c r="ES42" s="348"/>
      <c r="ET42" s="348"/>
      <c r="EU42" s="348"/>
      <c r="EV42" s="348"/>
      <c r="EW42" s="348"/>
      <c r="EX42" s="348"/>
      <c r="EY42" s="348"/>
      <c r="EZ42" s="348"/>
      <c r="FA42" s="348"/>
      <c r="FB42" s="348"/>
      <c r="FC42" s="348"/>
      <c r="FD42" s="348"/>
      <c r="FE42" s="348"/>
      <c r="FF42" s="348"/>
      <c r="FG42" s="348"/>
      <c r="FH42" s="348"/>
      <c r="FI42" s="348"/>
      <c r="FJ42" s="348"/>
      <c r="FK42" s="348"/>
      <c r="FL42" s="355"/>
      <c r="FM42" s="348"/>
      <c r="FN42" s="355">
        <f t="shared" si="12"/>
        <v>0</v>
      </c>
      <c r="FP42" s="358"/>
      <c r="FQ42" s="358"/>
      <c r="FR42" s="359"/>
      <c r="FS42" s="359"/>
      <c r="FT42" s="359"/>
      <c r="FU42" s="359"/>
      <c r="FV42" s="359"/>
      <c r="FW42" s="359"/>
      <c r="FX42" s="359"/>
      <c r="FY42" s="359"/>
      <c r="FZ42" s="359"/>
      <c r="GA42" s="359"/>
      <c r="GB42" s="359"/>
      <c r="GC42" s="359"/>
      <c r="GD42" s="359"/>
      <c r="GE42" s="359"/>
      <c r="GF42" s="359"/>
      <c r="GG42" s="359"/>
      <c r="GH42" s="359"/>
      <c r="GI42" s="359"/>
      <c r="GJ42" s="359"/>
      <c r="GK42" s="359"/>
      <c r="GL42" s="359"/>
      <c r="GM42" s="359"/>
      <c r="GN42" s="359"/>
      <c r="GO42" s="359"/>
      <c r="GP42" s="365"/>
      <c r="GQ42" s="359"/>
      <c r="GR42" s="365"/>
      <c r="GS42" s="359"/>
      <c r="GT42" s="365"/>
      <c r="GU42" s="359"/>
      <c r="GV42" s="365">
        <f t="shared" si="10"/>
        <v>0</v>
      </c>
      <c r="GX42" s="368" t="s">
        <v>562</v>
      </c>
      <c r="GY42" s="368"/>
      <c r="GZ42" s="369"/>
      <c r="HA42" s="369"/>
      <c r="HB42" s="369"/>
      <c r="HC42" s="369"/>
      <c r="HD42" s="369"/>
      <c r="HE42" s="369"/>
      <c r="HF42" s="369"/>
      <c r="HG42" s="369"/>
      <c r="HH42" s="369"/>
      <c r="HI42" s="369"/>
      <c r="HJ42" s="369"/>
      <c r="HK42" s="369"/>
      <c r="HL42" s="369"/>
      <c r="HM42" s="375"/>
      <c r="HN42" s="369"/>
      <c r="HO42" s="369"/>
      <c r="HP42" s="369"/>
      <c r="HQ42" s="369"/>
      <c r="HR42" s="369"/>
      <c r="HS42" s="369"/>
      <c r="HT42" s="369"/>
      <c r="HU42" s="369"/>
      <c r="HV42" s="369"/>
      <c r="HW42" s="369"/>
      <c r="HX42" s="369"/>
      <c r="HY42" s="375"/>
      <c r="HZ42" s="375"/>
      <c r="IA42" s="375"/>
      <c r="IB42" s="375"/>
      <c r="IC42" s="378">
        <f ca="1">SUMIF('Working-Jan-25'!$C$600:$C$694,GX42,'Working-Jan-25'!$F$600:$F$694)</f>
        <v>0</v>
      </c>
      <c r="ID42" s="378">
        <f ca="1" t="shared" si="5"/>
        <v>0</v>
      </c>
      <c r="IF42" s="368" t="s">
        <v>599</v>
      </c>
      <c r="IG42" s="368"/>
      <c r="IH42" s="369"/>
      <c r="II42" s="369"/>
      <c r="IJ42" s="369"/>
      <c r="IK42" s="369"/>
      <c r="IL42" s="369"/>
      <c r="IM42" s="369"/>
      <c r="IN42" s="369"/>
      <c r="IO42" s="369"/>
      <c r="IP42" s="369"/>
      <c r="IQ42" s="369"/>
      <c r="IR42" s="369"/>
      <c r="IS42" s="369"/>
      <c r="IT42" s="369"/>
      <c r="IU42" s="369"/>
      <c r="IV42" s="369"/>
      <c r="IW42" s="369"/>
      <c r="IX42" s="369"/>
      <c r="IY42" s="369"/>
      <c r="IZ42" s="369"/>
      <c r="JA42" s="369"/>
      <c r="JB42" s="369"/>
      <c r="JC42" s="369"/>
      <c r="JD42" s="369"/>
      <c r="JE42" s="369"/>
      <c r="JF42" s="369"/>
      <c r="JG42" s="369"/>
      <c r="JH42" s="369"/>
      <c r="JI42" s="369"/>
      <c r="JJ42" s="369"/>
      <c r="JK42" s="369">
        <f>VLOOKUP(IF42,'Working-Jan-25'!$C$5:$M$586,11,0)</f>
        <v>0</v>
      </c>
      <c r="JL42" s="369">
        <f t="shared" si="13"/>
        <v>0</v>
      </c>
      <c r="JN42" s="37" t="s">
        <v>590</v>
      </c>
      <c r="JO42" s="37" t="s">
        <v>600</v>
      </c>
      <c r="JP42" s="37"/>
      <c r="JQ42" s="382"/>
      <c r="JR42" s="382"/>
      <c r="JS42" s="382"/>
      <c r="JT42" s="382"/>
      <c r="JU42" s="382"/>
      <c r="JV42" s="382"/>
      <c r="JW42" s="386"/>
      <c r="JX42" s="386"/>
      <c r="JY42" s="386"/>
      <c r="JZ42" s="386"/>
      <c r="KA42" s="386"/>
      <c r="KB42" s="386"/>
      <c r="KC42" s="386"/>
      <c r="KD42" s="386"/>
      <c r="KE42" s="386"/>
      <c r="KF42" s="386">
        <f ca="1">SUMIF('Working-Jan-25'!$C$600:$C$694,JO42,'Working-Jan-25'!$L$600:$L$694)</f>
        <v>48304.54</v>
      </c>
      <c r="KG42" s="393"/>
      <c r="KH42" s="386"/>
      <c r="KI42" s="386"/>
      <c r="KJ42" s="386"/>
      <c r="KK42" s="386"/>
      <c r="KL42" s="386"/>
      <c r="KM42" s="386"/>
      <c r="KN42" s="386"/>
      <c r="KO42" s="386"/>
      <c r="KP42" s="386"/>
      <c r="KQ42" s="386"/>
      <c r="KR42" s="386"/>
      <c r="KS42" s="396"/>
      <c r="KT42" s="396"/>
      <c r="KU42" s="396"/>
      <c r="KV42" s="396"/>
      <c r="KW42" s="396"/>
      <c r="KX42" s="396"/>
      <c r="KY42" s="396"/>
    </row>
    <row r="43" spans="2:311">
      <c r="B43" s="279"/>
      <c r="C43" s="279" t="s">
        <v>601</v>
      </c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303"/>
      <c r="V43" s="303"/>
      <c r="W43" s="303"/>
      <c r="X43" s="303"/>
      <c r="Y43" s="303"/>
      <c r="Z43" s="303"/>
      <c r="AA43" s="303"/>
      <c r="AB43" s="303"/>
      <c r="AC43" s="303"/>
      <c r="AD43" s="303"/>
      <c r="AE43" s="303"/>
      <c r="AF43" s="303"/>
      <c r="AG43" s="303">
        <f ca="1">SUMIF('Working-Jan-25'!$C$600:$C$694,C43,'Working-Jan-25'!$D$600:$D$694)</f>
        <v>0</v>
      </c>
      <c r="AH43" s="303">
        <f ca="1" t="shared" si="14"/>
        <v>0</v>
      </c>
      <c r="AJ43" s="306"/>
      <c r="AK43" s="306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  <c r="BI43" s="307"/>
      <c r="BJ43" s="307"/>
      <c r="BK43" s="307"/>
      <c r="BL43" s="307"/>
      <c r="BM43" s="307"/>
      <c r="BN43" s="307"/>
      <c r="BO43" s="307"/>
      <c r="BP43" s="307"/>
      <c r="BR43" s="315"/>
      <c r="BS43" s="315"/>
      <c r="BT43" s="316"/>
      <c r="BU43" s="316"/>
      <c r="BV43" s="316"/>
      <c r="BW43" s="316"/>
      <c r="BX43" s="316"/>
      <c r="BY43" s="316"/>
      <c r="BZ43" s="316"/>
      <c r="CA43" s="316"/>
      <c r="CB43" s="316"/>
      <c r="CC43" s="316"/>
      <c r="CD43" s="316"/>
      <c r="CE43" s="316"/>
      <c r="CF43" s="316"/>
      <c r="CG43" s="316"/>
      <c r="CH43" s="316"/>
      <c r="CI43" s="316"/>
      <c r="CJ43" s="316"/>
      <c r="CK43" s="316"/>
      <c r="CL43" s="316"/>
      <c r="CM43" s="316"/>
      <c r="CN43" s="316"/>
      <c r="CO43" s="316"/>
      <c r="CP43" s="316"/>
      <c r="CQ43" s="316"/>
      <c r="CR43" s="316"/>
      <c r="CS43" s="316"/>
      <c r="CT43" s="316"/>
      <c r="CU43" s="316"/>
      <c r="CV43" s="316"/>
      <c r="CW43" s="316"/>
      <c r="CX43" s="316"/>
      <c r="CZ43" s="337"/>
      <c r="DA43" s="337"/>
      <c r="DB43" s="341"/>
      <c r="DC43" s="341"/>
      <c r="DD43" s="341"/>
      <c r="DE43" s="341"/>
      <c r="DF43" s="341"/>
      <c r="DG43" s="341"/>
      <c r="DH43" s="341"/>
      <c r="DI43" s="341"/>
      <c r="DJ43" s="341"/>
      <c r="DK43" s="341"/>
      <c r="DL43" s="341"/>
      <c r="DM43" s="341"/>
      <c r="DN43" s="341"/>
      <c r="DO43" s="341"/>
      <c r="DP43" s="341"/>
      <c r="DQ43" s="341"/>
      <c r="DR43" s="341"/>
      <c r="DS43" s="341"/>
      <c r="DT43" s="341"/>
      <c r="DU43" s="341"/>
      <c r="DV43" s="341"/>
      <c r="DW43" s="341"/>
      <c r="DX43" s="341"/>
      <c r="DY43" s="341"/>
      <c r="DZ43" s="341"/>
      <c r="EA43" s="341"/>
      <c r="EB43" s="341"/>
      <c r="EC43" s="341"/>
      <c r="ED43" s="341"/>
      <c r="EE43" s="341"/>
      <c r="EF43" s="341"/>
      <c r="EH43" s="347"/>
      <c r="EI43" s="347"/>
      <c r="EJ43" s="348"/>
      <c r="EK43" s="348"/>
      <c r="EL43" s="348"/>
      <c r="EM43" s="348"/>
      <c r="EN43" s="348"/>
      <c r="EO43" s="348"/>
      <c r="EP43" s="348"/>
      <c r="EQ43" s="348"/>
      <c r="ER43" s="348"/>
      <c r="ES43" s="348"/>
      <c r="ET43" s="348"/>
      <c r="EU43" s="348"/>
      <c r="EV43" s="348"/>
      <c r="EW43" s="348"/>
      <c r="EX43" s="348"/>
      <c r="EY43" s="348"/>
      <c r="EZ43" s="348"/>
      <c r="FA43" s="348"/>
      <c r="FB43" s="348"/>
      <c r="FC43" s="348"/>
      <c r="FD43" s="348"/>
      <c r="FE43" s="348"/>
      <c r="FF43" s="348"/>
      <c r="FG43" s="348"/>
      <c r="FH43" s="348"/>
      <c r="FI43" s="348"/>
      <c r="FJ43" s="348"/>
      <c r="FK43" s="348"/>
      <c r="FL43" s="355"/>
      <c r="FM43" s="348"/>
      <c r="FN43" s="355">
        <f t="shared" si="12"/>
        <v>0</v>
      </c>
      <c r="FP43" s="358"/>
      <c r="FQ43" s="358"/>
      <c r="FR43" s="359"/>
      <c r="FS43" s="359"/>
      <c r="FT43" s="359"/>
      <c r="FU43" s="359"/>
      <c r="FV43" s="359"/>
      <c r="FW43" s="359"/>
      <c r="FX43" s="359"/>
      <c r="FY43" s="359"/>
      <c r="FZ43" s="359"/>
      <c r="GA43" s="359"/>
      <c r="GB43" s="359"/>
      <c r="GC43" s="359"/>
      <c r="GD43" s="359"/>
      <c r="GE43" s="359"/>
      <c r="GF43" s="359"/>
      <c r="GG43" s="359"/>
      <c r="GH43" s="359"/>
      <c r="GI43" s="359"/>
      <c r="GJ43" s="359"/>
      <c r="GK43" s="359"/>
      <c r="GL43" s="359"/>
      <c r="GM43" s="359"/>
      <c r="GN43" s="359"/>
      <c r="GO43" s="359"/>
      <c r="GP43" s="365"/>
      <c r="GQ43" s="359"/>
      <c r="GR43" s="365"/>
      <c r="GS43" s="359"/>
      <c r="GT43" s="365"/>
      <c r="GU43" s="359"/>
      <c r="GV43" s="365">
        <f t="shared" si="10"/>
        <v>0</v>
      </c>
      <c r="GX43" s="368" t="s">
        <v>566</v>
      </c>
      <c r="GY43" s="368"/>
      <c r="GZ43" s="369"/>
      <c r="HA43" s="369"/>
      <c r="HB43" s="369"/>
      <c r="HC43" s="369"/>
      <c r="HD43" s="369"/>
      <c r="HE43" s="369"/>
      <c r="HF43" s="369"/>
      <c r="HG43" s="369"/>
      <c r="HH43" s="369"/>
      <c r="HI43" s="369"/>
      <c r="HJ43" s="369"/>
      <c r="HK43" s="369"/>
      <c r="HL43" s="369"/>
      <c r="HM43" s="375"/>
      <c r="HN43" s="369"/>
      <c r="HO43" s="369"/>
      <c r="HP43" s="369"/>
      <c r="HQ43" s="369"/>
      <c r="HR43" s="369"/>
      <c r="HS43" s="369"/>
      <c r="HT43" s="369"/>
      <c r="HU43" s="369"/>
      <c r="HV43" s="369"/>
      <c r="HW43" s="369"/>
      <c r="HX43" s="369"/>
      <c r="HY43" s="375"/>
      <c r="HZ43" s="375"/>
      <c r="IA43" s="375"/>
      <c r="IB43" s="375"/>
      <c r="IC43" s="378">
        <f ca="1">SUMIF('Working-Jan-25'!$C$600:$C$694,GX43,'Working-Jan-25'!$F$600:$F$694)</f>
        <v>0</v>
      </c>
      <c r="ID43" s="378">
        <f ca="1" t="shared" si="5"/>
        <v>0</v>
      </c>
      <c r="IF43" s="368" t="s">
        <v>602</v>
      </c>
      <c r="IG43" s="368"/>
      <c r="IH43" s="369"/>
      <c r="II43" s="369"/>
      <c r="IJ43" s="369"/>
      <c r="IK43" s="369"/>
      <c r="IL43" s="369"/>
      <c r="IM43" s="369"/>
      <c r="IN43" s="369"/>
      <c r="IO43" s="369"/>
      <c r="IP43" s="369"/>
      <c r="IQ43" s="369"/>
      <c r="IR43" s="369"/>
      <c r="IS43" s="369"/>
      <c r="IT43" s="369"/>
      <c r="IU43" s="369"/>
      <c r="IV43" s="369"/>
      <c r="IW43" s="369"/>
      <c r="IX43" s="369"/>
      <c r="IY43" s="369"/>
      <c r="IZ43" s="369"/>
      <c r="JA43" s="369"/>
      <c r="JB43" s="369"/>
      <c r="JC43" s="369"/>
      <c r="JD43" s="369"/>
      <c r="JE43" s="369"/>
      <c r="JF43" s="369"/>
      <c r="JG43" s="369"/>
      <c r="JH43" s="369"/>
      <c r="JI43" s="369"/>
      <c r="JJ43" s="369"/>
      <c r="JK43" s="369">
        <f>VLOOKUP(IF43,'Working-Jan-25'!$C$5:$M$586,11,0)</f>
        <v>0</v>
      </c>
      <c r="JL43" s="369">
        <f t="shared" si="13"/>
        <v>0</v>
      </c>
      <c r="JN43" s="37" t="s">
        <v>591</v>
      </c>
      <c r="JO43" s="37" t="s">
        <v>603</v>
      </c>
      <c r="JP43" s="37"/>
      <c r="JQ43" s="382"/>
      <c r="JR43" s="382"/>
      <c r="JS43" s="382"/>
      <c r="JT43" s="382"/>
      <c r="JU43" s="382"/>
      <c r="JV43" s="382"/>
      <c r="JW43" s="386"/>
      <c r="JX43" s="386"/>
      <c r="JY43" s="386"/>
      <c r="JZ43" s="386"/>
      <c r="KA43" s="386"/>
      <c r="KB43" s="386"/>
      <c r="KC43" s="386"/>
      <c r="KD43" s="386"/>
      <c r="KE43" s="386"/>
      <c r="KF43" s="386">
        <f ca="1">SUMIF('Working-Jan-25'!$C$600:$C$694,JO43,'Working-Jan-25'!$L$600:$L$694)</f>
        <v>0</v>
      </c>
      <c r="KG43" s="393"/>
      <c r="KH43" s="386"/>
      <c r="KI43" s="386" t="s">
        <v>121</v>
      </c>
      <c r="KJ43" s="386"/>
      <c r="KK43" s="386"/>
      <c r="KL43" s="386"/>
      <c r="KM43" s="386"/>
      <c r="KN43" s="386"/>
      <c r="KO43" s="386"/>
      <c r="KP43" s="386"/>
      <c r="KQ43" s="386"/>
      <c r="KR43" s="386"/>
      <c r="KS43" s="396"/>
      <c r="KT43" s="396"/>
      <c r="KU43" s="396"/>
      <c r="KV43" s="396"/>
      <c r="KW43" s="396"/>
      <c r="KX43" s="396"/>
      <c r="KY43" s="396">
        <f ca="1">SUMIF('Working-Jan-25'!$C$600:$C$694,KI43,'Working-Jan-25'!$I$600:$I$694)</f>
        <v>0</v>
      </c>
    </row>
    <row r="44" spans="2:311">
      <c r="B44" s="279"/>
      <c r="C44" s="279" t="s">
        <v>588</v>
      </c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301"/>
      <c r="V44" s="301"/>
      <c r="W44" s="303"/>
      <c r="X44" s="303"/>
      <c r="Y44" s="303"/>
      <c r="Z44" s="303"/>
      <c r="AA44" s="303"/>
      <c r="AB44" s="303"/>
      <c r="AC44" s="303"/>
      <c r="AD44" s="303"/>
      <c r="AE44" s="303"/>
      <c r="AF44" s="303"/>
      <c r="AG44" s="303">
        <f ca="1">SUMIF('Working-Jan-25'!$C$600:$C$694,C44,'Working-Jan-25'!$D$600:$D$694)</f>
        <v>0</v>
      </c>
      <c r="AH44" s="303">
        <f ca="1" t="shared" si="14"/>
        <v>0</v>
      </c>
      <c r="AJ44" s="306"/>
      <c r="AK44" s="306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  <c r="BI44" s="307"/>
      <c r="BJ44" s="307"/>
      <c r="BK44" s="307"/>
      <c r="BL44" s="307"/>
      <c r="BM44" s="307"/>
      <c r="BN44" s="307"/>
      <c r="BO44" s="307"/>
      <c r="BP44" s="307"/>
      <c r="BR44" s="315"/>
      <c r="BS44" s="315"/>
      <c r="BT44" s="316"/>
      <c r="BU44" s="316"/>
      <c r="BV44" s="316"/>
      <c r="BW44" s="316"/>
      <c r="BX44" s="316"/>
      <c r="BY44" s="316"/>
      <c r="BZ44" s="316"/>
      <c r="CA44" s="316"/>
      <c r="CB44" s="316"/>
      <c r="CC44" s="316"/>
      <c r="CD44" s="316"/>
      <c r="CE44" s="316"/>
      <c r="CF44" s="316"/>
      <c r="CG44" s="316"/>
      <c r="CH44" s="316"/>
      <c r="CI44" s="316"/>
      <c r="CJ44" s="316"/>
      <c r="CK44" s="316"/>
      <c r="CL44" s="316"/>
      <c r="CM44" s="316"/>
      <c r="CN44" s="316"/>
      <c r="CO44" s="316"/>
      <c r="CP44" s="316"/>
      <c r="CQ44" s="316"/>
      <c r="CR44" s="316"/>
      <c r="CS44" s="316"/>
      <c r="CT44" s="316"/>
      <c r="CU44" s="316"/>
      <c r="CV44" s="316"/>
      <c r="CW44" s="316"/>
      <c r="CX44" s="316"/>
      <c r="CZ44" s="337"/>
      <c r="DA44" s="337"/>
      <c r="DB44" s="341"/>
      <c r="DC44" s="341"/>
      <c r="DD44" s="341"/>
      <c r="DE44" s="341"/>
      <c r="DF44" s="341"/>
      <c r="DG44" s="341"/>
      <c r="DH44" s="341"/>
      <c r="DI44" s="341"/>
      <c r="DJ44" s="341"/>
      <c r="DK44" s="341"/>
      <c r="DL44" s="341"/>
      <c r="DM44" s="341"/>
      <c r="DN44" s="341"/>
      <c r="DO44" s="341"/>
      <c r="DP44" s="341"/>
      <c r="DQ44" s="341"/>
      <c r="DR44" s="341"/>
      <c r="DS44" s="341"/>
      <c r="DT44" s="341"/>
      <c r="DU44" s="341"/>
      <c r="DV44" s="341"/>
      <c r="DW44" s="341"/>
      <c r="DX44" s="341"/>
      <c r="DY44" s="341"/>
      <c r="DZ44" s="341"/>
      <c r="EA44" s="341"/>
      <c r="EB44" s="341"/>
      <c r="EC44" s="341"/>
      <c r="ED44" s="341"/>
      <c r="EE44" s="341"/>
      <c r="EF44" s="341"/>
      <c r="EH44" s="347"/>
      <c r="EI44" s="347"/>
      <c r="EJ44" s="348"/>
      <c r="EK44" s="348"/>
      <c r="EL44" s="348"/>
      <c r="EM44" s="348"/>
      <c r="EN44" s="348"/>
      <c r="EO44" s="348"/>
      <c r="EP44" s="348"/>
      <c r="EQ44" s="348"/>
      <c r="ER44" s="348"/>
      <c r="ES44" s="348"/>
      <c r="ET44" s="348"/>
      <c r="EU44" s="348"/>
      <c r="EV44" s="348"/>
      <c r="EW44" s="348"/>
      <c r="EX44" s="348"/>
      <c r="EY44" s="348"/>
      <c r="EZ44" s="348"/>
      <c r="FA44" s="348"/>
      <c r="FB44" s="348"/>
      <c r="FC44" s="348"/>
      <c r="FD44" s="348"/>
      <c r="FE44" s="348"/>
      <c r="FF44" s="348"/>
      <c r="FG44" s="348"/>
      <c r="FH44" s="348"/>
      <c r="FI44" s="348"/>
      <c r="FJ44" s="348"/>
      <c r="FK44" s="348"/>
      <c r="FL44" s="355"/>
      <c r="FM44" s="348"/>
      <c r="FN44" s="355">
        <f t="shared" si="12"/>
        <v>0</v>
      </c>
      <c r="FP44" s="358"/>
      <c r="FQ44" s="358"/>
      <c r="FR44" s="359"/>
      <c r="FS44" s="359"/>
      <c r="FT44" s="359"/>
      <c r="FU44" s="359"/>
      <c r="FV44" s="359"/>
      <c r="FW44" s="359"/>
      <c r="FX44" s="359"/>
      <c r="FY44" s="359"/>
      <c r="FZ44" s="359"/>
      <c r="GA44" s="359"/>
      <c r="GB44" s="359"/>
      <c r="GC44" s="359"/>
      <c r="GD44" s="359"/>
      <c r="GE44" s="359"/>
      <c r="GF44" s="359"/>
      <c r="GG44" s="359"/>
      <c r="GH44" s="359"/>
      <c r="GI44" s="359"/>
      <c r="GJ44" s="359"/>
      <c r="GK44" s="359"/>
      <c r="GL44" s="359"/>
      <c r="GM44" s="359"/>
      <c r="GN44" s="359"/>
      <c r="GO44" s="359"/>
      <c r="GP44" s="365"/>
      <c r="GQ44" s="359"/>
      <c r="GR44" s="365"/>
      <c r="GS44" s="359"/>
      <c r="GT44" s="365"/>
      <c r="GU44" s="359"/>
      <c r="GV44" s="365">
        <f t="shared" si="10"/>
        <v>0</v>
      </c>
      <c r="GX44" s="368" t="s">
        <v>567</v>
      </c>
      <c r="GY44" s="368"/>
      <c r="GZ44" s="369"/>
      <c r="HA44" s="369"/>
      <c r="HB44" s="369"/>
      <c r="HC44" s="369"/>
      <c r="HD44" s="369"/>
      <c r="HE44" s="369"/>
      <c r="HF44" s="369"/>
      <c r="HG44" s="369"/>
      <c r="HH44" s="369"/>
      <c r="HI44" s="369"/>
      <c r="HJ44" s="369"/>
      <c r="HK44" s="369"/>
      <c r="HL44" s="369"/>
      <c r="HM44" s="375"/>
      <c r="HN44" s="369"/>
      <c r="HO44" s="369"/>
      <c r="HP44" s="369"/>
      <c r="HQ44" s="369"/>
      <c r="HR44" s="369"/>
      <c r="HS44" s="369"/>
      <c r="HT44" s="369"/>
      <c r="HU44" s="369"/>
      <c r="HV44" s="369"/>
      <c r="HW44" s="369"/>
      <c r="HX44" s="369"/>
      <c r="HY44" s="375"/>
      <c r="HZ44" s="375"/>
      <c r="IA44" s="375"/>
      <c r="IB44" s="375"/>
      <c r="IC44" s="378">
        <f ca="1">SUMIF('Working-Jan-25'!$C$600:$C$694,GX44,'Working-Jan-25'!$F$600:$F$694)</f>
        <v>0</v>
      </c>
      <c r="ID44" s="378">
        <f ca="1" t="shared" si="5"/>
        <v>0</v>
      </c>
      <c r="IF44" s="368" t="s">
        <v>604</v>
      </c>
      <c r="IG44" s="368"/>
      <c r="IH44" s="380"/>
      <c r="II44" s="380"/>
      <c r="IJ44" s="380"/>
      <c r="IK44" s="380"/>
      <c r="IL44" s="380"/>
      <c r="IM44" s="380"/>
      <c r="IN44" s="380"/>
      <c r="IO44" s="380"/>
      <c r="IP44" s="380"/>
      <c r="IQ44" s="380"/>
      <c r="IR44" s="380"/>
      <c r="IS44" s="380"/>
      <c r="IT44" s="380"/>
      <c r="IU44" s="369"/>
      <c r="IV44" s="369"/>
      <c r="IW44" s="369"/>
      <c r="IX44" s="369"/>
      <c r="IY44" s="369"/>
      <c r="IZ44" s="369"/>
      <c r="JA44" s="369"/>
      <c r="JB44" s="369"/>
      <c r="JC44" s="369"/>
      <c r="JD44" s="369"/>
      <c r="JE44" s="369"/>
      <c r="JF44" s="369"/>
      <c r="JG44" s="369"/>
      <c r="JH44" s="369"/>
      <c r="JI44" s="369"/>
      <c r="JJ44" s="369"/>
      <c r="JK44" s="369">
        <f>VLOOKUP(IF44,'Working-Jan-25'!$C$5:$M$586,11,0)</f>
        <v>0.30000000000291</v>
      </c>
      <c r="JL44" s="369">
        <f t="shared" si="13"/>
        <v>0</v>
      </c>
      <c r="JN44" s="37" t="s">
        <v>594</v>
      </c>
      <c r="JO44" s="37" t="s">
        <v>605</v>
      </c>
      <c r="JP44" s="37"/>
      <c r="JQ44" s="382"/>
      <c r="JR44" s="382"/>
      <c r="JS44" s="382"/>
      <c r="JT44" s="382"/>
      <c r="JU44" s="382"/>
      <c r="JV44" s="382"/>
      <c r="JW44" s="386"/>
      <c r="JX44" s="386"/>
      <c r="JY44" s="386"/>
      <c r="JZ44" s="385"/>
      <c r="KA44" s="385"/>
      <c r="KB44" s="386"/>
      <c r="KC44" s="386"/>
      <c r="KD44" s="386"/>
      <c r="KE44" s="386"/>
      <c r="KF44" s="386">
        <f ca="1">SUMIF('Working-Jan-25'!$C$600:$C$694,JO44,'Working-Jan-25'!$L$600:$L$694)</f>
        <v>0</v>
      </c>
      <c r="KG44" s="393"/>
      <c r="KH44" s="386"/>
      <c r="KI44" s="386" t="s">
        <v>606</v>
      </c>
      <c r="KJ44" s="386"/>
      <c r="KK44" s="386"/>
      <c r="KL44" s="386"/>
      <c r="KM44" s="386"/>
      <c r="KN44" s="386"/>
      <c r="KO44" s="386"/>
      <c r="KP44" s="386"/>
      <c r="KQ44" s="386"/>
      <c r="KR44" s="386"/>
      <c r="KS44" s="396"/>
      <c r="KT44" s="396"/>
      <c r="KU44" s="396"/>
      <c r="KV44" s="396"/>
      <c r="KW44" s="396"/>
      <c r="KX44" s="396"/>
      <c r="KY44" s="396">
        <f ca="1">SUMIF('Working-Jan-25'!$C$600:$C$694,KI44,'Working-Jan-25'!$I$600:$I$694)</f>
        <v>0</v>
      </c>
    </row>
    <row r="45" spans="2:311">
      <c r="B45" s="279"/>
      <c r="C45" s="279" t="s">
        <v>607</v>
      </c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301"/>
      <c r="V45" s="301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>
        <f ca="1">SUMIF('Working-Jan-25'!$C$600:$C$694,C45,'Working-Jan-25'!$D$600:$D$694)</f>
        <v>80430</v>
      </c>
      <c r="AH45" s="303">
        <f ca="1" t="shared" si="14"/>
        <v>0</v>
      </c>
      <c r="AJ45" s="306"/>
      <c r="AK45" s="306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  <c r="BI45" s="307"/>
      <c r="BJ45" s="307"/>
      <c r="BK45" s="307"/>
      <c r="BL45" s="307"/>
      <c r="BM45" s="307"/>
      <c r="BN45" s="307"/>
      <c r="BO45" s="307"/>
      <c r="BP45" s="307"/>
      <c r="BR45" s="315"/>
      <c r="BS45" s="315"/>
      <c r="BT45" s="316"/>
      <c r="BU45" s="316"/>
      <c r="BV45" s="316"/>
      <c r="BW45" s="316"/>
      <c r="BX45" s="316"/>
      <c r="BY45" s="316"/>
      <c r="BZ45" s="316"/>
      <c r="CA45" s="316"/>
      <c r="CB45" s="316"/>
      <c r="CC45" s="316"/>
      <c r="CD45" s="316"/>
      <c r="CE45" s="316"/>
      <c r="CF45" s="316"/>
      <c r="CG45" s="316"/>
      <c r="CH45" s="316"/>
      <c r="CI45" s="316"/>
      <c r="CJ45" s="316"/>
      <c r="CK45" s="316"/>
      <c r="CL45" s="316"/>
      <c r="CM45" s="316"/>
      <c r="CN45" s="316"/>
      <c r="CO45" s="316"/>
      <c r="CP45" s="316"/>
      <c r="CQ45" s="316"/>
      <c r="CR45" s="316"/>
      <c r="CS45" s="316"/>
      <c r="CT45" s="316"/>
      <c r="CU45" s="316"/>
      <c r="CV45" s="316"/>
      <c r="CW45" s="316"/>
      <c r="CX45" s="316"/>
      <c r="CZ45" s="337"/>
      <c r="DA45" s="337"/>
      <c r="DB45" s="341"/>
      <c r="DC45" s="341"/>
      <c r="DD45" s="341"/>
      <c r="DE45" s="341"/>
      <c r="DF45" s="341"/>
      <c r="DG45" s="341"/>
      <c r="DH45" s="341"/>
      <c r="DI45" s="341"/>
      <c r="DJ45" s="341"/>
      <c r="DK45" s="341"/>
      <c r="DL45" s="341"/>
      <c r="DM45" s="341"/>
      <c r="DN45" s="341"/>
      <c r="DO45" s="341"/>
      <c r="DP45" s="341"/>
      <c r="DQ45" s="341"/>
      <c r="DR45" s="341"/>
      <c r="DS45" s="341"/>
      <c r="DT45" s="341"/>
      <c r="DU45" s="341"/>
      <c r="DV45" s="341"/>
      <c r="DW45" s="341"/>
      <c r="DX45" s="341"/>
      <c r="DY45" s="341"/>
      <c r="DZ45" s="341"/>
      <c r="EA45" s="341"/>
      <c r="EB45" s="341"/>
      <c r="EC45" s="341"/>
      <c r="ED45" s="341"/>
      <c r="EE45" s="341"/>
      <c r="EF45" s="341"/>
      <c r="EH45" s="347"/>
      <c r="EI45" s="347"/>
      <c r="EJ45" s="348"/>
      <c r="EK45" s="348"/>
      <c r="EL45" s="348"/>
      <c r="EM45" s="348"/>
      <c r="EN45" s="348"/>
      <c r="EO45" s="348"/>
      <c r="EP45" s="348"/>
      <c r="EQ45" s="348"/>
      <c r="ER45" s="348"/>
      <c r="ES45" s="348"/>
      <c r="ET45" s="348"/>
      <c r="EU45" s="348"/>
      <c r="EV45" s="348"/>
      <c r="EW45" s="348"/>
      <c r="EX45" s="348"/>
      <c r="EY45" s="348"/>
      <c r="EZ45" s="348"/>
      <c r="FA45" s="348"/>
      <c r="FB45" s="348"/>
      <c r="FC45" s="348"/>
      <c r="FD45" s="348"/>
      <c r="FE45" s="348"/>
      <c r="FF45" s="348"/>
      <c r="FG45" s="348"/>
      <c r="FH45" s="348"/>
      <c r="FI45" s="348"/>
      <c r="FJ45" s="348"/>
      <c r="FK45" s="348"/>
      <c r="FL45" s="355"/>
      <c r="FM45" s="348"/>
      <c r="FN45" s="355">
        <f t="shared" si="12"/>
        <v>0</v>
      </c>
      <c r="FP45" s="358"/>
      <c r="FQ45" s="358"/>
      <c r="FR45" s="359"/>
      <c r="FS45" s="359"/>
      <c r="FT45" s="359"/>
      <c r="FU45" s="359"/>
      <c r="FV45" s="359"/>
      <c r="FW45" s="359"/>
      <c r="FX45" s="359"/>
      <c r="FY45" s="359"/>
      <c r="FZ45" s="359"/>
      <c r="GA45" s="359"/>
      <c r="GB45" s="359"/>
      <c r="GC45" s="359"/>
      <c r="GD45" s="359"/>
      <c r="GE45" s="359"/>
      <c r="GF45" s="359"/>
      <c r="GG45" s="359"/>
      <c r="GH45" s="359"/>
      <c r="GI45" s="359"/>
      <c r="GJ45" s="359"/>
      <c r="GK45" s="359"/>
      <c r="GL45" s="359"/>
      <c r="GM45" s="359"/>
      <c r="GN45" s="359"/>
      <c r="GO45" s="359"/>
      <c r="GP45" s="365"/>
      <c r="GQ45" s="359"/>
      <c r="GR45" s="365"/>
      <c r="GS45" s="359"/>
      <c r="GT45" s="365"/>
      <c r="GU45" s="359"/>
      <c r="GV45" s="365">
        <f t="shared" si="10"/>
        <v>0</v>
      </c>
      <c r="GX45" s="368" t="s">
        <v>570</v>
      </c>
      <c r="GY45" s="368"/>
      <c r="GZ45" s="369"/>
      <c r="HA45" s="369"/>
      <c r="HB45" s="369"/>
      <c r="HC45" s="369"/>
      <c r="HD45" s="369"/>
      <c r="HE45" s="369"/>
      <c r="HF45" s="369"/>
      <c r="HG45" s="369"/>
      <c r="HH45" s="369"/>
      <c r="HI45" s="369"/>
      <c r="HJ45" s="369"/>
      <c r="HK45" s="369"/>
      <c r="HL45" s="369"/>
      <c r="HM45" s="375"/>
      <c r="HN45" s="369"/>
      <c r="HO45" s="375"/>
      <c r="HP45" s="369"/>
      <c r="HQ45" s="369"/>
      <c r="HR45" s="369"/>
      <c r="HS45" s="369"/>
      <c r="HT45" s="369"/>
      <c r="HU45" s="369"/>
      <c r="HV45" s="369"/>
      <c r="HW45" s="369"/>
      <c r="HX45" s="369"/>
      <c r="HY45" s="375"/>
      <c r="HZ45" s="375"/>
      <c r="IA45" s="375"/>
      <c r="IB45" s="375"/>
      <c r="IC45" s="378">
        <f ca="1">SUMIF('Working-Jan-25'!$C$600:$C$694,GX45,'Working-Jan-25'!$F$600:$F$694)</f>
        <v>0</v>
      </c>
      <c r="ID45" s="378">
        <f ca="1" t="shared" si="5"/>
        <v>0</v>
      </c>
      <c r="IF45" s="368" t="s">
        <v>608</v>
      </c>
      <c r="IG45" s="368"/>
      <c r="IH45" s="380"/>
      <c r="II45" s="380"/>
      <c r="IJ45" s="380"/>
      <c r="IK45" s="380"/>
      <c r="IL45" s="380"/>
      <c r="IM45" s="380"/>
      <c r="IN45" s="380"/>
      <c r="IO45" s="380"/>
      <c r="IP45" s="380"/>
      <c r="IQ45" s="380"/>
      <c r="IR45" s="380"/>
      <c r="IS45" s="380"/>
      <c r="IT45" s="380"/>
      <c r="IU45" s="369"/>
      <c r="IV45" s="369"/>
      <c r="IW45" s="369"/>
      <c r="IX45" s="369"/>
      <c r="IY45" s="369"/>
      <c r="IZ45" s="369"/>
      <c r="JA45" s="369"/>
      <c r="JB45" s="369"/>
      <c r="JC45" s="369"/>
      <c r="JD45" s="369"/>
      <c r="JE45" s="369"/>
      <c r="JF45" s="369"/>
      <c r="JG45" s="369"/>
      <c r="JH45" s="369"/>
      <c r="JI45" s="369"/>
      <c r="JJ45" s="369"/>
      <c r="JK45" s="369">
        <f>VLOOKUP(IF45,'Working-Jan-25'!$C$5:$M$586,11,0)</f>
        <v>0</v>
      </c>
      <c r="JL45" s="369">
        <f t="shared" si="13"/>
        <v>0</v>
      </c>
      <c r="JN45" s="37" t="s">
        <v>609</v>
      </c>
      <c r="JO45" s="37" t="s">
        <v>610</v>
      </c>
      <c r="JP45" s="37"/>
      <c r="JQ45" s="382"/>
      <c r="JR45" s="382"/>
      <c r="JS45" s="382"/>
      <c r="JT45" s="382"/>
      <c r="JU45" s="382"/>
      <c r="JV45" s="382"/>
      <c r="JW45" s="386"/>
      <c r="JX45" s="386"/>
      <c r="JY45" s="386"/>
      <c r="JZ45" s="386"/>
      <c r="KA45" s="386"/>
      <c r="KB45" s="386"/>
      <c r="KC45" s="386"/>
      <c r="KD45" s="386"/>
      <c r="KE45" s="386"/>
      <c r="KF45" s="386">
        <f ca="1">SUMIF('Working-Jan-25'!$C$600:$C$694,JO45,'Working-Jan-25'!$L$600:$L$694)</f>
        <v>-262.75</v>
      </c>
      <c r="KG45" s="393"/>
      <c r="KH45" s="386"/>
      <c r="KI45" s="386"/>
      <c r="KJ45" s="386"/>
      <c r="KK45" s="386"/>
      <c r="KL45" s="386"/>
      <c r="KM45" s="386"/>
      <c r="KN45" s="386"/>
      <c r="KO45" s="386"/>
      <c r="KP45" s="386"/>
      <c r="KQ45" s="386"/>
      <c r="KR45" s="386"/>
      <c r="KS45" s="396"/>
      <c r="KT45" s="396"/>
      <c r="KU45" s="396"/>
      <c r="KV45" s="396"/>
      <c r="KW45" s="396"/>
      <c r="KX45" s="396"/>
      <c r="KY45" s="396"/>
    </row>
    <row r="46" spans="2:311">
      <c r="B46" s="279"/>
      <c r="C46" s="279" t="s">
        <v>611</v>
      </c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301"/>
      <c r="V46" s="301"/>
      <c r="W46" s="303"/>
      <c r="X46" s="303"/>
      <c r="Y46" s="303"/>
      <c r="Z46" s="303"/>
      <c r="AA46" s="303"/>
      <c r="AB46" s="303"/>
      <c r="AC46" s="303"/>
      <c r="AD46" s="303"/>
      <c r="AE46" s="303"/>
      <c r="AF46" s="303"/>
      <c r="AG46" s="303">
        <f ca="1">SUMIF('Working-Jan-25'!$C$600:$C$694,C46,'Working-Jan-25'!$D$600:$D$694)</f>
        <v>0</v>
      </c>
      <c r="AH46" s="303">
        <f ca="1" t="shared" si="14"/>
        <v>0</v>
      </c>
      <c r="AJ46" s="306"/>
      <c r="AK46" s="306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  <c r="BI46" s="307"/>
      <c r="BJ46" s="307"/>
      <c r="BK46" s="307"/>
      <c r="BL46" s="307"/>
      <c r="BM46" s="307"/>
      <c r="BN46" s="307"/>
      <c r="BO46" s="307"/>
      <c r="BP46" s="307"/>
      <c r="BR46" s="315"/>
      <c r="BS46" s="315"/>
      <c r="BT46" s="316"/>
      <c r="BU46" s="316"/>
      <c r="BV46" s="316"/>
      <c r="BW46" s="316"/>
      <c r="BX46" s="316"/>
      <c r="BY46" s="316"/>
      <c r="BZ46" s="316"/>
      <c r="CA46" s="316"/>
      <c r="CB46" s="316"/>
      <c r="CC46" s="316"/>
      <c r="CD46" s="316"/>
      <c r="CE46" s="316"/>
      <c r="CF46" s="316"/>
      <c r="CG46" s="316"/>
      <c r="CH46" s="316"/>
      <c r="CI46" s="316"/>
      <c r="CJ46" s="316"/>
      <c r="CK46" s="316"/>
      <c r="CL46" s="316"/>
      <c r="CM46" s="316"/>
      <c r="CN46" s="316"/>
      <c r="CO46" s="316"/>
      <c r="CP46" s="316"/>
      <c r="CQ46" s="316"/>
      <c r="CR46" s="316"/>
      <c r="CS46" s="316"/>
      <c r="CT46" s="316"/>
      <c r="CU46" s="316"/>
      <c r="CV46" s="316"/>
      <c r="CW46" s="316"/>
      <c r="CX46" s="316"/>
      <c r="CZ46" s="337"/>
      <c r="DA46" s="337"/>
      <c r="DB46" s="341"/>
      <c r="DC46" s="341"/>
      <c r="DD46" s="341"/>
      <c r="DE46" s="341"/>
      <c r="DF46" s="341"/>
      <c r="DG46" s="341"/>
      <c r="DH46" s="341"/>
      <c r="DI46" s="341"/>
      <c r="DJ46" s="341"/>
      <c r="DK46" s="341"/>
      <c r="DL46" s="341"/>
      <c r="DM46" s="341"/>
      <c r="DN46" s="341"/>
      <c r="DO46" s="341"/>
      <c r="DP46" s="341"/>
      <c r="DQ46" s="341"/>
      <c r="DR46" s="341"/>
      <c r="DS46" s="341"/>
      <c r="DT46" s="341"/>
      <c r="DU46" s="341"/>
      <c r="DV46" s="341"/>
      <c r="DW46" s="341"/>
      <c r="DX46" s="341"/>
      <c r="DY46" s="341"/>
      <c r="DZ46" s="341"/>
      <c r="EA46" s="341"/>
      <c r="EB46" s="341"/>
      <c r="EC46" s="341"/>
      <c r="ED46" s="341"/>
      <c r="EE46" s="341"/>
      <c r="EF46" s="341"/>
      <c r="EH46" s="347"/>
      <c r="EI46" s="347"/>
      <c r="EJ46" s="348"/>
      <c r="EK46" s="348"/>
      <c r="EL46" s="348"/>
      <c r="EM46" s="348"/>
      <c r="EN46" s="348"/>
      <c r="EO46" s="348"/>
      <c r="EP46" s="348"/>
      <c r="EQ46" s="348"/>
      <c r="ER46" s="348"/>
      <c r="ES46" s="348"/>
      <c r="ET46" s="348"/>
      <c r="EU46" s="348"/>
      <c r="EV46" s="348"/>
      <c r="EW46" s="348"/>
      <c r="EX46" s="348"/>
      <c r="EY46" s="348"/>
      <c r="EZ46" s="348"/>
      <c r="FA46" s="348"/>
      <c r="FB46" s="348"/>
      <c r="FC46" s="348"/>
      <c r="FD46" s="348"/>
      <c r="FE46" s="348"/>
      <c r="FF46" s="348"/>
      <c r="FG46" s="348"/>
      <c r="FH46" s="348"/>
      <c r="FI46" s="348"/>
      <c r="FJ46" s="348"/>
      <c r="FK46" s="348"/>
      <c r="FL46" s="355"/>
      <c r="FM46" s="348"/>
      <c r="FN46" s="355">
        <f t="shared" si="12"/>
        <v>0</v>
      </c>
      <c r="FP46" s="358"/>
      <c r="FQ46" s="358"/>
      <c r="FR46" s="359"/>
      <c r="FS46" s="359"/>
      <c r="FT46" s="359"/>
      <c r="FU46" s="359"/>
      <c r="FV46" s="359"/>
      <c r="FW46" s="359"/>
      <c r="FX46" s="359"/>
      <c r="FY46" s="359"/>
      <c r="FZ46" s="359"/>
      <c r="GA46" s="359"/>
      <c r="GB46" s="359"/>
      <c r="GC46" s="359"/>
      <c r="GD46" s="359"/>
      <c r="GE46" s="359"/>
      <c r="GF46" s="359"/>
      <c r="GG46" s="359"/>
      <c r="GH46" s="359"/>
      <c r="GI46" s="359"/>
      <c r="GJ46" s="359"/>
      <c r="GK46" s="359"/>
      <c r="GL46" s="359"/>
      <c r="GM46" s="359"/>
      <c r="GN46" s="359"/>
      <c r="GO46" s="359"/>
      <c r="GP46" s="365"/>
      <c r="GQ46" s="359"/>
      <c r="GR46" s="365"/>
      <c r="GS46" s="359"/>
      <c r="GT46" s="365"/>
      <c r="GU46" s="359"/>
      <c r="GV46" s="365">
        <f t="shared" si="10"/>
        <v>0</v>
      </c>
      <c r="GX46" s="368" t="s">
        <v>612</v>
      </c>
      <c r="GY46" s="368"/>
      <c r="GZ46" s="369"/>
      <c r="HA46" s="369"/>
      <c r="HB46" s="369"/>
      <c r="HC46" s="369"/>
      <c r="HD46" s="369"/>
      <c r="HE46" s="369"/>
      <c r="HF46" s="369"/>
      <c r="HG46" s="369"/>
      <c r="HH46" s="369"/>
      <c r="HI46" s="369"/>
      <c r="HJ46" s="369"/>
      <c r="HK46" s="369"/>
      <c r="HL46" s="369"/>
      <c r="HM46" s="375"/>
      <c r="HN46" s="369"/>
      <c r="HO46" s="375"/>
      <c r="HP46" s="369"/>
      <c r="HQ46" s="369"/>
      <c r="HR46" s="369"/>
      <c r="HS46" s="369"/>
      <c r="HT46" s="369"/>
      <c r="HU46" s="376"/>
      <c r="HV46" s="376"/>
      <c r="HW46" s="369"/>
      <c r="HX46" s="369"/>
      <c r="HY46" s="375"/>
      <c r="HZ46" s="375"/>
      <c r="IA46" s="375"/>
      <c r="IB46" s="375"/>
      <c r="IC46" s="378">
        <f ca="1">SUMIF('Working-Jan-25'!$C$600:$C$694,GX46,'Working-Jan-25'!$F$600:$F$694)</f>
        <v>0</v>
      </c>
      <c r="ID46" s="378">
        <f ca="1" t="shared" si="5"/>
        <v>0</v>
      </c>
      <c r="IF46" s="371" t="s">
        <v>54</v>
      </c>
      <c r="IG46" s="371"/>
      <c r="IH46" s="380"/>
      <c r="II46" s="380"/>
      <c r="IJ46" s="380"/>
      <c r="IK46" s="380"/>
      <c r="IL46" s="380"/>
      <c r="IM46" s="380"/>
      <c r="IN46" s="380"/>
      <c r="IO46" s="380"/>
      <c r="IP46" s="380"/>
      <c r="IQ46" s="380"/>
      <c r="IR46" s="380"/>
      <c r="IS46" s="380"/>
      <c r="IT46" s="380"/>
      <c r="IU46" s="380"/>
      <c r="IV46" s="380"/>
      <c r="IW46" s="380"/>
      <c r="IX46" s="380"/>
      <c r="IY46" s="380"/>
      <c r="IZ46" s="380"/>
      <c r="JA46" s="380"/>
      <c r="JB46" s="380"/>
      <c r="JC46" s="380"/>
      <c r="JD46" s="380"/>
      <c r="JE46" s="380"/>
      <c r="JF46" s="380"/>
      <c r="JG46" s="380"/>
      <c r="JH46" s="380"/>
      <c r="JI46" s="380"/>
      <c r="JJ46" s="380"/>
      <c r="JK46" s="380">
        <f>SUM(JK31:JK45)</f>
        <v>616852.5</v>
      </c>
      <c r="JL46" s="380"/>
      <c r="JN46" s="37" t="s">
        <v>598</v>
      </c>
      <c r="JO46" s="37" t="s">
        <v>613</v>
      </c>
      <c r="JP46" s="37"/>
      <c r="JQ46" s="382"/>
      <c r="JR46" s="382"/>
      <c r="JS46" s="382"/>
      <c r="JT46" s="382"/>
      <c r="JU46" s="382"/>
      <c r="JV46" s="382"/>
      <c r="JW46" s="386"/>
      <c r="JX46" s="386"/>
      <c r="JY46" s="386"/>
      <c r="JZ46" s="386"/>
      <c r="KA46" s="386"/>
      <c r="KB46" s="386"/>
      <c r="KC46" s="386"/>
      <c r="KD46" s="386"/>
      <c r="KE46" s="386"/>
      <c r="KF46" s="386">
        <f ca="1">SUMIF('Working-Jan-25'!$C$600:$C$694,JO46,'Working-Jan-25'!$L$600:$L$694)</f>
        <v>0</v>
      </c>
      <c r="KG46" s="393"/>
      <c r="KH46" s="386"/>
      <c r="KI46" s="386"/>
      <c r="KJ46" s="386"/>
      <c r="KK46" s="386"/>
      <c r="KL46" s="386"/>
      <c r="KM46" s="386"/>
      <c r="KN46" s="386"/>
      <c r="KO46" s="386"/>
      <c r="KP46" s="386"/>
      <c r="KQ46" s="386"/>
      <c r="KR46" s="386"/>
      <c r="KS46" s="396"/>
      <c r="KT46" s="396"/>
      <c r="KU46" s="396"/>
      <c r="KV46" s="396"/>
      <c r="KW46" s="396"/>
      <c r="KX46" s="396"/>
      <c r="KY46" s="396"/>
    </row>
    <row r="47" spans="2:311">
      <c r="B47" s="279"/>
      <c r="C47" s="279" t="s">
        <v>42</v>
      </c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301"/>
      <c r="V47" s="301"/>
      <c r="W47" s="303"/>
      <c r="X47" s="303"/>
      <c r="Y47" s="303"/>
      <c r="Z47" s="303"/>
      <c r="AA47" s="303"/>
      <c r="AB47" s="303"/>
      <c r="AC47" s="303"/>
      <c r="AD47" s="303"/>
      <c r="AE47" s="303"/>
      <c r="AF47" s="303"/>
      <c r="AG47" s="303">
        <f ca="1">SUMIF('Working-Jan-25'!$C$600:$C$694,C47,'Working-Jan-25'!$D$600:$D$694)</f>
        <v>0</v>
      </c>
      <c r="AH47" s="303">
        <f ca="1" t="shared" si="14"/>
        <v>0</v>
      </c>
      <c r="AJ47" s="306"/>
      <c r="AK47" s="306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  <c r="BI47" s="307"/>
      <c r="BJ47" s="307"/>
      <c r="BK47" s="307"/>
      <c r="BL47" s="307"/>
      <c r="BM47" s="307"/>
      <c r="BN47" s="307"/>
      <c r="BO47" s="307"/>
      <c r="BP47" s="307"/>
      <c r="BR47" s="315"/>
      <c r="BS47" s="315"/>
      <c r="BT47" s="316"/>
      <c r="BU47" s="316"/>
      <c r="BV47" s="316"/>
      <c r="BW47" s="316"/>
      <c r="BX47" s="316"/>
      <c r="BY47" s="316"/>
      <c r="BZ47" s="316"/>
      <c r="CA47" s="316"/>
      <c r="CB47" s="316"/>
      <c r="CC47" s="316"/>
      <c r="CD47" s="316"/>
      <c r="CE47" s="316"/>
      <c r="CF47" s="316"/>
      <c r="CG47" s="316"/>
      <c r="CH47" s="316"/>
      <c r="CI47" s="316"/>
      <c r="CJ47" s="316"/>
      <c r="CK47" s="316"/>
      <c r="CL47" s="316"/>
      <c r="CM47" s="316"/>
      <c r="CN47" s="316"/>
      <c r="CO47" s="316"/>
      <c r="CP47" s="316"/>
      <c r="CQ47" s="316"/>
      <c r="CR47" s="316"/>
      <c r="CS47" s="316"/>
      <c r="CT47" s="316"/>
      <c r="CU47" s="316"/>
      <c r="CV47" s="316"/>
      <c r="CW47" s="316"/>
      <c r="CX47" s="316"/>
      <c r="CZ47" s="337"/>
      <c r="DA47" s="337"/>
      <c r="DB47" s="341"/>
      <c r="DC47" s="341"/>
      <c r="DD47" s="341"/>
      <c r="DE47" s="341"/>
      <c r="DF47" s="341"/>
      <c r="DG47" s="341"/>
      <c r="DH47" s="341"/>
      <c r="DI47" s="341"/>
      <c r="DJ47" s="341"/>
      <c r="DK47" s="341"/>
      <c r="DL47" s="341"/>
      <c r="DM47" s="341"/>
      <c r="DN47" s="341"/>
      <c r="DO47" s="341"/>
      <c r="DP47" s="341"/>
      <c r="DQ47" s="341"/>
      <c r="DR47" s="341"/>
      <c r="DS47" s="341"/>
      <c r="DT47" s="341"/>
      <c r="DU47" s="341"/>
      <c r="DV47" s="341"/>
      <c r="DW47" s="341"/>
      <c r="DX47" s="341"/>
      <c r="DY47" s="341"/>
      <c r="DZ47" s="341"/>
      <c r="EA47" s="341"/>
      <c r="EB47" s="341"/>
      <c r="EC47" s="341"/>
      <c r="ED47" s="341"/>
      <c r="EE47" s="341"/>
      <c r="EF47" s="341"/>
      <c r="EH47" s="347"/>
      <c r="EI47" s="347"/>
      <c r="EJ47" s="348"/>
      <c r="EK47" s="348"/>
      <c r="EL47" s="348"/>
      <c r="EM47" s="348"/>
      <c r="EN47" s="348"/>
      <c r="EO47" s="348"/>
      <c r="EP47" s="348"/>
      <c r="EQ47" s="348"/>
      <c r="ER47" s="348"/>
      <c r="ES47" s="348"/>
      <c r="ET47" s="348"/>
      <c r="EU47" s="348"/>
      <c r="EV47" s="348"/>
      <c r="EW47" s="348"/>
      <c r="EX47" s="348"/>
      <c r="EY47" s="348"/>
      <c r="EZ47" s="348"/>
      <c r="FA47" s="348"/>
      <c r="FB47" s="348"/>
      <c r="FC47" s="348"/>
      <c r="FD47" s="348"/>
      <c r="FE47" s="348"/>
      <c r="FF47" s="348"/>
      <c r="FG47" s="348"/>
      <c r="FH47" s="348"/>
      <c r="FI47" s="348"/>
      <c r="FJ47" s="348"/>
      <c r="FK47" s="348"/>
      <c r="FL47" s="355"/>
      <c r="FM47" s="348"/>
      <c r="FN47" s="355">
        <f t="shared" si="12"/>
        <v>0</v>
      </c>
      <c r="FP47" s="358"/>
      <c r="FQ47" s="358"/>
      <c r="FR47" s="359"/>
      <c r="FS47" s="359"/>
      <c r="FT47" s="359"/>
      <c r="FU47" s="359"/>
      <c r="FV47" s="359"/>
      <c r="FW47" s="359"/>
      <c r="FX47" s="359"/>
      <c r="FY47" s="359"/>
      <c r="FZ47" s="359"/>
      <c r="GA47" s="359"/>
      <c r="GB47" s="359"/>
      <c r="GC47" s="359"/>
      <c r="GD47" s="359"/>
      <c r="GE47" s="359"/>
      <c r="GF47" s="359"/>
      <c r="GG47" s="359"/>
      <c r="GH47" s="359"/>
      <c r="GI47" s="359"/>
      <c r="GJ47" s="359"/>
      <c r="GK47" s="359"/>
      <c r="GL47" s="359"/>
      <c r="GM47" s="359"/>
      <c r="GN47" s="359"/>
      <c r="GO47" s="359"/>
      <c r="GP47" s="365"/>
      <c r="GQ47" s="359"/>
      <c r="GR47" s="365"/>
      <c r="GS47" s="359"/>
      <c r="GT47" s="365"/>
      <c r="GU47" s="359"/>
      <c r="GV47" s="365">
        <f t="shared" si="10"/>
        <v>0</v>
      </c>
      <c r="GX47" s="371" t="s">
        <v>614</v>
      </c>
      <c r="GY47" s="368"/>
      <c r="GZ47" s="369"/>
      <c r="HA47" s="369"/>
      <c r="HB47" s="369"/>
      <c r="HC47" s="369"/>
      <c r="HD47" s="369"/>
      <c r="HE47" s="369"/>
      <c r="HF47" s="369"/>
      <c r="HG47" s="369"/>
      <c r="HH47" s="369"/>
      <c r="HI47" s="369"/>
      <c r="HJ47" s="369"/>
      <c r="HK47" s="369"/>
      <c r="HL47" s="369"/>
      <c r="HM47" s="375"/>
      <c r="HN47" s="369"/>
      <c r="HO47" s="375"/>
      <c r="HP47" s="369"/>
      <c r="HQ47" s="375"/>
      <c r="HR47" s="369"/>
      <c r="HS47" s="369"/>
      <c r="HT47" s="369"/>
      <c r="HU47" s="369"/>
      <c r="HV47" s="369"/>
      <c r="HW47" s="369"/>
      <c r="HX47" s="369"/>
      <c r="HY47" s="375"/>
      <c r="HZ47" s="375"/>
      <c r="IA47" s="375"/>
      <c r="IB47" s="375"/>
      <c r="IC47" s="378">
        <f ca="1">SUMIF('Working-Jan-25'!$C$600:$C$694,GX47,'Working-Jan-25'!$F$600:$F$694)</f>
        <v>0</v>
      </c>
      <c r="ID47" s="378">
        <f ca="1" t="shared" si="5"/>
        <v>0</v>
      </c>
      <c r="IF47" s="371"/>
      <c r="IG47" s="371"/>
      <c r="IH47" s="380"/>
      <c r="II47" s="380"/>
      <c r="IJ47" s="380"/>
      <c r="IK47" s="380"/>
      <c r="IL47" s="380"/>
      <c r="IM47" s="380"/>
      <c r="IN47" s="380"/>
      <c r="IO47" s="380"/>
      <c r="IP47" s="380"/>
      <c r="IQ47" s="380"/>
      <c r="IR47" s="380"/>
      <c r="IS47" s="380"/>
      <c r="IT47" s="380"/>
      <c r="IU47" s="380"/>
      <c r="IV47" s="380"/>
      <c r="IW47" s="380"/>
      <c r="IX47" s="380"/>
      <c r="IY47" s="380"/>
      <c r="IZ47" s="380"/>
      <c r="JA47" s="380"/>
      <c r="JB47" s="380"/>
      <c r="JC47" s="380"/>
      <c r="JD47" s="380"/>
      <c r="JE47" s="380"/>
      <c r="JF47" s="380"/>
      <c r="JG47" s="380"/>
      <c r="JH47" s="380"/>
      <c r="JI47" s="380"/>
      <c r="JJ47" s="380"/>
      <c r="JK47" s="380"/>
      <c r="JL47" s="380"/>
      <c r="JN47" s="37" t="s">
        <v>600</v>
      </c>
      <c r="JO47" s="37" t="s">
        <v>615</v>
      </c>
      <c r="JP47" s="37"/>
      <c r="JQ47" s="382"/>
      <c r="JR47" s="382"/>
      <c r="JS47" s="382"/>
      <c r="JT47" s="382"/>
      <c r="JU47" s="382"/>
      <c r="JV47" s="382"/>
      <c r="JW47" s="386"/>
      <c r="JX47" s="386"/>
      <c r="JY47" s="386"/>
      <c r="JZ47" s="386"/>
      <c r="KA47" s="386"/>
      <c r="KB47" s="386"/>
      <c r="KC47" s="386"/>
      <c r="KD47" s="386"/>
      <c r="KE47" s="386"/>
      <c r="KF47" s="386">
        <f ca="1">SUMIF('Working-Jan-25'!$C$600:$C$694,JO47,'Working-Jan-25'!$L$600:$L$694)</f>
        <v>0</v>
      </c>
      <c r="KG47" s="393"/>
      <c r="KH47" s="386"/>
      <c r="KI47" s="386"/>
      <c r="KJ47" s="386"/>
      <c r="KK47" s="386"/>
      <c r="KL47" s="386"/>
      <c r="KM47" s="386"/>
      <c r="KN47" s="386"/>
      <c r="KO47" s="386"/>
      <c r="KP47" s="386"/>
      <c r="KQ47" s="386"/>
      <c r="KR47" s="386"/>
      <c r="KS47" s="396"/>
      <c r="KT47" s="396"/>
      <c r="KU47" s="396"/>
      <c r="KV47" s="396"/>
      <c r="KW47" s="396"/>
      <c r="KX47" s="396"/>
      <c r="KY47" s="396"/>
    </row>
    <row r="48" spans="2:311">
      <c r="B48" s="279"/>
      <c r="C48" s="279" t="s">
        <v>575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301"/>
      <c r="V48" s="301"/>
      <c r="W48" s="303"/>
      <c r="X48" s="303"/>
      <c r="Y48" s="303"/>
      <c r="Z48" s="303"/>
      <c r="AA48" s="303"/>
      <c r="AB48" s="303"/>
      <c r="AC48" s="303"/>
      <c r="AD48" s="303"/>
      <c r="AE48" s="303"/>
      <c r="AF48" s="303"/>
      <c r="AG48" s="303">
        <f ca="1">SUMIF('Working-Jan-25'!$C$600:$C$694,C48,'Working-Jan-25'!$D$600:$D$694)</f>
        <v>0</v>
      </c>
      <c r="AH48" s="303">
        <f ca="1" t="shared" si="14"/>
        <v>0</v>
      </c>
      <c r="AJ48" s="306"/>
      <c r="AK48" s="306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  <c r="BI48" s="307"/>
      <c r="BJ48" s="307"/>
      <c r="BK48" s="307"/>
      <c r="BL48" s="307"/>
      <c r="BM48" s="307"/>
      <c r="BN48" s="307"/>
      <c r="BO48" s="307"/>
      <c r="BP48" s="307"/>
      <c r="BR48" s="315"/>
      <c r="BS48" s="315"/>
      <c r="BT48" s="316"/>
      <c r="BU48" s="316"/>
      <c r="BV48" s="316"/>
      <c r="BW48" s="316"/>
      <c r="BX48" s="316"/>
      <c r="BY48" s="316"/>
      <c r="BZ48" s="316"/>
      <c r="CA48" s="316"/>
      <c r="CB48" s="316"/>
      <c r="CC48" s="316"/>
      <c r="CD48" s="316"/>
      <c r="CE48" s="316"/>
      <c r="CF48" s="316"/>
      <c r="CG48" s="316"/>
      <c r="CH48" s="316"/>
      <c r="CI48" s="316"/>
      <c r="CJ48" s="316"/>
      <c r="CK48" s="316"/>
      <c r="CL48" s="316"/>
      <c r="CM48" s="316"/>
      <c r="CN48" s="316"/>
      <c r="CO48" s="316"/>
      <c r="CP48" s="316"/>
      <c r="CQ48" s="316"/>
      <c r="CR48" s="316"/>
      <c r="CS48" s="316"/>
      <c r="CT48" s="316"/>
      <c r="CU48" s="316"/>
      <c r="CV48" s="316"/>
      <c r="CW48" s="316"/>
      <c r="CX48" s="316"/>
      <c r="CZ48" s="337"/>
      <c r="DA48" s="337"/>
      <c r="DB48" s="341"/>
      <c r="DC48" s="341"/>
      <c r="DD48" s="341"/>
      <c r="DE48" s="341"/>
      <c r="DF48" s="341"/>
      <c r="DG48" s="341"/>
      <c r="DH48" s="341"/>
      <c r="DI48" s="341"/>
      <c r="DJ48" s="341"/>
      <c r="DK48" s="341"/>
      <c r="DL48" s="341"/>
      <c r="DM48" s="341"/>
      <c r="DN48" s="341"/>
      <c r="DO48" s="341"/>
      <c r="DP48" s="341"/>
      <c r="DQ48" s="341"/>
      <c r="DR48" s="341"/>
      <c r="DS48" s="341"/>
      <c r="DT48" s="341"/>
      <c r="DU48" s="341"/>
      <c r="DV48" s="341"/>
      <c r="DW48" s="341"/>
      <c r="DX48" s="341"/>
      <c r="DY48" s="341"/>
      <c r="DZ48" s="341"/>
      <c r="EA48" s="341"/>
      <c r="EB48" s="341"/>
      <c r="EC48" s="341"/>
      <c r="ED48" s="341"/>
      <c r="EE48" s="341"/>
      <c r="EF48" s="341"/>
      <c r="EH48" s="347"/>
      <c r="EI48" s="347"/>
      <c r="EJ48" s="348"/>
      <c r="EK48" s="348"/>
      <c r="EL48" s="348"/>
      <c r="EM48" s="348"/>
      <c r="EN48" s="348"/>
      <c r="EO48" s="348"/>
      <c r="EP48" s="348"/>
      <c r="EQ48" s="348"/>
      <c r="ER48" s="348"/>
      <c r="ES48" s="348"/>
      <c r="ET48" s="348"/>
      <c r="EU48" s="348"/>
      <c r="EV48" s="348"/>
      <c r="EW48" s="348"/>
      <c r="EX48" s="348"/>
      <c r="EY48" s="348"/>
      <c r="EZ48" s="348"/>
      <c r="FA48" s="348"/>
      <c r="FB48" s="348"/>
      <c r="FC48" s="348"/>
      <c r="FD48" s="348"/>
      <c r="FE48" s="348"/>
      <c r="FF48" s="348"/>
      <c r="FG48" s="348"/>
      <c r="FH48" s="348"/>
      <c r="FI48" s="348"/>
      <c r="FJ48" s="348"/>
      <c r="FK48" s="348"/>
      <c r="FL48" s="355"/>
      <c r="FM48" s="348"/>
      <c r="FN48" s="355">
        <f t="shared" si="12"/>
        <v>0</v>
      </c>
      <c r="FP48" s="358"/>
      <c r="FQ48" s="358"/>
      <c r="FR48" s="359"/>
      <c r="FS48" s="359"/>
      <c r="FT48" s="359"/>
      <c r="FU48" s="359"/>
      <c r="FV48" s="359"/>
      <c r="FW48" s="359"/>
      <c r="FX48" s="359"/>
      <c r="FY48" s="359"/>
      <c r="FZ48" s="359"/>
      <c r="GA48" s="359"/>
      <c r="GB48" s="359"/>
      <c r="GC48" s="359"/>
      <c r="GD48" s="359"/>
      <c r="GE48" s="359"/>
      <c r="GF48" s="359"/>
      <c r="GG48" s="359"/>
      <c r="GH48" s="359"/>
      <c r="GI48" s="359"/>
      <c r="GJ48" s="359"/>
      <c r="GK48" s="359"/>
      <c r="GL48" s="359"/>
      <c r="GM48" s="359"/>
      <c r="GN48" s="359"/>
      <c r="GO48" s="359"/>
      <c r="GP48" s="359"/>
      <c r="GQ48" s="359"/>
      <c r="GR48" s="359"/>
      <c r="GS48" s="359"/>
      <c r="GT48" s="359"/>
      <c r="GU48" s="359"/>
      <c r="GV48" s="359"/>
      <c r="GX48" s="368" t="s">
        <v>42</v>
      </c>
      <c r="GY48" s="368"/>
      <c r="GZ48" s="369"/>
      <c r="HA48" s="369"/>
      <c r="HB48" s="369"/>
      <c r="HC48" s="369"/>
      <c r="HD48" s="369"/>
      <c r="HE48" s="369"/>
      <c r="HF48" s="369"/>
      <c r="HG48" s="369"/>
      <c r="HH48" s="369"/>
      <c r="HI48" s="369"/>
      <c r="HJ48" s="369"/>
      <c r="HK48" s="369"/>
      <c r="HL48" s="369"/>
      <c r="HM48" s="375"/>
      <c r="HN48" s="369"/>
      <c r="HO48" s="375"/>
      <c r="HP48" s="369"/>
      <c r="HQ48" s="369"/>
      <c r="HR48" s="369"/>
      <c r="HS48" s="369"/>
      <c r="HT48" s="369"/>
      <c r="HU48" s="369"/>
      <c r="HV48" s="369"/>
      <c r="HW48" s="369"/>
      <c r="HX48" s="369"/>
      <c r="HY48" s="375"/>
      <c r="HZ48" s="375"/>
      <c r="IA48" s="375"/>
      <c r="IB48" s="375"/>
      <c r="IC48" s="378">
        <f ca="1">SUMIF('Working-Jan-25'!$C$600:$C$694,GX48,'Working-Jan-25'!$F$600:$F$694)</f>
        <v>0</v>
      </c>
      <c r="ID48" s="378">
        <f ca="1" t="shared" si="5"/>
        <v>0</v>
      </c>
      <c r="IF48" s="371"/>
      <c r="IG48" s="371"/>
      <c r="IH48" s="380"/>
      <c r="II48" s="380"/>
      <c r="IJ48" s="380"/>
      <c r="IK48" s="380"/>
      <c r="IL48" s="380"/>
      <c r="IM48" s="380"/>
      <c r="IN48" s="380"/>
      <c r="IO48" s="380"/>
      <c r="IP48" s="380"/>
      <c r="IQ48" s="380"/>
      <c r="IR48" s="380"/>
      <c r="IS48" s="380"/>
      <c r="IT48" s="380"/>
      <c r="IU48" s="380"/>
      <c r="IV48" s="380"/>
      <c r="IW48" s="380"/>
      <c r="IX48" s="380"/>
      <c r="IY48" s="380"/>
      <c r="IZ48" s="380"/>
      <c r="JA48" s="380"/>
      <c r="JB48" s="380"/>
      <c r="JC48" s="380"/>
      <c r="JD48" s="380"/>
      <c r="JE48" s="380"/>
      <c r="JF48" s="380"/>
      <c r="JG48" s="380"/>
      <c r="JH48" s="380"/>
      <c r="JI48" s="380"/>
      <c r="JJ48" s="380"/>
      <c r="JK48" s="380"/>
      <c r="JL48" s="380"/>
      <c r="JN48" s="37" t="s">
        <v>603</v>
      </c>
      <c r="JO48" s="37" t="s">
        <v>616</v>
      </c>
      <c r="JP48" s="37"/>
      <c r="JQ48" s="382"/>
      <c r="JR48" s="382"/>
      <c r="JS48" s="382"/>
      <c r="JT48" s="382"/>
      <c r="JU48" s="382"/>
      <c r="JV48" s="382"/>
      <c r="JW48" s="386"/>
      <c r="JX48" s="386"/>
      <c r="JY48" s="386"/>
      <c r="JZ48" s="386"/>
      <c r="KA48" s="386"/>
      <c r="KB48" s="386"/>
      <c r="KC48" s="386"/>
      <c r="KD48" s="386"/>
      <c r="KE48" s="386"/>
      <c r="KF48" s="386">
        <f ca="1">SUMIF('Working-Jan-25'!$C$600:$C$694,JO48,'Working-Jan-25'!$L$600:$L$694)</f>
        <v>0</v>
      </c>
      <c r="KG48" s="393"/>
      <c r="KH48" s="386"/>
      <c r="KI48" s="386"/>
      <c r="KJ48" s="386"/>
      <c r="KK48" s="386"/>
      <c r="KL48" s="386"/>
      <c r="KM48" s="386"/>
      <c r="KN48" s="386"/>
      <c r="KO48" s="386"/>
      <c r="KP48" s="386"/>
      <c r="KQ48" s="386"/>
      <c r="KR48" s="386"/>
      <c r="KS48" s="396"/>
      <c r="KT48" s="396"/>
      <c r="KU48" s="396"/>
      <c r="KV48" s="396"/>
      <c r="KW48" s="396"/>
      <c r="KX48" s="396"/>
      <c r="KY48" s="396"/>
    </row>
    <row r="49" spans="2:311">
      <c r="B49" s="279"/>
      <c r="C49" s="279" t="s">
        <v>493</v>
      </c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301"/>
      <c r="V49" s="301"/>
      <c r="W49" s="303"/>
      <c r="X49" s="303"/>
      <c r="Y49" s="303"/>
      <c r="Z49" s="303"/>
      <c r="AA49" s="303"/>
      <c r="AB49" s="303"/>
      <c r="AC49" s="303"/>
      <c r="AD49" s="303"/>
      <c r="AE49" s="303"/>
      <c r="AF49" s="303"/>
      <c r="AG49" s="303">
        <f ca="1">SUMIF('Working-Jan-25'!$C$600:$C$694,C49,'Working-Jan-25'!$D$600:$D$694)</f>
        <v>0</v>
      </c>
      <c r="AH49" s="303">
        <f ca="1" t="shared" si="14"/>
        <v>0</v>
      </c>
      <c r="AJ49" s="306"/>
      <c r="AK49" s="306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  <c r="BI49" s="307"/>
      <c r="BJ49" s="307"/>
      <c r="BK49" s="307"/>
      <c r="BL49" s="307"/>
      <c r="BM49" s="307"/>
      <c r="BN49" s="307"/>
      <c r="BO49" s="307"/>
      <c r="BP49" s="307"/>
      <c r="BR49" s="315"/>
      <c r="BS49" s="315"/>
      <c r="BT49" s="316"/>
      <c r="BU49" s="316"/>
      <c r="BV49" s="316"/>
      <c r="BW49" s="316"/>
      <c r="BX49" s="316"/>
      <c r="BY49" s="316"/>
      <c r="BZ49" s="316"/>
      <c r="CA49" s="316"/>
      <c r="CB49" s="316"/>
      <c r="CC49" s="316"/>
      <c r="CD49" s="316"/>
      <c r="CE49" s="316"/>
      <c r="CF49" s="316"/>
      <c r="CG49" s="316"/>
      <c r="CH49" s="316"/>
      <c r="CI49" s="316"/>
      <c r="CJ49" s="316"/>
      <c r="CK49" s="316"/>
      <c r="CL49" s="316"/>
      <c r="CM49" s="316"/>
      <c r="CN49" s="316"/>
      <c r="CO49" s="316"/>
      <c r="CP49" s="316"/>
      <c r="CQ49" s="316"/>
      <c r="CR49" s="316"/>
      <c r="CS49" s="316"/>
      <c r="CT49" s="316"/>
      <c r="CU49" s="316"/>
      <c r="CV49" s="316"/>
      <c r="CW49" s="316"/>
      <c r="CX49" s="316"/>
      <c r="CZ49" s="337"/>
      <c r="DA49" s="337"/>
      <c r="DB49" s="341"/>
      <c r="DC49" s="341"/>
      <c r="DD49" s="341"/>
      <c r="DE49" s="341"/>
      <c r="DF49" s="341"/>
      <c r="DG49" s="341"/>
      <c r="DH49" s="341"/>
      <c r="DI49" s="341"/>
      <c r="DJ49" s="341"/>
      <c r="DK49" s="341"/>
      <c r="DL49" s="341"/>
      <c r="DM49" s="341"/>
      <c r="DN49" s="341"/>
      <c r="DO49" s="341"/>
      <c r="DP49" s="341"/>
      <c r="DQ49" s="341"/>
      <c r="DR49" s="341"/>
      <c r="DS49" s="341"/>
      <c r="DT49" s="341"/>
      <c r="DU49" s="341"/>
      <c r="DV49" s="341"/>
      <c r="DW49" s="341"/>
      <c r="DX49" s="341"/>
      <c r="DY49" s="341"/>
      <c r="DZ49" s="341"/>
      <c r="EA49" s="341"/>
      <c r="EB49" s="341"/>
      <c r="EC49" s="341"/>
      <c r="ED49" s="341"/>
      <c r="EE49" s="341"/>
      <c r="EF49" s="341"/>
      <c r="EH49" s="347"/>
      <c r="EI49" s="347"/>
      <c r="EJ49" s="348"/>
      <c r="EK49" s="348"/>
      <c r="EL49" s="348"/>
      <c r="EM49" s="348"/>
      <c r="EN49" s="348"/>
      <c r="EO49" s="348"/>
      <c r="EP49" s="348"/>
      <c r="EQ49" s="348"/>
      <c r="ER49" s="348"/>
      <c r="ES49" s="348"/>
      <c r="ET49" s="348"/>
      <c r="EU49" s="348"/>
      <c r="EV49" s="348"/>
      <c r="EW49" s="348"/>
      <c r="EX49" s="348"/>
      <c r="EY49" s="348"/>
      <c r="EZ49" s="348"/>
      <c r="FA49" s="348"/>
      <c r="FB49" s="348"/>
      <c r="FC49" s="348"/>
      <c r="FD49" s="348"/>
      <c r="FE49" s="348"/>
      <c r="FF49" s="348"/>
      <c r="FG49" s="348"/>
      <c r="FH49" s="348"/>
      <c r="FI49" s="348"/>
      <c r="FJ49" s="348"/>
      <c r="FK49" s="348"/>
      <c r="FL49" s="355"/>
      <c r="FM49" s="348"/>
      <c r="FN49" s="355">
        <f t="shared" si="12"/>
        <v>0</v>
      </c>
      <c r="FP49" s="358"/>
      <c r="FQ49" s="358"/>
      <c r="FR49" s="359"/>
      <c r="FS49" s="359"/>
      <c r="FT49" s="359"/>
      <c r="FU49" s="359"/>
      <c r="FV49" s="359"/>
      <c r="FW49" s="359"/>
      <c r="FX49" s="359"/>
      <c r="FY49" s="359"/>
      <c r="FZ49" s="359"/>
      <c r="GA49" s="359"/>
      <c r="GB49" s="359"/>
      <c r="GC49" s="359"/>
      <c r="GD49" s="359"/>
      <c r="GE49" s="359"/>
      <c r="GF49" s="359"/>
      <c r="GG49" s="359"/>
      <c r="GH49" s="359"/>
      <c r="GI49" s="359"/>
      <c r="GJ49" s="359"/>
      <c r="GK49" s="359"/>
      <c r="GL49" s="359"/>
      <c r="GM49" s="359"/>
      <c r="GN49" s="359"/>
      <c r="GO49" s="359"/>
      <c r="GP49" s="359"/>
      <c r="GQ49" s="359"/>
      <c r="GR49" s="359"/>
      <c r="GS49" s="359"/>
      <c r="GT49" s="359"/>
      <c r="GU49" s="359"/>
      <c r="GV49" s="359"/>
      <c r="GX49" s="368" t="s">
        <v>575</v>
      </c>
      <c r="GY49" s="368"/>
      <c r="GZ49" s="369"/>
      <c r="HA49" s="369"/>
      <c r="HB49" s="369"/>
      <c r="HC49" s="369"/>
      <c r="HD49" s="369"/>
      <c r="HE49" s="369"/>
      <c r="HF49" s="369"/>
      <c r="HG49" s="369"/>
      <c r="HH49" s="369"/>
      <c r="HI49" s="369"/>
      <c r="HJ49" s="369"/>
      <c r="HK49" s="369"/>
      <c r="HL49" s="369"/>
      <c r="HM49" s="375"/>
      <c r="HN49" s="369"/>
      <c r="HO49" s="375"/>
      <c r="HP49" s="369"/>
      <c r="HQ49" s="369"/>
      <c r="HR49" s="369"/>
      <c r="HS49" s="369"/>
      <c r="HT49" s="369"/>
      <c r="HU49" s="369"/>
      <c r="HV49" s="369"/>
      <c r="HW49" s="369"/>
      <c r="HX49" s="369"/>
      <c r="HY49" s="375"/>
      <c r="HZ49" s="375"/>
      <c r="IA49" s="375"/>
      <c r="IB49" s="375"/>
      <c r="IC49" s="378">
        <f ca="1">SUMIF('Working-Jan-25'!$C$600:$C$694,GX49,'Working-Jan-25'!$F$600:$F$694)</f>
        <v>0</v>
      </c>
      <c r="ID49" s="378">
        <f ca="1" t="shared" si="5"/>
        <v>0</v>
      </c>
      <c r="IF49" s="371"/>
      <c r="IG49" s="371"/>
      <c r="IH49" s="380"/>
      <c r="II49" s="380"/>
      <c r="IJ49" s="380"/>
      <c r="IK49" s="380"/>
      <c r="IL49" s="380"/>
      <c r="IM49" s="380"/>
      <c r="IN49" s="380"/>
      <c r="IO49" s="380"/>
      <c r="IP49" s="380"/>
      <c r="IQ49" s="380"/>
      <c r="IR49" s="380"/>
      <c r="IS49" s="380"/>
      <c r="IT49" s="380"/>
      <c r="IU49" s="380"/>
      <c r="IV49" s="380"/>
      <c r="IW49" s="380"/>
      <c r="IX49" s="380"/>
      <c r="IY49" s="380"/>
      <c r="IZ49" s="380"/>
      <c r="JA49" s="380"/>
      <c r="JB49" s="380"/>
      <c r="JC49" s="380"/>
      <c r="JD49" s="380"/>
      <c r="JE49" s="380"/>
      <c r="JF49" s="380"/>
      <c r="JG49" s="380"/>
      <c r="JH49" s="380"/>
      <c r="JI49" s="380"/>
      <c r="JJ49" s="380"/>
      <c r="JK49" s="380"/>
      <c r="JL49" s="380"/>
      <c r="JN49" s="37" t="s">
        <v>605</v>
      </c>
      <c r="JO49" s="37" t="s">
        <v>617</v>
      </c>
      <c r="JP49" s="37"/>
      <c r="JQ49" s="382"/>
      <c r="JR49" s="382"/>
      <c r="JS49" s="382"/>
      <c r="JT49" s="382"/>
      <c r="JU49" s="382"/>
      <c r="JV49" s="382"/>
      <c r="JW49" s="386"/>
      <c r="JX49" s="386"/>
      <c r="JY49" s="386"/>
      <c r="JZ49" s="386"/>
      <c r="KA49" s="386"/>
      <c r="KB49" s="386"/>
      <c r="KC49" s="386"/>
      <c r="KD49" s="386"/>
      <c r="KE49" s="386"/>
      <c r="KF49" s="386">
        <f ca="1">SUMIF('Working-Jan-25'!$C$600:$C$694,JO49,'Working-Jan-25'!$L$600:$L$694)</f>
        <v>0</v>
      </c>
      <c r="KG49" s="393"/>
      <c r="KH49" s="386"/>
      <c r="KI49" s="386"/>
      <c r="KJ49" s="386"/>
      <c r="KK49" s="386"/>
      <c r="KL49" s="386"/>
      <c r="KM49" s="386"/>
      <c r="KN49" s="386"/>
      <c r="KO49" s="386"/>
      <c r="KP49" s="386"/>
      <c r="KQ49" s="386"/>
      <c r="KR49" s="386"/>
      <c r="KS49" s="396"/>
      <c r="KT49" s="396"/>
      <c r="KU49" s="396"/>
      <c r="KV49" s="396"/>
      <c r="KW49" s="396"/>
      <c r="KX49" s="396"/>
      <c r="KY49" s="396"/>
    </row>
    <row r="50" spans="2:311">
      <c r="B50" s="279"/>
      <c r="C50" s="279" t="s">
        <v>601</v>
      </c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301"/>
      <c r="V50" s="301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>
        <f ca="1">SUMIF('Working-Jan-25'!$C$600:$C$694,C50,'Working-Jan-25'!$D$600:$D$694)</f>
        <v>0</v>
      </c>
      <c r="AH50" s="303">
        <f ca="1" t="shared" si="14"/>
        <v>0</v>
      </c>
      <c r="AJ50" s="306"/>
      <c r="AK50" s="306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  <c r="BI50" s="307"/>
      <c r="BJ50" s="307"/>
      <c r="BK50" s="307"/>
      <c r="BL50" s="307"/>
      <c r="BM50" s="307"/>
      <c r="BN50" s="307"/>
      <c r="BO50" s="307"/>
      <c r="BP50" s="307"/>
      <c r="BR50" s="315"/>
      <c r="BS50" s="315"/>
      <c r="BT50" s="316"/>
      <c r="BU50" s="316"/>
      <c r="BV50" s="316"/>
      <c r="BW50" s="316"/>
      <c r="BX50" s="316"/>
      <c r="BY50" s="316"/>
      <c r="BZ50" s="316"/>
      <c r="CA50" s="316"/>
      <c r="CB50" s="316"/>
      <c r="CC50" s="316"/>
      <c r="CD50" s="316"/>
      <c r="CE50" s="316"/>
      <c r="CF50" s="316"/>
      <c r="CG50" s="316"/>
      <c r="CH50" s="316"/>
      <c r="CI50" s="316"/>
      <c r="CJ50" s="316"/>
      <c r="CK50" s="316"/>
      <c r="CL50" s="316"/>
      <c r="CM50" s="316"/>
      <c r="CN50" s="316"/>
      <c r="CO50" s="316"/>
      <c r="CP50" s="316"/>
      <c r="CQ50" s="316"/>
      <c r="CR50" s="316"/>
      <c r="CS50" s="316"/>
      <c r="CT50" s="316"/>
      <c r="CU50" s="316"/>
      <c r="CV50" s="316"/>
      <c r="CW50" s="316"/>
      <c r="CX50" s="316"/>
      <c r="CZ50" s="337"/>
      <c r="DA50" s="337"/>
      <c r="DB50" s="341"/>
      <c r="DC50" s="341"/>
      <c r="DD50" s="341"/>
      <c r="DE50" s="341"/>
      <c r="DF50" s="341"/>
      <c r="DG50" s="341"/>
      <c r="DH50" s="341"/>
      <c r="DI50" s="341"/>
      <c r="DJ50" s="341"/>
      <c r="DK50" s="341"/>
      <c r="DL50" s="341"/>
      <c r="DM50" s="341"/>
      <c r="DN50" s="341"/>
      <c r="DO50" s="341"/>
      <c r="DP50" s="341"/>
      <c r="DQ50" s="341"/>
      <c r="DR50" s="341"/>
      <c r="DS50" s="341"/>
      <c r="DT50" s="341"/>
      <c r="DU50" s="341"/>
      <c r="DV50" s="341"/>
      <c r="DW50" s="341"/>
      <c r="DX50" s="341"/>
      <c r="DY50" s="341"/>
      <c r="DZ50" s="341"/>
      <c r="EA50" s="341"/>
      <c r="EB50" s="341"/>
      <c r="EC50" s="341"/>
      <c r="ED50" s="341"/>
      <c r="EE50" s="341"/>
      <c r="EF50" s="341"/>
      <c r="EH50" s="347"/>
      <c r="EI50" s="347"/>
      <c r="EJ50" s="348"/>
      <c r="EK50" s="348"/>
      <c r="EL50" s="348"/>
      <c r="EM50" s="348"/>
      <c r="EN50" s="348"/>
      <c r="EO50" s="348"/>
      <c r="EP50" s="348"/>
      <c r="EQ50" s="348"/>
      <c r="ER50" s="348"/>
      <c r="ES50" s="348"/>
      <c r="ET50" s="348"/>
      <c r="EU50" s="348"/>
      <c r="EV50" s="348"/>
      <c r="EW50" s="348"/>
      <c r="EX50" s="348"/>
      <c r="EY50" s="348"/>
      <c r="EZ50" s="348"/>
      <c r="FA50" s="348"/>
      <c r="FB50" s="348"/>
      <c r="FC50" s="348"/>
      <c r="FD50" s="348"/>
      <c r="FE50" s="348"/>
      <c r="FF50" s="348"/>
      <c r="FG50" s="348"/>
      <c r="FH50" s="348"/>
      <c r="FI50" s="348"/>
      <c r="FJ50" s="348"/>
      <c r="FK50" s="348"/>
      <c r="FL50" s="355"/>
      <c r="FM50" s="348"/>
      <c r="FN50" s="355">
        <f t="shared" si="12"/>
        <v>0</v>
      </c>
      <c r="FP50" s="358"/>
      <c r="FQ50" s="358"/>
      <c r="FR50" s="359"/>
      <c r="FS50" s="359"/>
      <c r="FT50" s="359"/>
      <c r="FU50" s="359"/>
      <c r="FV50" s="359"/>
      <c r="FW50" s="359"/>
      <c r="FX50" s="359"/>
      <c r="FY50" s="359"/>
      <c r="FZ50" s="359"/>
      <c r="GA50" s="359"/>
      <c r="GB50" s="359"/>
      <c r="GC50" s="359"/>
      <c r="GD50" s="359"/>
      <c r="GE50" s="359"/>
      <c r="GF50" s="359"/>
      <c r="GG50" s="359"/>
      <c r="GH50" s="359"/>
      <c r="GI50" s="359"/>
      <c r="GJ50" s="359"/>
      <c r="GK50" s="359"/>
      <c r="GL50" s="359"/>
      <c r="GM50" s="359"/>
      <c r="GN50" s="359"/>
      <c r="GO50" s="359"/>
      <c r="GP50" s="359"/>
      <c r="GQ50" s="359"/>
      <c r="GR50" s="359"/>
      <c r="GS50" s="359"/>
      <c r="GT50" s="359"/>
      <c r="GU50" s="359"/>
      <c r="GV50" s="359"/>
      <c r="GX50" s="368" t="s">
        <v>495</v>
      </c>
      <c r="GY50" s="368"/>
      <c r="GZ50" s="369"/>
      <c r="HA50" s="369"/>
      <c r="HB50" s="369"/>
      <c r="HC50" s="369"/>
      <c r="HD50" s="369"/>
      <c r="HE50" s="369"/>
      <c r="HF50" s="369"/>
      <c r="HG50" s="369"/>
      <c r="HH50" s="369"/>
      <c r="HI50" s="369"/>
      <c r="HJ50" s="369"/>
      <c r="HK50" s="369"/>
      <c r="HL50" s="369"/>
      <c r="HM50" s="375"/>
      <c r="HN50" s="369"/>
      <c r="HO50" s="375"/>
      <c r="HP50" s="369"/>
      <c r="HQ50" s="369"/>
      <c r="HR50" s="369"/>
      <c r="HS50" s="369"/>
      <c r="HT50" s="369"/>
      <c r="HU50" s="369"/>
      <c r="HV50" s="369"/>
      <c r="HW50" s="369"/>
      <c r="HX50" s="369"/>
      <c r="HY50" s="375"/>
      <c r="HZ50" s="375"/>
      <c r="IA50" s="375"/>
      <c r="IB50" s="375"/>
      <c r="IC50" s="378">
        <f ca="1">SUMIF('Working-Jan-25'!$C$600:$C$694,GX50,'Working-Jan-25'!$F$600:$F$694)</f>
        <v>0</v>
      </c>
      <c r="ID50" s="378">
        <f ca="1" t="shared" si="5"/>
        <v>0</v>
      </c>
      <c r="IF50" s="371"/>
      <c r="IG50" s="371"/>
      <c r="IH50" s="380"/>
      <c r="II50" s="380"/>
      <c r="IJ50" s="380"/>
      <c r="IK50" s="380"/>
      <c r="IL50" s="380"/>
      <c r="IM50" s="380"/>
      <c r="IN50" s="380"/>
      <c r="IO50" s="380"/>
      <c r="IP50" s="380"/>
      <c r="IQ50" s="380"/>
      <c r="IR50" s="380"/>
      <c r="IS50" s="380"/>
      <c r="IT50" s="380"/>
      <c r="IU50" s="380"/>
      <c r="IV50" s="380"/>
      <c r="IW50" s="380"/>
      <c r="IX50" s="380"/>
      <c r="IY50" s="380"/>
      <c r="IZ50" s="380"/>
      <c r="JA50" s="380"/>
      <c r="JB50" s="380"/>
      <c r="JC50" s="380"/>
      <c r="JD50" s="380"/>
      <c r="JE50" s="380"/>
      <c r="JF50" s="380"/>
      <c r="JG50" s="380"/>
      <c r="JH50" s="380"/>
      <c r="JI50" s="380"/>
      <c r="JJ50" s="380"/>
      <c r="JK50" s="380"/>
      <c r="JL50" s="380"/>
      <c r="JM50" s="273" t="s">
        <v>535</v>
      </c>
      <c r="JN50" s="37" t="s">
        <v>610</v>
      </c>
      <c r="JO50" s="37" t="s">
        <v>618</v>
      </c>
      <c r="JP50" s="37"/>
      <c r="JQ50" s="382"/>
      <c r="JR50" s="382"/>
      <c r="JS50" s="382"/>
      <c r="JT50" s="382"/>
      <c r="JU50" s="382"/>
      <c r="JV50" s="382"/>
      <c r="JW50" s="386"/>
      <c r="JX50" s="386"/>
      <c r="JY50" s="386"/>
      <c r="JZ50" s="386"/>
      <c r="KA50" s="386"/>
      <c r="KB50" s="385"/>
      <c r="KC50" s="386"/>
      <c r="KD50" s="386"/>
      <c r="KE50" s="386"/>
      <c r="KF50" s="386">
        <f ca="1">SUMIF('Working-Jan-25'!$C$600:$C$694,JO50,'Working-Jan-25'!$L$600:$L$694)</f>
        <v>50520.25</v>
      </c>
      <c r="KG50" s="393"/>
      <c r="KH50" s="386"/>
      <c r="KI50" s="386"/>
      <c r="KJ50" s="386"/>
      <c r="KK50" s="386"/>
      <c r="KL50" s="386"/>
      <c r="KM50" s="386"/>
      <c r="KN50" s="386"/>
      <c r="KO50" s="386"/>
      <c r="KP50" s="386"/>
      <c r="KQ50" s="386"/>
      <c r="KR50" s="386"/>
      <c r="KS50" s="396"/>
      <c r="KT50" s="396"/>
      <c r="KU50" s="396"/>
      <c r="KV50" s="396"/>
      <c r="KW50" s="396"/>
      <c r="KX50" s="396"/>
      <c r="KY50" s="396"/>
    </row>
    <row r="51" spans="2:311">
      <c r="B51" s="279"/>
      <c r="C51" s="279" t="s">
        <v>619</v>
      </c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301"/>
      <c r="V51" s="301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>
        <f ca="1">SUMIF('Working-Jan-25'!$C$600:$C$694,C51,'Working-Jan-25'!$D$600:$D$694)</f>
        <v>0</v>
      </c>
      <c r="AH51" s="303">
        <f ca="1" t="shared" si="14"/>
        <v>0</v>
      </c>
      <c r="AJ51" s="306"/>
      <c r="AK51" s="306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  <c r="BI51" s="307"/>
      <c r="BJ51" s="307"/>
      <c r="BK51" s="307"/>
      <c r="BL51" s="307"/>
      <c r="BM51" s="307"/>
      <c r="BN51" s="307"/>
      <c r="BO51" s="307"/>
      <c r="BP51" s="307"/>
      <c r="BR51" s="315"/>
      <c r="BS51" s="315"/>
      <c r="BT51" s="316"/>
      <c r="BU51" s="316"/>
      <c r="BV51" s="316"/>
      <c r="BW51" s="316"/>
      <c r="BX51" s="316"/>
      <c r="BY51" s="316"/>
      <c r="BZ51" s="316"/>
      <c r="CA51" s="316"/>
      <c r="CB51" s="316"/>
      <c r="CC51" s="316"/>
      <c r="CD51" s="316"/>
      <c r="CE51" s="316"/>
      <c r="CF51" s="316"/>
      <c r="CG51" s="316"/>
      <c r="CH51" s="316"/>
      <c r="CI51" s="316"/>
      <c r="CJ51" s="316"/>
      <c r="CK51" s="316"/>
      <c r="CL51" s="316"/>
      <c r="CM51" s="316"/>
      <c r="CN51" s="316"/>
      <c r="CO51" s="316"/>
      <c r="CP51" s="316"/>
      <c r="CQ51" s="316"/>
      <c r="CR51" s="316"/>
      <c r="CS51" s="316"/>
      <c r="CT51" s="316"/>
      <c r="CU51" s="316"/>
      <c r="CV51" s="316"/>
      <c r="CW51" s="316"/>
      <c r="CX51" s="316"/>
      <c r="CZ51" s="337"/>
      <c r="DA51" s="337"/>
      <c r="DB51" s="341"/>
      <c r="DC51" s="341"/>
      <c r="DD51" s="341"/>
      <c r="DE51" s="341"/>
      <c r="DF51" s="341"/>
      <c r="DG51" s="341"/>
      <c r="DH51" s="341"/>
      <c r="DI51" s="341"/>
      <c r="DJ51" s="341"/>
      <c r="DK51" s="341"/>
      <c r="DL51" s="341"/>
      <c r="DM51" s="341"/>
      <c r="DN51" s="341"/>
      <c r="DO51" s="341"/>
      <c r="DP51" s="341"/>
      <c r="DQ51" s="341"/>
      <c r="DR51" s="341"/>
      <c r="DS51" s="341"/>
      <c r="DT51" s="341"/>
      <c r="DU51" s="341"/>
      <c r="DV51" s="341"/>
      <c r="DW51" s="341"/>
      <c r="DX51" s="341"/>
      <c r="DY51" s="341"/>
      <c r="DZ51" s="341"/>
      <c r="EA51" s="341"/>
      <c r="EB51" s="341"/>
      <c r="EC51" s="341"/>
      <c r="ED51" s="341"/>
      <c r="EE51" s="341"/>
      <c r="EF51" s="341"/>
      <c r="EH51" s="347"/>
      <c r="EI51" s="347"/>
      <c r="EJ51" s="348"/>
      <c r="EK51" s="348"/>
      <c r="EL51" s="348"/>
      <c r="EM51" s="348"/>
      <c r="EN51" s="348"/>
      <c r="EO51" s="348"/>
      <c r="EP51" s="348"/>
      <c r="EQ51" s="348"/>
      <c r="ER51" s="348"/>
      <c r="ES51" s="348"/>
      <c r="ET51" s="348"/>
      <c r="EU51" s="348"/>
      <c r="EV51" s="348"/>
      <c r="EW51" s="348"/>
      <c r="EX51" s="348"/>
      <c r="EY51" s="348"/>
      <c r="EZ51" s="348"/>
      <c r="FA51" s="348"/>
      <c r="FB51" s="348"/>
      <c r="FC51" s="348"/>
      <c r="FD51" s="348"/>
      <c r="FE51" s="348"/>
      <c r="FF51" s="348"/>
      <c r="FG51" s="348"/>
      <c r="FH51" s="348"/>
      <c r="FI51" s="348"/>
      <c r="FJ51" s="348"/>
      <c r="FK51" s="348"/>
      <c r="FL51" s="348"/>
      <c r="FM51" s="348"/>
      <c r="FN51" s="348"/>
      <c r="FP51" s="358"/>
      <c r="FQ51" s="358"/>
      <c r="FR51" s="359"/>
      <c r="FS51" s="359"/>
      <c r="FT51" s="359"/>
      <c r="FU51" s="359"/>
      <c r="FV51" s="359"/>
      <c r="FW51" s="359"/>
      <c r="FX51" s="359"/>
      <c r="FY51" s="359"/>
      <c r="FZ51" s="359"/>
      <c r="GA51" s="359"/>
      <c r="GB51" s="359"/>
      <c r="GC51" s="359"/>
      <c r="GD51" s="359"/>
      <c r="GE51" s="359"/>
      <c r="GF51" s="359"/>
      <c r="GG51" s="359"/>
      <c r="GH51" s="359"/>
      <c r="GI51" s="359"/>
      <c r="GJ51" s="359"/>
      <c r="GK51" s="359"/>
      <c r="GL51" s="359"/>
      <c r="GM51" s="359"/>
      <c r="GN51" s="359"/>
      <c r="GO51" s="359"/>
      <c r="GP51" s="359"/>
      <c r="GQ51" s="359"/>
      <c r="GR51" s="359"/>
      <c r="GS51" s="359"/>
      <c r="GT51" s="359"/>
      <c r="GU51" s="359"/>
      <c r="GV51" s="359"/>
      <c r="GX51" s="368" t="s">
        <v>555</v>
      </c>
      <c r="GY51" s="368"/>
      <c r="GZ51" s="369"/>
      <c r="HA51" s="369"/>
      <c r="HB51" s="369"/>
      <c r="HC51" s="369"/>
      <c r="HD51" s="369"/>
      <c r="HE51" s="369"/>
      <c r="HF51" s="369"/>
      <c r="HG51" s="369"/>
      <c r="HH51" s="369"/>
      <c r="HI51" s="369"/>
      <c r="HJ51" s="369"/>
      <c r="HK51" s="369"/>
      <c r="HL51" s="369"/>
      <c r="HM51" s="375"/>
      <c r="HN51" s="369"/>
      <c r="HO51" s="375"/>
      <c r="HP51" s="369"/>
      <c r="HQ51" s="369"/>
      <c r="HR51" s="369"/>
      <c r="HS51" s="369"/>
      <c r="HT51" s="369"/>
      <c r="HU51" s="369"/>
      <c r="HV51" s="369"/>
      <c r="HW51" s="369"/>
      <c r="HX51" s="369"/>
      <c r="HY51" s="375"/>
      <c r="HZ51" s="375"/>
      <c r="IA51" s="375"/>
      <c r="IB51" s="375"/>
      <c r="IC51" s="378">
        <f ca="1">SUMIF('Working-Jan-25'!$C$600:$C$694,GX51,'Working-Jan-25'!$F$600:$F$694)</f>
        <v>0</v>
      </c>
      <c r="ID51" s="378">
        <f ca="1" t="shared" si="5"/>
        <v>0</v>
      </c>
      <c r="IF51" s="371"/>
      <c r="IG51" s="371"/>
      <c r="IH51" s="380"/>
      <c r="II51" s="380"/>
      <c r="IJ51" s="380"/>
      <c r="IK51" s="380"/>
      <c r="IL51" s="380"/>
      <c r="IM51" s="380"/>
      <c r="IN51" s="380"/>
      <c r="IO51" s="380"/>
      <c r="IP51" s="380"/>
      <c r="IQ51" s="380"/>
      <c r="IR51" s="380"/>
      <c r="IS51" s="380"/>
      <c r="IT51" s="380"/>
      <c r="IU51" s="380"/>
      <c r="IV51" s="380"/>
      <c r="IW51" s="380"/>
      <c r="IX51" s="380"/>
      <c r="IY51" s="380"/>
      <c r="IZ51" s="380"/>
      <c r="JA51" s="380"/>
      <c r="JB51" s="380"/>
      <c r="JC51" s="380"/>
      <c r="JD51" s="380"/>
      <c r="JE51" s="380"/>
      <c r="JF51" s="380"/>
      <c r="JG51" s="380"/>
      <c r="JH51" s="380"/>
      <c r="JI51" s="380"/>
      <c r="JJ51" s="380"/>
      <c r="JK51" s="380"/>
      <c r="JL51" s="380"/>
      <c r="JN51" s="37" t="s">
        <v>613</v>
      </c>
      <c r="JO51" s="37" t="s">
        <v>517</v>
      </c>
      <c r="JP51" s="37"/>
      <c r="JQ51" s="382"/>
      <c r="JR51" s="382"/>
      <c r="JS51" s="382"/>
      <c r="JT51" s="382"/>
      <c r="JU51" s="382"/>
      <c r="JV51" s="382"/>
      <c r="JW51" s="386"/>
      <c r="JX51" s="386"/>
      <c r="JY51" s="386"/>
      <c r="JZ51" s="386"/>
      <c r="KA51" s="386"/>
      <c r="KB51" s="386"/>
      <c r="KC51" s="386"/>
      <c r="KD51" s="386"/>
      <c r="KE51" s="386"/>
      <c r="KF51" s="386">
        <f ca="1">SUMIF('Working-Jan-25'!$C$600:$C$694,JO51,'Working-Jan-25'!$L$600:$L$694)</f>
        <v>0</v>
      </c>
      <c r="KG51" s="393"/>
      <c r="KH51" s="386"/>
      <c r="KI51" s="386"/>
      <c r="KJ51" s="386"/>
      <c r="KK51" s="386"/>
      <c r="KL51" s="386"/>
      <c r="KM51" s="386"/>
      <c r="KN51" s="386"/>
      <c r="KO51" s="386"/>
      <c r="KP51" s="386"/>
      <c r="KQ51" s="386"/>
      <c r="KR51" s="386"/>
      <c r="KS51" s="396"/>
      <c r="KT51" s="396"/>
      <c r="KU51" s="396"/>
      <c r="KV51" s="396"/>
      <c r="KW51" s="396"/>
      <c r="KX51" s="396"/>
      <c r="KY51" s="396"/>
    </row>
    <row r="52" spans="2:311">
      <c r="B52" s="279"/>
      <c r="C52" s="279" t="s">
        <v>620</v>
      </c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303"/>
      <c r="X52" s="303"/>
      <c r="Y52" s="303"/>
      <c r="Z52" s="303"/>
      <c r="AA52" s="303"/>
      <c r="AB52" s="303"/>
      <c r="AC52" s="303"/>
      <c r="AD52" s="303"/>
      <c r="AE52" s="303"/>
      <c r="AF52" s="303"/>
      <c r="AG52" s="303">
        <f ca="1">SUMIF('Working-Jan-25'!$C$600:$C$694,C52,'Working-Jan-25'!$D$600:$D$694)</f>
        <v>0</v>
      </c>
      <c r="AH52" s="303">
        <f ca="1" t="shared" si="14"/>
        <v>0</v>
      </c>
      <c r="AJ52" s="306"/>
      <c r="AK52" s="306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  <c r="BI52" s="307"/>
      <c r="BJ52" s="307"/>
      <c r="BK52" s="307"/>
      <c r="BL52" s="307"/>
      <c r="BM52" s="307"/>
      <c r="BN52" s="307"/>
      <c r="BO52" s="307"/>
      <c r="BP52" s="307"/>
      <c r="BR52" s="315"/>
      <c r="BS52" s="315"/>
      <c r="BT52" s="316"/>
      <c r="BU52" s="316"/>
      <c r="BV52" s="316"/>
      <c r="BW52" s="316"/>
      <c r="BX52" s="316"/>
      <c r="BY52" s="316"/>
      <c r="BZ52" s="316"/>
      <c r="CA52" s="316"/>
      <c r="CB52" s="316"/>
      <c r="CC52" s="316"/>
      <c r="CD52" s="316"/>
      <c r="CE52" s="316"/>
      <c r="CF52" s="316"/>
      <c r="CG52" s="316"/>
      <c r="CH52" s="316"/>
      <c r="CI52" s="316"/>
      <c r="CJ52" s="316"/>
      <c r="CK52" s="316"/>
      <c r="CL52" s="316"/>
      <c r="CM52" s="316"/>
      <c r="CN52" s="316"/>
      <c r="CO52" s="316"/>
      <c r="CP52" s="316"/>
      <c r="CQ52" s="316"/>
      <c r="CR52" s="316"/>
      <c r="CS52" s="316"/>
      <c r="CT52" s="316"/>
      <c r="CU52" s="316"/>
      <c r="CV52" s="316"/>
      <c r="CW52" s="316"/>
      <c r="CX52" s="316"/>
      <c r="CZ52" s="337"/>
      <c r="DA52" s="337"/>
      <c r="DB52" s="341"/>
      <c r="DC52" s="341"/>
      <c r="DD52" s="341"/>
      <c r="DE52" s="341"/>
      <c r="DF52" s="341"/>
      <c r="DG52" s="341"/>
      <c r="DH52" s="341"/>
      <c r="DI52" s="341"/>
      <c r="DJ52" s="341"/>
      <c r="DK52" s="341"/>
      <c r="DL52" s="341"/>
      <c r="DM52" s="341"/>
      <c r="DN52" s="341"/>
      <c r="DO52" s="341"/>
      <c r="DP52" s="341"/>
      <c r="DQ52" s="341"/>
      <c r="DR52" s="341"/>
      <c r="DS52" s="341"/>
      <c r="DT52" s="341"/>
      <c r="DU52" s="341"/>
      <c r="DV52" s="341"/>
      <c r="DW52" s="341"/>
      <c r="DX52" s="341"/>
      <c r="DY52" s="341"/>
      <c r="DZ52" s="341"/>
      <c r="EA52" s="341"/>
      <c r="EB52" s="341"/>
      <c r="EC52" s="341"/>
      <c r="ED52" s="341"/>
      <c r="EE52" s="341"/>
      <c r="EF52" s="341"/>
      <c r="EH52" s="347"/>
      <c r="EI52" s="347"/>
      <c r="EJ52" s="348"/>
      <c r="EK52" s="348"/>
      <c r="EL52" s="348"/>
      <c r="EM52" s="348"/>
      <c r="EN52" s="348"/>
      <c r="EO52" s="348"/>
      <c r="EP52" s="348"/>
      <c r="EQ52" s="348"/>
      <c r="ER52" s="348"/>
      <c r="ES52" s="348"/>
      <c r="ET52" s="348"/>
      <c r="EU52" s="348"/>
      <c r="EV52" s="348"/>
      <c r="EW52" s="348"/>
      <c r="EX52" s="348"/>
      <c r="EY52" s="348"/>
      <c r="EZ52" s="348"/>
      <c r="FA52" s="348"/>
      <c r="FB52" s="348"/>
      <c r="FC52" s="348"/>
      <c r="FD52" s="348"/>
      <c r="FE52" s="348"/>
      <c r="FF52" s="348"/>
      <c r="FG52" s="348"/>
      <c r="FH52" s="348"/>
      <c r="FI52" s="348"/>
      <c r="FJ52" s="348"/>
      <c r="FK52" s="348"/>
      <c r="FL52" s="348"/>
      <c r="FM52" s="348"/>
      <c r="FN52" s="348"/>
      <c r="FP52" s="358"/>
      <c r="FQ52" s="358"/>
      <c r="FR52" s="359"/>
      <c r="FS52" s="359"/>
      <c r="FT52" s="359"/>
      <c r="FU52" s="359"/>
      <c r="FV52" s="359"/>
      <c r="FW52" s="359"/>
      <c r="FX52" s="359"/>
      <c r="FY52" s="359"/>
      <c r="FZ52" s="359"/>
      <c r="GA52" s="359"/>
      <c r="GB52" s="359"/>
      <c r="GC52" s="359"/>
      <c r="GD52" s="359"/>
      <c r="GE52" s="359"/>
      <c r="GF52" s="359"/>
      <c r="GG52" s="359"/>
      <c r="GH52" s="359"/>
      <c r="GI52" s="359"/>
      <c r="GJ52" s="359"/>
      <c r="GK52" s="359"/>
      <c r="GL52" s="359"/>
      <c r="GM52" s="359"/>
      <c r="GN52" s="359"/>
      <c r="GO52" s="359"/>
      <c r="GP52" s="359"/>
      <c r="GQ52" s="359"/>
      <c r="GR52" s="359"/>
      <c r="GS52" s="359"/>
      <c r="GT52" s="359"/>
      <c r="GU52" s="359"/>
      <c r="GV52" s="359"/>
      <c r="GX52" s="368" t="s">
        <v>547</v>
      </c>
      <c r="GY52" s="368"/>
      <c r="GZ52" s="369"/>
      <c r="HA52" s="369"/>
      <c r="HB52" s="369"/>
      <c r="HC52" s="369"/>
      <c r="HD52" s="369"/>
      <c r="HE52" s="369"/>
      <c r="HF52" s="369"/>
      <c r="HG52" s="369"/>
      <c r="HH52" s="369"/>
      <c r="HI52" s="369"/>
      <c r="HJ52" s="369"/>
      <c r="HK52" s="369"/>
      <c r="HL52" s="369"/>
      <c r="HM52" s="375"/>
      <c r="HN52" s="369"/>
      <c r="HO52" s="375"/>
      <c r="HP52" s="369"/>
      <c r="HQ52" s="369"/>
      <c r="HR52" s="369"/>
      <c r="HS52" s="369"/>
      <c r="HT52" s="369"/>
      <c r="HU52" s="369"/>
      <c r="HV52" s="369"/>
      <c r="HW52" s="369"/>
      <c r="HX52" s="369"/>
      <c r="HY52" s="375"/>
      <c r="HZ52" s="375"/>
      <c r="IA52" s="375"/>
      <c r="IB52" s="375"/>
      <c r="IC52" s="378">
        <f ca="1">SUMIF('Working-Jan-25'!$C$600:$C$694,GX52,'Working-Jan-25'!$F$600:$F$694)</f>
        <v>0</v>
      </c>
      <c r="ID52" s="378">
        <f ca="1" t="shared" si="5"/>
        <v>0</v>
      </c>
      <c r="IF52" s="371"/>
      <c r="IG52" s="371"/>
      <c r="IH52" s="380"/>
      <c r="II52" s="380"/>
      <c r="IJ52" s="380"/>
      <c r="IK52" s="380"/>
      <c r="IL52" s="380"/>
      <c r="IM52" s="380"/>
      <c r="IN52" s="380"/>
      <c r="IO52" s="380"/>
      <c r="IP52" s="380"/>
      <c r="IQ52" s="380"/>
      <c r="IR52" s="380"/>
      <c r="IS52" s="380"/>
      <c r="IT52" s="380"/>
      <c r="IU52" s="380"/>
      <c r="IV52" s="380"/>
      <c r="IW52" s="380"/>
      <c r="IX52" s="380"/>
      <c r="IY52" s="380"/>
      <c r="IZ52" s="380"/>
      <c r="JA52" s="380"/>
      <c r="JB52" s="380"/>
      <c r="JC52" s="380"/>
      <c r="JD52" s="380"/>
      <c r="JE52" s="380"/>
      <c r="JF52" s="380"/>
      <c r="JG52" s="380"/>
      <c r="JH52" s="380"/>
      <c r="JI52" s="380"/>
      <c r="JJ52" s="380"/>
      <c r="JK52" s="380"/>
      <c r="JL52" s="380"/>
      <c r="JN52" s="37" t="s">
        <v>615</v>
      </c>
      <c r="JO52" s="37" t="s">
        <v>535</v>
      </c>
      <c r="JP52" s="37"/>
      <c r="JQ52" s="382"/>
      <c r="JR52" s="382"/>
      <c r="JS52" s="382"/>
      <c r="JT52" s="382"/>
      <c r="JU52" s="382"/>
      <c r="JV52" s="382"/>
      <c r="JW52" s="386"/>
      <c r="JX52" s="386"/>
      <c r="JY52" s="386"/>
      <c r="JZ52" s="386"/>
      <c r="KA52" s="386"/>
      <c r="KB52" s="386"/>
      <c r="KC52" s="386"/>
      <c r="KD52" s="386"/>
      <c r="KE52" s="386"/>
      <c r="KF52" s="386">
        <f ca="1">SUMIF('Working-Jan-25'!$C$600:$C$694,JO52,'Working-Jan-25'!$L$600:$L$694)</f>
        <v>0</v>
      </c>
      <c r="KG52" s="393"/>
      <c r="KH52" s="386"/>
      <c r="KI52" s="386"/>
      <c r="KJ52" s="386"/>
      <c r="KK52" s="386"/>
      <c r="KL52" s="386"/>
      <c r="KM52" s="386"/>
      <c r="KN52" s="386"/>
      <c r="KO52" s="386"/>
      <c r="KP52" s="386"/>
      <c r="KQ52" s="386"/>
      <c r="KR52" s="386"/>
      <c r="KS52" s="396"/>
      <c r="KT52" s="396"/>
      <c r="KU52" s="396"/>
      <c r="KV52" s="396"/>
      <c r="KW52" s="396"/>
      <c r="KX52" s="396"/>
      <c r="KY52" s="396"/>
    </row>
    <row r="53" spans="2:311">
      <c r="B53" s="279"/>
      <c r="C53" s="279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303"/>
      <c r="X53" s="303"/>
      <c r="Y53" s="303"/>
      <c r="Z53" s="303"/>
      <c r="AA53" s="303"/>
      <c r="AB53" s="303"/>
      <c r="AC53" s="303"/>
      <c r="AD53" s="303"/>
      <c r="AE53" s="303"/>
      <c r="AF53" s="303"/>
      <c r="AG53" s="303"/>
      <c r="AH53" s="303"/>
      <c r="AJ53" s="306"/>
      <c r="AK53" s="306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  <c r="BI53" s="307"/>
      <c r="BJ53" s="307"/>
      <c r="BK53" s="307"/>
      <c r="BL53" s="307"/>
      <c r="BM53" s="307"/>
      <c r="BN53" s="307"/>
      <c r="BO53" s="307"/>
      <c r="BP53" s="307"/>
      <c r="BR53" s="315"/>
      <c r="BS53" s="315"/>
      <c r="BT53" s="316"/>
      <c r="BU53" s="316"/>
      <c r="BV53" s="316"/>
      <c r="BW53" s="316"/>
      <c r="BX53" s="316"/>
      <c r="BY53" s="316"/>
      <c r="BZ53" s="316"/>
      <c r="CA53" s="316"/>
      <c r="CB53" s="316"/>
      <c r="CC53" s="316"/>
      <c r="CD53" s="316"/>
      <c r="CE53" s="316"/>
      <c r="CF53" s="316"/>
      <c r="CG53" s="316"/>
      <c r="CH53" s="316"/>
      <c r="CI53" s="316"/>
      <c r="CJ53" s="316"/>
      <c r="CK53" s="316"/>
      <c r="CL53" s="316"/>
      <c r="CM53" s="316"/>
      <c r="CN53" s="316"/>
      <c r="CO53" s="316"/>
      <c r="CP53" s="316"/>
      <c r="CQ53" s="316"/>
      <c r="CR53" s="316"/>
      <c r="CS53" s="316"/>
      <c r="CT53" s="316"/>
      <c r="CU53" s="316"/>
      <c r="CV53" s="316"/>
      <c r="CW53" s="316"/>
      <c r="CX53" s="316"/>
      <c r="CZ53" s="337"/>
      <c r="DA53" s="337"/>
      <c r="DB53" s="341"/>
      <c r="DC53" s="341"/>
      <c r="DD53" s="341"/>
      <c r="DE53" s="341"/>
      <c r="DF53" s="341"/>
      <c r="DG53" s="341"/>
      <c r="DH53" s="341"/>
      <c r="DI53" s="341"/>
      <c r="DJ53" s="341"/>
      <c r="DK53" s="341"/>
      <c r="DL53" s="341"/>
      <c r="DM53" s="341"/>
      <c r="DN53" s="341"/>
      <c r="DO53" s="341"/>
      <c r="DP53" s="341"/>
      <c r="DQ53" s="341"/>
      <c r="DR53" s="341"/>
      <c r="DS53" s="341"/>
      <c r="DT53" s="341"/>
      <c r="DU53" s="341"/>
      <c r="DV53" s="341"/>
      <c r="DW53" s="341"/>
      <c r="DX53" s="341"/>
      <c r="DY53" s="341"/>
      <c r="DZ53" s="341"/>
      <c r="EA53" s="341"/>
      <c r="EB53" s="341"/>
      <c r="EC53" s="341"/>
      <c r="ED53" s="341"/>
      <c r="EE53" s="341"/>
      <c r="EF53" s="341"/>
      <c r="EH53" s="347"/>
      <c r="EI53" s="347"/>
      <c r="EJ53" s="348"/>
      <c r="EK53" s="348"/>
      <c r="EL53" s="348"/>
      <c r="EM53" s="348"/>
      <c r="EN53" s="348"/>
      <c r="EO53" s="348"/>
      <c r="EP53" s="348"/>
      <c r="EQ53" s="348"/>
      <c r="ER53" s="348"/>
      <c r="ES53" s="348"/>
      <c r="ET53" s="348"/>
      <c r="EU53" s="348"/>
      <c r="EV53" s="348"/>
      <c r="EW53" s="348"/>
      <c r="EX53" s="348"/>
      <c r="EY53" s="348"/>
      <c r="EZ53" s="348"/>
      <c r="FA53" s="348"/>
      <c r="FB53" s="348"/>
      <c r="FC53" s="348"/>
      <c r="FD53" s="348"/>
      <c r="FE53" s="348"/>
      <c r="FF53" s="348"/>
      <c r="FG53" s="348"/>
      <c r="FH53" s="348"/>
      <c r="FI53" s="348"/>
      <c r="FJ53" s="348"/>
      <c r="FK53" s="348"/>
      <c r="FL53" s="348"/>
      <c r="FM53" s="348"/>
      <c r="FN53" s="348"/>
      <c r="FP53" s="358"/>
      <c r="FQ53" s="358"/>
      <c r="FR53" s="359"/>
      <c r="FS53" s="359"/>
      <c r="FT53" s="359"/>
      <c r="FU53" s="359"/>
      <c r="FV53" s="359"/>
      <c r="FW53" s="359"/>
      <c r="FX53" s="359"/>
      <c r="FY53" s="359"/>
      <c r="FZ53" s="359"/>
      <c r="GA53" s="359"/>
      <c r="GB53" s="359"/>
      <c r="GC53" s="359"/>
      <c r="GD53" s="359"/>
      <c r="GE53" s="359"/>
      <c r="GF53" s="359"/>
      <c r="GG53" s="359"/>
      <c r="GH53" s="359"/>
      <c r="GI53" s="359"/>
      <c r="GJ53" s="359"/>
      <c r="GK53" s="359"/>
      <c r="GL53" s="359"/>
      <c r="GM53" s="359"/>
      <c r="GN53" s="359"/>
      <c r="GO53" s="359"/>
      <c r="GP53" s="359"/>
      <c r="GQ53" s="359"/>
      <c r="GR53" s="359"/>
      <c r="GS53" s="359"/>
      <c r="GT53" s="359"/>
      <c r="GU53" s="359"/>
      <c r="GV53" s="359"/>
      <c r="GX53" s="368" t="s">
        <v>551</v>
      </c>
      <c r="GY53" s="368"/>
      <c r="GZ53" s="369"/>
      <c r="HA53" s="369"/>
      <c r="HB53" s="369"/>
      <c r="HC53" s="369"/>
      <c r="HD53" s="369"/>
      <c r="HE53" s="369"/>
      <c r="HF53" s="369"/>
      <c r="HG53" s="369"/>
      <c r="HH53" s="369"/>
      <c r="HI53" s="369"/>
      <c r="HJ53" s="369"/>
      <c r="HK53" s="369"/>
      <c r="HL53" s="369"/>
      <c r="HM53" s="375"/>
      <c r="HN53" s="369"/>
      <c r="HO53" s="375"/>
      <c r="HP53" s="369"/>
      <c r="HQ53" s="369"/>
      <c r="HR53" s="369"/>
      <c r="HS53" s="369"/>
      <c r="HT53" s="369"/>
      <c r="HU53" s="369"/>
      <c r="HV53" s="369"/>
      <c r="HW53" s="369"/>
      <c r="HX53" s="369"/>
      <c r="HY53" s="375"/>
      <c r="HZ53" s="375"/>
      <c r="IA53" s="375"/>
      <c r="IB53" s="375"/>
      <c r="IC53" s="378">
        <f ca="1">SUMIF('Working-Jan-25'!$C$600:$C$694,GX53,'Working-Jan-25'!$F$600:$F$694)</f>
        <v>0</v>
      </c>
      <c r="ID53" s="378">
        <f ca="1" t="shared" si="5"/>
        <v>0</v>
      </c>
      <c r="IF53" s="371"/>
      <c r="IG53" s="371"/>
      <c r="IH53" s="380"/>
      <c r="II53" s="380"/>
      <c r="IJ53" s="380"/>
      <c r="IK53" s="380"/>
      <c r="IL53" s="380"/>
      <c r="IM53" s="380"/>
      <c r="IN53" s="380"/>
      <c r="IO53" s="380"/>
      <c r="IP53" s="380"/>
      <c r="IQ53" s="380"/>
      <c r="IR53" s="380"/>
      <c r="IS53" s="380"/>
      <c r="IT53" s="380"/>
      <c r="IU53" s="380"/>
      <c r="IV53" s="380"/>
      <c r="IW53" s="380"/>
      <c r="IX53" s="380"/>
      <c r="IY53" s="380"/>
      <c r="IZ53" s="380"/>
      <c r="JA53" s="380"/>
      <c r="JB53" s="380"/>
      <c r="JC53" s="380"/>
      <c r="JD53" s="380"/>
      <c r="JE53" s="380"/>
      <c r="JF53" s="380"/>
      <c r="JG53" s="380"/>
      <c r="JH53" s="380"/>
      <c r="JI53" s="380"/>
      <c r="JJ53" s="380"/>
      <c r="JK53" s="380"/>
      <c r="JL53" s="380"/>
      <c r="JN53" s="37"/>
      <c r="JO53" s="37"/>
      <c r="JP53" s="37"/>
      <c r="JQ53" s="382"/>
      <c r="JR53" s="382"/>
      <c r="JS53" s="382"/>
      <c r="JT53" s="382"/>
      <c r="JU53" s="382"/>
      <c r="JV53" s="382"/>
      <c r="JW53" s="386"/>
      <c r="JX53" s="386"/>
      <c r="JY53" s="386"/>
      <c r="JZ53" s="386"/>
      <c r="KA53" s="386"/>
      <c r="KB53" s="386"/>
      <c r="KC53" s="386"/>
      <c r="KD53" s="386"/>
      <c r="KE53" s="386"/>
      <c r="KF53" s="386"/>
      <c r="KG53" s="393"/>
      <c r="KH53" s="386"/>
      <c r="KI53" s="386"/>
      <c r="KJ53" s="386"/>
      <c r="KK53" s="386"/>
      <c r="KL53" s="386"/>
      <c r="KM53" s="386"/>
      <c r="KN53" s="386"/>
      <c r="KO53" s="386"/>
      <c r="KP53" s="386"/>
      <c r="KQ53" s="386"/>
      <c r="KR53" s="386"/>
      <c r="KS53" s="396"/>
      <c r="KT53" s="396"/>
      <c r="KU53" s="396"/>
      <c r="KV53" s="396"/>
      <c r="KW53" s="396"/>
      <c r="KX53" s="396"/>
      <c r="KY53" s="396"/>
    </row>
    <row r="54" spans="2:311">
      <c r="B54" s="279"/>
      <c r="C54" s="279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J54" s="306"/>
      <c r="AK54" s="306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  <c r="BI54" s="307"/>
      <c r="BJ54" s="307"/>
      <c r="BK54" s="307"/>
      <c r="BL54" s="307"/>
      <c r="BM54" s="307"/>
      <c r="BN54" s="307"/>
      <c r="BO54" s="307"/>
      <c r="BP54" s="307"/>
      <c r="BR54" s="315"/>
      <c r="BS54" s="315"/>
      <c r="BT54" s="316"/>
      <c r="BU54" s="316"/>
      <c r="BV54" s="316"/>
      <c r="BW54" s="316"/>
      <c r="BX54" s="316"/>
      <c r="BY54" s="316"/>
      <c r="BZ54" s="316"/>
      <c r="CA54" s="316"/>
      <c r="CB54" s="316"/>
      <c r="CC54" s="316"/>
      <c r="CD54" s="316"/>
      <c r="CE54" s="316"/>
      <c r="CF54" s="316"/>
      <c r="CG54" s="316"/>
      <c r="CH54" s="316"/>
      <c r="CI54" s="316"/>
      <c r="CJ54" s="316"/>
      <c r="CK54" s="316"/>
      <c r="CL54" s="316"/>
      <c r="CM54" s="316"/>
      <c r="CN54" s="316"/>
      <c r="CO54" s="316"/>
      <c r="CP54" s="316"/>
      <c r="CQ54" s="316"/>
      <c r="CR54" s="316"/>
      <c r="CS54" s="316"/>
      <c r="CT54" s="316"/>
      <c r="CU54" s="316"/>
      <c r="CV54" s="316"/>
      <c r="CW54" s="316"/>
      <c r="CX54" s="316"/>
      <c r="CZ54" s="337"/>
      <c r="DA54" s="337"/>
      <c r="DB54" s="341"/>
      <c r="DC54" s="341"/>
      <c r="DD54" s="341"/>
      <c r="DE54" s="341"/>
      <c r="DF54" s="341"/>
      <c r="DG54" s="341"/>
      <c r="DH54" s="341"/>
      <c r="DI54" s="341"/>
      <c r="DJ54" s="341"/>
      <c r="DK54" s="341"/>
      <c r="DL54" s="341"/>
      <c r="DM54" s="341"/>
      <c r="DN54" s="341"/>
      <c r="DO54" s="341"/>
      <c r="DP54" s="341"/>
      <c r="DQ54" s="341"/>
      <c r="DR54" s="341"/>
      <c r="DS54" s="341"/>
      <c r="DT54" s="341"/>
      <c r="DU54" s="341"/>
      <c r="DV54" s="341"/>
      <c r="DW54" s="341"/>
      <c r="DX54" s="341"/>
      <c r="DY54" s="341"/>
      <c r="DZ54" s="341"/>
      <c r="EA54" s="341"/>
      <c r="EB54" s="341"/>
      <c r="EC54" s="341"/>
      <c r="ED54" s="341"/>
      <c r="EE54" s="341"/>
      <c r="EF54" s="341"/>
      <c r="EH54" s="347"/>
      <c r="EI54" s="347"/>
      <c r="EJ54" s="348"/>
      <c r="EK54" s="348"/>
      <c r="EL54" s="348"/>
      <c r="EM54" s="348"/>
      <c r="EN54" s="348"/>
      <c r="EO54" s="348"/>
      <c r="EP54" s="348"/>
      <c r="EQ54" s="348"/>
      <c r="ER54" s="348"/>
      <c r="ES54" s="348"/>
      <c r="ET54" s="348"/>
      <c r="EU54" s="348"/>
      <c r="EV54" s="348"/>
      <c r="EW54" s="348"/>
      <c r="EX54" s="348"/>
      <c r="EY54" s="348"/>
      <c r="EZ54" s="348"/>
      <c r="FA54" s="348"/>
      <c r="FB54" s="348"/>
      <c r="FC54" s="348"/>
      <c r="FD54" s="348"/>
      <c r="FE54" s="348"/>
      <c r="FF54" s="348"/>
      <c r="FG54" s="348"/>
      <c r="FH54" s="348"/>
      <c r="FI54" s="348"/>
      <c r="FJ54" s="348"/>
      <c r="FK54" s="348"/>
      <c r="FL54" s="348"/>
      <c r="FM54" s="348"/>
      <c r="FN54" s="348"/>
      <c r="FP54" s="358"/>
      <c r="FQ54" s="358"/>
      <c r="FR54" s="359"/>
      <c r="FS54" s="359"/>
      <c r="FT54" s="359"/>
      <c r="FU54" s="359"/>
      <c r="FV54" s="359"/>
      <c r="FW54" s="359"/>
      <c r="FX54" s="359"/>
      <c r="FY54" s="359"/>
      <c r="FZ54" s="359"/>
      <c r="GA54" s="359"/>
      <c r="GB54" s="359"/>
      <c r="GC54" s="359"/>
      <c r="GD54" s="359"/>
      <c r="GE54" s="359"/>
      <c r="GF54" s="359"/>
      <c r="GG54" s="359"/>
      <c r="GH54" s="359"/>
      <c r="GI54" s="359"/>
      <c r="GJ54" s="359"/>
      <c r="GK54" s="359"/>
      <c r="GL54" s="359"/>
      <c r="GM54" s="359"/>
      <c r="GN54" s="359"/>
      <c r="GO54" s="359"/>
      <c r="GP54" s="359"/>
      <c r="GQ54" s="359"/>
      <c r="GR54" s="359"/>
      <c r="GS54" s="359"/>
      <c r="GT54" s="359"/>
      <c r="GU54" s="359"/>
      <c r="GV54" s="359"/>
      <c r="GX54" s="368" t="s">
        <v>543</v>
      </c>
      <c r="GY54" s="368"/>
      <c r="GZ54" s="369"/>
      <c r="HA54" s="369"/>
      <c r="HB54" s="369"/>
      <c r="HC54" s="369"/>
      <c r="HD54" s="369"/>
      <c r="HE54" s="369"/>
      <c r="HF54" s="369"/>
      <c r="HG54" s="369"/>
      <c r="HH54" s="369"/>
      <c r="HI54" s="369"/>
      <c r="HJ54" s="369"/>
      <c r="HK54" s="369"/>
      <c r="HL54" s="369"/>
      <c r="HM54" s="375"/>
      <c r="HN54" s="369"/>
      <c r="HO54" s="375"/>
      <c r="HP54" s="369"/>
      <c r="HQ54" s="369"/>
      <c r="HR54" s="369"/>
      <c r="HS54" s="369"/>
      <c r="HT54" s="369"/>
      <c r="HU54" s="369"/>
      <c r="HV54" s="369"/>
      <c r="HW54" s="369"/>
      <c r="HX54" s="369"/>
      <c r="HY54" s="375"/>
      <c r="HZ54" s="375"/>
      <c r="IA54" s="375"/>
      <c r="IB54" s="375"/>
      <c r="IC54" s="378">
        <f ca="1">SUMIF('Working-Jan-25'!$C$600:$C$694,GX54,'Working-Jan-25'!$F$600:$F$694)</f>
        <v>0</v>
      </c>
      <c r="ID54" s="378">
        <f ca="1" t="shared" si="5"/>
        <v>0</v>
      </c>
      <c r="IF54" s="371"/>
      <c r="IG54" s="371"/>
      <c r="IH54" s="380"/>
      <c r="II54" s="380"/>
      <c r="IJ54" s="380"/>
      <c r="IK54" s="380"/>
      <c r="IL54" s="380"/>
      <c r="IM54" s="380"/>
      <c r="IN54" s="380"/>
      <c r="IO54" s="380"/>
      <c r="IP54" s="380"/>
      <c r="IQ54" s="380"/>
      <c r="IR54" s="380"/>
      <c r="IS54" s="380"/>
      <c r="IT54" s="380"/>
      <c r="IU54" s="380"/>
      <c r="IV54" s="380"/>
      <c r="IW54" s="380"/>
      <c r="IX54" s="380"/>
      <c r="IY54" s="380"/>
      <c r="IZ54" s="380"/>
      <c r="JA54" s="380"/>
      <c r="JB54" s="380"/>
      <c r="JC54" s="380"/>
      <c r="JD54" s="380"/>
      <c r="JE54" s="380"/>
      <c r="JF54" s="380"/>
      <c r="JG54" s="380"/>
      <c r="JH54" s="380"/>
      <c r="JI54" s="380"/>
      <c r="JJ54" s="380"/>
      <c r="JK54" s="380"/>
      <c r="JL54" s="380"/>
      <c r="JN54" s="37"/>
      <c r="JO54" s="37"/>
      <c r="JP54" s="37"/>
      <c r="JQ54" s="382"/>
      <c r="JR54" s="382"/>
      <c r="JS54" s="382"/>
      <c r="JT54" s="382"/>
      <c r="JU54" s="382"/>
      <c r="JV54" s="382"/>
      <c r="JW54" s="386"/>
      <c r="JX54" s="386"/>
      <c r="JY54" s="386"/>
      <c r="JZ54" s="386"/>
      <c r="KA54" s="386"/>
      <c r="KB54" s="386"/>
      <c r="KC54" s="386"/>
      <c r="KD54" s="386"/>
      <c r="KE54" s="386"/>
      <c r="KF54" s="386"/>
      <c r="KG54" s="393"/>
      <c r="KH54" s="386"/>
      <c r="KI54" s="386"/>
      <c r="KJ54" s="386"/>
      <c r="KK54" s="386"/>
      <c r="KL54" s="386"/>
      <c r="KM54" s="386"/>
      <c r="KN54" s="386"/>
      <c r="KO54" s="386"/>
      <c r="KP54" s="386"/>
      <c r="KQ54" s="386"/>
      <c r="KR54" s="386"/>
      <c r="KS54" s="396"/>
      <c r="KT54" s="396"/>
      <c r="KU54" s="396"/>
      <c r="KV54" s="396"/>
      <c r="KW54" s="396"/>
      <c r="KX54" s="396"/>
      <c r="KY54" s="396"/>
    </row>
    <row r="55" spans="2:311">
      <c r="B55" s="279"/>
      <c r="C55" s="279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303"/>
      <c r="X55" s="303"/>
      <c r="Y55" s="303"/>
      <c r="Z55" s="303"/>
      <c r="AA55" s="303"/>
      <c r="AB55" s="303"/>
      <c r="AC55" s="303"/>
      <c r="AD55" s="303"/>
      <c r="AE55" s="303"/>
      <c r="AF55" s="303"/>
      <c r="AG55" s="303"/>
      <c r="AH55" s="303"/>
      <c r="AJ55" s="306"/>
      <c r="AK55" s="306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  <c r="BI55" s="307"/>
      <c r="BJ55" s="307"/>
      <c r="BK55" s="307"/>
      <c r="BL55" s="307"/>
      <c r="BM55" s="307"/>
      <c r="BN55" s="307"/>
      <c r="BO55" s="307"/>
      <c r="BP55" s="307"/>
      <c r="BR55" s="315"/>
      <c r="BS55" s="315"/>
      <c r="BT55" s="316"/>
      <c r="BU55" s="316"/>
      <c r="BV55" s="316"/>
      <c r="BW55" s="316"/>
      <c r="BX55" s="316"/>
      <c r="BY55" s="316"/>
      <c r="BZ55" s="316"/>
      <c r="CA55" s="316"/>
      <c r="CB55" s="316"/>
      <c r="CC55" s="316"/>
      <c r="CD55" s="316"/>
      <c r="CE55" s="316"/>
      <c r="CF55" s="316"/>
      <c r="CG55" s="316"/>
      <c r="CH55" s="316"/>
      <c r="CI55" s="316"/>
      <c r="CJ55" s="316"/>
      <c r="CK55" s="316"/>
      <c r="CL55" s="316"/>
      <c r="CM55" s="316"/>
      <c r="CN55" s="316"/>
      <c r="CO55" s="316"/>
      <c r="CP55" s="316"/>
      <c r="CQ55" s="316"/>
      <c r="CR55" s="316"/>
      <c r="CS55" s="316"/>
      <c r="CT55" s="316"/>
      <c r="CU55" s="316"/>
      <c r="CV55" s="316"/>
      <c r="CW55" s="316"/>
      <c r="CX55" s="316"/>
      <c r="CZ55" s="337"/>
      <c r="DA55" s="337"/>
      <c r="DB55" s="341"/>
      <c r="DC55" s="341"/>
      <c r="DD55" s="341"/>
      <c r="DE55" s="341"/>
      <c r="DF55" s="341"/>
      <c r="DG55" s="341"/>
      <c r="DH55" s="341"/>
      <c r="DI55" s="341"/>
      <c r="DJ55" s="341"/>
      <c r="DK55" s="341"/>
      <c r="DL55" s="341"/>
      <c r="DM55" s="341"/>
      <c r="DN55" s="341"/>
      <c r="DO55" s="341"/>
      <c r="DP55" s="341"/>
      <c r="DQ55" s="341"/>
      <c r="DR55" s="341"/>
      <c r="DS55" s="341"/>
      <c r="DT55" s="341"/>
      <c r="DU55" s="341"/>
      <c r="DV55" s="341"/>
      <c r="DW55" s="341"/>
      <c r="DX55" s="341"/>
      <c r="DY55" s="341"/>
      <c r="DZ55" s="341"/>
      <c r="EA55" s="341"/>
      <c r="EB55" s="341"/>
      <c r="EC55" s="341"/>
      <c r="ED55" s="341"/>
      <c r="EE55" s="341"/>
      <c r="EF55" s="341"/>
      <c r="EH55" s="347"/>
      <c r="EI55" s="347"/>
      <c r="EJ55" s="348"/>
      <c r="EK55" s="348"/>
      <c r="EL55" s="348"/>
      <c r="EM55" s="348"/>
      <c r="EN55" s="348"/>
      <c r="EO55" s="348"/>
      <c r="EP55" s="348"/>
      <c r="EQ55" s="348"/>
      <c r="ER55" s="348"/>
      <c r="ES55" s="348"/>
      <c r="ET55" s="348"/>
      <c r="EU55" s="348"/>
      <c r="EV55" s="348"/>
      <c r="EW55" s="348"/>
      <c r="EX55" s="348"/>
      <c r="EY55" s="348"/>
      <c r="EZ55" s="348"/>
      <c r="FA55" s="348"/>
      <c r="FB55" s="348"/>
      <c r="FC55" s="348"/>
      <c r="FD55" s="348"/>
      <c r="FE55" s="348"/>
      <c r="FF55" s="348"/>
      <c r="FG55" s="348"/>
      <c r="FH55" s="348"/>
      <c r="FI55" s="348"/>
      <c r="FJ55" s="348"/>
      <c r="FK55" s="348"/>
      <c r="FL55" s="348"/>
      <c r="FM55" s="348"/>
      <c r="FN55" s="348"/>
      <c r="FP55" s="358"/>
      <c r="FQ55" s="358"/>
      <c r="FR55" s="359"/>
      <c r="FS55" s="359"/>
      <c r="FT55" s="359"/>
      <c r="FU55" s="359"/>
      <c r="FV55" s="359"/>
      <c r="FW55" s="359"/>
      <c r="FX55" s="359"/>
      <c r="FY55" s="359"/>
      <c r="FZ55" s="359"/>
      <c r="GA55" s="359"/>
      <c r="GB55" s="359"/>
      <c r="GC55" s="359"/>
      <c r="GD55" s="359"/>
      <c r="GE55" s="359"/>
      <c r="GF55" s="359"/>
      <c r="GG55" s="359"/>
      <c r="GH55" s="359"/>
      <c r="GI55" s="359"/>
      <c r="GJ55" s="359"/>
      <c r="GK55" s="359"/>
      <c r="GL55" s="359"/>
      <c r="GM55" s="359"/>
      <c r="GN55" s="359"/>
      <c r="GO55" s="359"/>
      <c r="GP55" s="359"/>
      <c r="GQ55" s="359"/>
      <c r="GR55" s="359"/>
      <c r="GS55" s="359"/>
      <c r="GT55" s="359"/>
      <c r="GU55" s="359"/>
      <c r="GV55" s="359"/>
      <c r="GX55" s="368" t="s">
        <v>36</v>
      </c>
      <c r="GY55" s="368"/>
      <c r="GZ55" s="369"/>
      <c r="HA55" s="369"/>
      <c r="HB55" s="369"/>
      <c r="HC55" s="369"/>
      <c r="HD55" s="369"/>
      <c r="HE55" s="369"/>
      <c r="HF55" s="369"/>
      <c r="HG55" s="369"/>
      <c r="HH55" s="369"/>
      <c r="HI55" s="369"/>
      <c r="HJ55" s="369"/>
      <c r="HK55" s="369"/>
      <c r="HL55" s="369"/>
      <c r="HM55" s="375"/>
      <c r="HN55" s="369"/>
      <c r="HO55" s="375"/>
      <c r="HP55" s="369"/>
      <c r="HQ55" s="369"/>
      <c r="HR55" s="369"/>
      <c r="HS55" s="369"/>
      <c r="HT55" s="369"/>
      <c r="HU55" s="369"/>
      <c r="HV55" s="369"/>
      <c r="HW55" s="369"/>
      <c r="HX55" s="369"/>
      <c r="HY55" s="375"/>
      <c r="HZ55" s="375"/>
      <c r="IA55" s="375"/>
      <c r="IB55" s="375"/>
      <c r="IC55" s="378">
        <f ca="1">SUMIF('Working-Jan-25'!$C$600:$C$694,GX55,'Working-Jan-25'!$F$600:$F$694)</f>
        <v>0</v>
      </c>
      <c r="ID55" s="378">
        <f ca="1" t="shared" si="5"/>
        <v>0</v>
      </c>
      <c r="IF55" s="371"/>
      <c r="IG55" s="371"/>
      <c r="IH55" s="380"/>
      <c r="II55" s="380"/>
      <c r="IJ55" s="380"/>
      <c r="IK55" s="380"/>
      <c r="IL55" s="380"/>
      <c r="IM55" s="380"/>
      <c r="IN55" s="380"/>
      <c r="IO55" s="380"/>
      <c r="IP55" s="380"/>
      <c r="IQ55" s="380"/>
      <c r="IR55" s="380"/>
      <c r="IS55" s="380"/>
      <c r="IT55" s="380"/>
      <c r="IU55" s="380"/>
      <c r="IV55" s="380"/>
      <c r="IW55" s="380"/>
      <c r="IX55" s="380"/>
      <c r="IY55" s="380"/>
      <c r="IZ55" s="380"/>
      <c r="JA55" s="380"/>
      <c r="JB55" s="380"/>
      <c r="JC55" s="380"/>
      <c r="JD55" s="380"/>
      <c r="JE55" s="380"/>
      <c r="JF55" s="380"/>
      <c r="JG55" s="380"/>
      <c r="JH55" s="380"/>
      <c r="JI55" s="380"/>
      <c r="JJ55" s="380"/>
      <c r="JK55" s="380"/>
      <c r="JL55" s="380"/>
      <c r="JN55" s="37"/>
      <c r="JO55" s="37"/>
      <c r="JP55" s="37"/>
      <c r="JQ55" s="382"/>
      <c r="JR55" s="382"/>
      <c r="JS55" s="382"/>
      <c r="JT55" s="382"/>
      <c r="JU55" s="382"/>
      <c r="JV55" s="382"/>
      <c r="JW55" s="386"/>
      <c r="JX55" s="386"/>
      <c r="JY55" s="386"/>
      <c r="JZ55" s="386"/>
      <c r="KA55" s="386"/>
      <c r="KB55" s="386"/>
      <c r="KC55" s="386"/>
      <c r="KD55" s="386"/>
      <c r="KE55" s="386"/>
      <c r="KF55" s="386"/>
      <c r="KG55" s="393"/>
      <c r="KH55" s="386"/>
      <c r="KI55" s="386"/>
      <c r="KJ55" s="386"/>
      <c r="KK55" s="386"/>
      <c r="KL55" s="386"/>
      <c r="KM55" s="386"/>
      <c r="KN55" s="386"/>
      <c r="KO55" s="386"/>
      <c r="KP55" s="386"/>
      <c r="KQ55" s="386"/>
      <c r="KR55" s="386"/>
      <c r="KS55" s="396"/>
      <c r="KT55" s="396"/>
      <c r="KU55" s="396"/>
      <c r="KV55" s="396"/>
      <c r="KW55" s="396"/>
      <c r="KX55" s="396"/>
      <c r="KY55" s="396"/>
    </row>
    <row r="56" spans="2:311">
      <c r="B56" s="279"/>
      <c r="C56" s="279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303"/>
      <c r="X56" s="303"/>
      <c r="Y56" s="303"/>
      <c r="Z56" s="303"/>
      <c r="AA56" s="303"/>
      <c r="AB56" s="303"/>
      <c r="AC56" s="303"/>
      <c r="AD56" s="303"/>
      <c r="AE56" s="303"/>
      <c r="AF56" s="303"/>
      <c r="AG56" s="303"/>
      <c r="AH56" s="303"/>
      <c r="AJ56" s="306"/>
      <c r="AK56" s="306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  <c r="BI56" s="307"/>
      <c r="BJ56" s="307"/>
      <c r="BK56" s="307"/>
      <c r="BL56" s="307"/>
      <c r="BM56" s="307"/>
      <c r="BN56" s="307"/>
      <c r="BO56" s="307"/>
      <c r="BP56" s="307"/>
      <c r="BR56" s="315"/>
      <c r="BS56" s="315"/>
      <c r="BT56" s="316"/>
      <c r="BU56" s="316"/>
      <c r="BV56" s="316"/>
      <c r="BW56" s="316"/>
      <c r="BX56" s="316"/>
      <c r="BY56" s="316"/>
      <c r="BZ56" s="316"/>
      <c r="CA56" s="316"/>
      <c r="CB56" s="316"/>
      <c r="CC56" s="316"/>
      <c r="CD56" s="316"/>
      <c r="CE56" s="316"/>
      <c r="CF56" s="316"/>
      <c r="CG56" s="316"/>
      <c r="CH56" s="316"/>
      <c r="CI56" s="316"/>
      <c r="CJ56" s="316"/>
      <c r="CK56" s="316"/>
      <c r="CL56" s="316"/>
      <c r="CM56" s="316"/>
      <c r="CN56" s="316"/>
      <c r="CO56" s="316"/>
      <c r="CP56" s="316"/>
      <c r="CQ56" s="316"/>
      <c r="CR56" s="316"/>
      <c r="CS56" s="316"/>
      <c r="CT56" s="316"/>
      <c r="CU56" s="316"/>
      <c r="CV56" s="316"/>
      <c r="CW56" s="316"/>
      <c r="CX56" s="316"/>
      <c r="CZ56" s="337"/>
      <c r="DA56" s="337"/>
      <c r="DB56" s="341"/>
      <c r="DC56" s="341"/>
      <c r="DD56" s="341"/>
      <c r="DE56" s="341"/>
      <c r="DF56" s="341"/>
      <c r="DG56" s="341"/>
      <c r="DH56" s="341"/>
      <c r="DI56" s="341"/>
      <c r="DJ56" s="341"/>
      <c r="DK56" s="341"/>
      <c r="DL56" s="341"/>
      <c r="DM56" s="341"/>
      <c r="DN56" s="341"/>
      <c r="DO56" s="341"/>
      <c r="DP56" s="341"/>
      <c r="DQ56" s="341"/>
      <c r="DR56" s="341"/>
      <c r="DS56" s="341"/>
      <c r="DT56" s="341"/>
      <c r="DU56" s="341"/>
      <c r="DV56" s="341"/>
      <c r="DW56" s="341"/>
      <c r="DX56" s="341"/>
      <c r="DY56" s="341"/>
      <c r="DZ56" s="341"/>
      <c r="EA56" s="341"/>
      <c r="EB56" s="341"/>
      <c r="EC56" s="341"/>
      <c r="ED56" s="341"/>
      <c r="EE56" s="341"/>
      <c r="EF56" s="341"/>
      <c r="EH56" s="347"/>
      <c r="EI56" s="347"/>
      <c r="EJ56" s="348"/>
      <c r="EK56" s="348"/>
      <c r="EL56" s="348"/>
      <c r="EM56" s="348"/>
      <c r="EN56" s="348"/>
      <c r="EO56" s="348"/>
      <c r="EP56" s="348"/>
      <c r="EQ56" s="348"/>
      <c r="ER56" s="348"/>
      <c r="ES56" s="348"/>
      <c r="ET56" s="348"/>
      <c r="EU56" s="348"/>
      <c r="EV56" s="348"/>
      <c r="EW56" s="348"/>
      <c r="EX56" s="348"/>
      <c r="EY56" s="348"/>
      <c r="EZ56" s="348"/>
      <c r="FA56" s="348"/>
      <c r="FB56" s="348"/>
      <c r="FC56" s="348"/>
      <c r="FD56" s="348"/>
      <c r="FE56" s="348"/>
      <c r="FF56" s="348"/>
      <c r="FG56" s="348"/>
      <c r="FH56" s="348"/>
      <c r="FI56" s="348"/>
      <c r="FJ56" s="348"/>
      <c r="FK56" s="348"/>
      <c r="FL56" s="348"/>
      <c r="FM56" s="348"/>
      <c r="FN56" s="348"/>
      <c r="FP56" s="358"/>
      <c r="FQ56" s="358"/>
      <c r="FR56" s="359"/>
      <c r="FS56" s="359"/>
      <c r="FT56" s="359"/>
      <c r="FU56" s="359"/>
      <c r="FV56" s="359"/>
      <c r="FW56" s="359"/>
      <c r="FX56" s="359"/>
      <c r="FY56" s="359"/>
      <c r="FZ56" s="359"/>
      <c r="GA56" s="359"/>
      <c r="GB56" s="359"/>
      <c r="GC56" s="359"/>
      <c r="GD56" s="359"/>
      <c r="GE56" s="359"/>
      <c r="GF56" s="359"/>
      <c r="GG56" s="359"/>
      <c r="GH56" s="359"/>
      <c r="GI56" s="359"/>
      <c r="GJ56" s="359"/>
      <c r="GK56" s="359"/>
      <c r="GL56" s="359"/>
      <c r="GM56" s="359"/>
      <c r="GN56" s="359"/>
      <c r="GO56" s="359"/>
      <c r="GP56" s="359"/>
      <c r="GQ56" s="359"/>
      <c r="GR56" s="359"/>
      <c r="GS56" s="359"/>
      <c r="GT56" s="359"/>
      <c r="GU56" s="359"/>
      <c r="GV56" s="359"/>
      <c r="GX56" s="368" t="s">
        <v>562</v>
      </c>
      <c r="GY56" s="368"/>
      <c r="GZ56" s="369"/>
      <c r="HA56" s="369"/>
      <c r="HB56" s="369"/>
      <c r="HC56" s="369"/>
      <c r="HD56" s="369"/>
      <c r="HE56" s="369"/>
      <c r="HF56" s="369"/>
      <c r="HG56" s="369"/>
      <c r="HH56" s="369"/>
      <c r="HI56" s="369"/>
      <c r="HJ56" s="369"/>
      <c r="HK56" s="369"/>
      <c r="HL56" s="369"/>
      <c r="HM56" s="375"/>
      <c r="HN56" s="369"/>
      <c r="HO56" s="375"/>
      <c r="HP56" s="369"/>
      <c r="HQ56" s="369"/>
      <c r="HR56" s="369"/>
      <c r="HS56" s="369"/>
      <c r="HT56" s="369"/>
      <c r="HU56" s="369"/>
      <c r="HV56" s="369"/>
      <c r="HW56" s="369"/>
      <c r="HX56" s="369"/>
      <c r="HY56" s="375"/>
      <c r="HZ56" s="375"/>
      <c r="IA56" s="375"/>
      <c r="IB56" s="375"/>
      <c r="IC56" s="378">
        <f ca="1">SUMIF('Working-Jan-25'!$C$600:$C$694,GX56,'Working-Jan-25'!$F$600:$F$694)</f>
        <v>0</v>
      </c>
      <c r="ID56" s="378">
        <f ca="1" t="shared" si="5"/>
        <v>0</v>
      </c>
      <c r="IF56" s="371"/>
      <c r="IG56" s="371"/>
      <c r="IH56" s="380"/>
      <c r="II56" s="380"/>
      <c r="IJ56" s="380"/>
      <c r="IK56" s="380"/>
      <c r="IL56" s="380"/>
      <c r="IM56" s="380"/>
      <c r="IN56" s="380"/>
      <c r="IO56" s="380"/>
      <c r="IP56" s="380"/>
      <c r="IQ56" s="380"/>
      <c r="IR56" s="380"/>
      <c r="IS56" s="380"/>
      <c r="IT56" s="380"/>
      <c r="IU56" s="380"/>
      <c r="IV56" s="380"/>
      <c r="IW56" s="380"/>
      <c r="IX56" s="380"/>
      <c r="IY56" s="380"/>
      <c r="IZ56" s="380"/>
      <c r="JA56" s="380"/>
      <c r="JB56" s="380"/>
      <c r="JC56" s="380"/>
      <c r="JD56" s="380"/>
      <c r="JE56" s="380"/>
      <c r="JF56" s="380"/>
      <c r="JG56" s="380"/>
      <c r="JH56" s="380"/>
      <c r="JI56" s="380"/>
      <c r="JJ56" s="380"/>
      <c r="JK56" s="380"/>
      <c r="JL56" s="380"/>
      <c r="JN56" s="37"/>
      <c r="JO56" s="37"/>
      <c r="JP56" s="37"/>
      <c r="JQ56" s="382"/>
      <c r="JR56" s="382"/>
      <c r="JS56" s="382"/>
      <c r="JT56" s="382"/>
      <c r="JU56" s="382"/>
      <c r="JV56" s="382"/>
      <c r="JW56" s="386"/>
      <c r="JX56" s="386"/>
      <c r="JY56" s="386"/>
      <c r="JZ56" s="386"/>
      <c r="KA56" s="386"/>
      <c r="KB56" s="386"/>
      <c r="KC56" s="386"/>
      <c r="KD56" s="386"/>
      <c r="KE56" s="386"/>
      <c r="KF56" s="386"/>
      <c r="KG56" s="393"/>
      <c r="KH56" s="386"/>
      <c r="KI56" s="386"/>
      <c r="KJ56" s="386"/>
      <c r="KK56" s="386"/>
      <c r="KL56" s="386"/>
      <c r="KM56" s="386"/>
      <c r="KN56" s="386"/>
      <c r="KO56" s="386"/>
      <c r="KP56" s="386"/>
      <c r="KQ56" s="386"/>
      <c r="KR56" s="386"/>
      <c r="KS56" s="396"/>
      <c r="KT56" s="396"/>
      <c r="KU56" s="396"/>
      <c r="KV56" s="396"/>
      <c r="KW56" s="396"/>
      <c r="KX56" s="396"/>
      <c r="KY56" s="396"/>
    </row>
    <row r="57" spans="2:311">
      <c r="B57" s="279"/>
      <c r="C57" s="279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303"/>
      <c r="X57" s="303"/>
      <c r="Y57" s="303"/>
      <c r="Z57" s="303"/>
      <c r="AA57" s="303"/>
      <c r="AB57" s="303"/>
      <c r="AC57" s="303"/>
      <c r="AD57" s="303"/>
      <c r="AE57" s="303"/>
      <c r="AF57" s="303"/>
      <c r="AG57" s="303"/>
      <c r="AH57" s="303"/>
      <c r="AJ57" s="306"/>
      <c r="AK57" s="306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  <c r="BI57" s="307"/>
      <c r="BJ57" s="307"/>
      <c r="BK57" s="307"/>
      <c r="BL57" s="307"/>
      <c r="BM57" s="307"/>
      <c r="BN57" s="307"/>
      <c r="BO57" s="307"/>
      <c r="BP57" s="307"/>
      <c r="BR57" s="315"/>
      <c r="BS57" s="315"/>
      <c r="BT57" s="316"/>
      <c r="BU57" s="316"/>
      <c r="BV57" s="316"/>
      <c r="BW57" s="316"/>
      <c r="BX57" s="316"/>
      <c r="BY57" s="316"/>
      <c r="BZ57" s="316"/>
      <c r="CA57" s="316"/>
      <c r="CB57" s="316"/>
      <c r="CC57" s="316"/>
      <c r="CD57" s="316"/>
      <c r="CE57" s="316"/>
      <c r="CF57" s="316"/>
      <c r="CG57" s="316"/>
      <c r="CH57" s="316"/>
      <c r="CI57" s="316"/>
      <c r="CJ57" s="316"/>
      <c r="CK57" s="316"/>
      <c r="CL57" s="316"/>
      <c r="CM57" s="316"/>
      <c r="CN57" s="316"/>
      <c r="CO57" s="316"/>
      <c r="CP57" s="316"/>
      <c r="CQ57" s="316"/>
      <c r="CR57" s="316"/>
      <c r="CS57" s="316"/>
      <c r="CT57" s="316"/>
      <c r="CU57" s="316"/>
      <c r="CV57" s="316"/>
      <c r="CW57" s="316"/>
      <c r="CX57" s="316"/>
      <c r="CZ57" s="337"/>
      <c r="DA57" s="337"/>
      <c r="DB57" s="341"/>
      <c r="DC57" s="341"/>
      <c r="DD57" s="341"/>
      <c r="DE57" s="341"/>
      <c r="DF57" s="341"/>
      <c r="DG57" s="341"/>
      <c r="DH57" s="341"/>
      <c r="DI57" s="341"/>
      <c r="DJ57" s="341"/>
      <c r="DK57" s="341"/>
      <c r="DL57" s="341"/>
      <c r="DM57" s="341"/>
      <c r="DN57" s="341"/>
      <c r="DO57" s="341"/>
      <c r="DP57" s="341"/>
      <c r="DQ57" s="341"/>
      <c r="DR57" s="341"/>
      <c r="DS57" s="341"/>
      <c r="DT57" s="341"/>
      <c r="DU57" s="341"/>
      <c r="DV57" s="341"/>
      <c r="DW57" s="341"/>
      <c r="DX57" s="341"/>
      <c r="DY57" s="341"/>
      <c r="DZ57" s="341"/>
      <c r="EA57" s="341"/>
      <c r="EB57" s="341"/>
      <c r="EC57" s="341"/>
      <c r="ED57" s="341"/>
      <c r="EE57" s="341"/>
      <c r="EF57" s="341"/>
      <c r="EH57" s="347"/>
      <c r="EI57" s="347"/>
      <c r="EJ57" s="348"/>
      <c r="EK57" s="348"/>
      <c r="EL57" s="348"/>
      <c r="EM57" s="348"/>
      <c r="EN57" s="348"/>
      <c r="EO57" s="348"/>
      <c r="EP57" s="348"/>
      <c r="EQ57" s="348"/>
      <c r="ER57" s="348"/>
      <c r="ES57" s="348"/>
      <c r="ET57" s="348"/>
      <c r="EU57" s="348"/>
      <c r="EV57" s="348"/>
      <c r="EW57" s="348"/>
      <c r="EX57" s="348"/>
      <c r="EY57" s="348"/>
      <c r="EZ57" s="348"/>
      <c r="FA57" s="348"/>
      <c r="FB57" s="348"/>
      <c r="FC57" s="348"/>
      <c r="FD57" s="348"/>
      <c r="FE57" s="348"/>
      <c r="FF57" s="348"/>
      <c r="FG57" s="348"/>
      <c r="FH57" s="348"/>
      <c r="FI57" s="348"/>
      <c r="FJ57" s="348"/>
      <c r="FK57" s="348"/>
      <c r="FL57" s="348"/>
      <c r="FM57" s="348"/>
      <c r="FN57" s="348"/>
      <c r="FP57" s="358"/>
      <c r="FQ57" s="358"/>
      <c r="FR57" s="359"/>
      <c r="FS57" s="359"/>
      <c r="FT57" s="359"/>
      <c r="FU57" s="359"/>
      <c r="FV57" s="359"/>
      <c r="FW57" s="359"/>
      <c r="FX57" s="359"/>
      <c r="FY57" s="359"/>
      <c r="FZ57" s="359"/>
      <c r="GA57" s="359"/>
      <c r="GB57" s="359"/>
      <c r="GC57" s="359"/>
      <c r="GD57" s="359"/>
      <c r="GE57" s="359"/>
      <c r="GF57" s="359"/>
      <c r="GG57" s="359"/>
      <c r="GH57" s="359"/>
      <c r="GI57" s="359"/>
      <c r="GJ57" s="359"/>
      <c r="GK57" s="359"/>
      <c r="GL57" s="359"/>
      <c r="GM57" s="359"/>
      <c r="GN57" s="359"/>
      <c r="GO57" s="359"/>
      <c r="GP57" s="359"/>
      <c r="GQ57" s="359"/>
      <c r="GR57" s="359"/>
      <c r="GS57" s="359"/>
      <c r="GT57" s="359"/>
      <c r="GU57" s="359"/>
      <c r="GV57" s="359"/>
      <c r="GX57" s="368" t="s">
        <v>566</v>
      </c>
      <c r="GY57" s="368"/>
      <c r="GZ57" s="369"/>
      <c r="HA57" s="369"/>
      <c r="HB57" s="369"/>
      <c r="HC57" s="369"/>
      <c r="HD57" s="369"/>
      <c r="HE57" s="369"/>
      <c r="HF57" s="369"/>
      <c r="HG57" s="369"/>
      <c r="HH57" s="369"/>
      <c r="HI57" s="369"/>
      <c r="HJ57" s="369"/>
      <c r="HK57" s="369"/>
      <c r="HL57" s="369"/>
      <c r="HM57" s="375"/>
      <c r="HN57" s="369"/>
      <c r="HO57" s="375"/>
      <c r="HP57" s="369"/>
      <c r="HQ57" s="369"/>
      <c r="HR57" s="369"/>
      <c r="HS57" s="369"/>
      <c r="HT57" s="369"/>
      <c r="HU57" s="369"/>
      <c r="HV57" s="369"/>
      <c r="HW57" s="369"/>
      <c r="HX57" s="369"/>
      <c r="HY57" s="375"/>
      <c r="HZ57" s="375"/>
      <c r="IA57" s="375"/>
      <c r="IB57" s="375"/>
      <c r="IC57" s="378">
        <f ca="1">SUMIF('Working-Jan-25'!$C$600:$C$694,GX57,'Working-Jan-25'!$F$600:$F$694)</f>
        <v>0</v>
      </c>
      <c r="ID57" s="378">
        <f ca="1" t="shared" si="5"/>
        <v>0</v>
      </c>
      <c r="IF57" s="371"/>
      <c r="IG57" s="371"/>
      <c r="IH57" s="380"/>
      <c r="II57" s="380"/>
      <c r="IJ57" s="380"/>
      <c r="IK57" s="380"/>
      <c r="IL57" s="380"/>
      <c r="IM57" s="380"/>
      <c r="IN57" s="380"/>
      <c r="IO57" s="380"/>
      <c r="IP57" s="380"/>
      <c r="IQ57" s="380"/>
      <c r="IR57" s="380"/>
      <c r="IS57" s="380"/>
      <c r="IT57" s="380"/>
      <c r="IU57" s="380"/>
      <c r="IV57" s="380"/>
      <c r="IW57" s="380"/>
      <c r="IX57" s="380"/>
      <c r="IY57" s="380"/>
      <c r="IZ57" s="380"/>
      <c r="JA57" s="380"/>
      <c r="JB57" s="380"/>
      <c r="JC57" s="380"/>
      <c r="JD57" s="380"/>
      <c r="JE57" s="380"/>
      <c r="JF57" s="380"/>
      <c r="JG57" s="380"/>
      <c r="JH57" s="380"/>
      <c r="JI57" s="380"/>
      <c r="JJ57" s="380"/>
      <c r="JK57" s="380"/>
      <c r="JL57" s="380"/>
      <c r="JN57" s="37"/>
      <c r="JO57" s="37"/>
      <c r="JP57" s="37"/>
      <c r="JQ57" s="382"/>
      <c r="JR57" s="382"/>
      <c r="JS57" s="382"/>
      <c r="JT57" s="382"/>
      <c r="JU57" s="382"/>
      <c r="JV57" s="382"/>
      <c r="JW57" s="386"/>
      <c r="JX57" s="386"/>
      <c r="JY57" s="386"/>
      <c r="JZ57" s="386"/>
      <c r="KA57" s="386"/>
      <c r="KB57" s="386"/>
      <c r="KC57" s="386"/>
      <c r="KD57" s="386"/>
      <c r="KE57" s="386"/>
      <c r="KF57" s="386"/>
      <c r="KG57" s="393"/>
      <c r="KH57" s="386"/>
      <c r="KI57" s="386"/>
      <c r="KJ57" s="386"/>
      <c r="KK57" s="386"/>
      <c r="KL57" s="386"/>
      <c r="KM57" s="386"/>
      <c r="KN57" s="386"/>
      <c r="KO57" s="386"/>
      <c r="KP57" s="386"/>
      <c r="KQ57" s="386"/>
      <c r="KR57" s="386"/>
      <c r="KS57" s="396"/>
      <c r="KT57" s="396"/>
      <c r="KU57" s="396"/>
      <c r="KV57" s="396"/>
      <c r="KW57" s="396"/>
      <c r="KX57" s="396"/>
      <c r="KY57" s="396"/>
    </row>
    <row r="58" spans="2:311">
      <c r="B58" s="279"/>
      <c r="C58" s="279"/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303"/>
      <c r="X58" s="303"/>
      <c r="Y58" s="303"/>
      <c r="Z58" s="303"/>
      <c r="AA58" s="303"/>
      <c r="AB58" s="303"/>
      <c r="AC58" s="303"/>
      <c r="AD58" s="303"/>
      <c r="AE58" s="303"/>
      <c r="AF58" s="303"/>
      <c r="AG58" s="303"/>
      <c r="AH58" s="303"/>
      <c r="AJ58" s="306"/>
      <c r="AK58" s="306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  <c r="BI58" s="307"/>
      <c r="BJ58" s="307"/>
      <c r="BK58" s="307"/>
      <c r="BL58" s="307"/>
      <c r="BM58" s="307"/>
      <c r="BN58" s="307"/>
      <c r="BO58" s="307"/>
      <c r="BP58" s="307"/>
      <c r="BR58" s="315"/>
      <c r="BS58" s="315"/>
      <c r="BT58" s="316"/>
      <c r="BU58" s="316"/>
      <c r="BV58" s="316"/>
      <c r="BW58" s="316"/>
      <c r="BX58" s="316"/>
      <c r="BY58" s="316"/>
      <c r="BZ58" s="316"/>
      <c r="CA58" s="316"/>
      <c r="CB58" s="316"/>
      <c r="CC58" s="316"/>
      <c r="CD58" s="316"/>
      <c r="CE58" s="316"/>
      <c r="CF58" s="316"/>
      <c r="CG58" s="316"/>
      <c r="CH58" s="316"/>
      <c r="CI58" s="316"/>
      <c r="CJ58" s="316"/>
      <c r="CK58" s="316"/>
      <c r="CL58" s="316"/>
      <c r="CM58" s="316"/>
      <c r="CN58" s="316"/>
      <c r="CO58" s="316"/>
      <c r="CP58" s="316"/>
      <c r="CQ58" s="316"/>
      <c r="CR58" s="316"/>
      <c r="CS58" s="316"/>
      <c r="CT58" s="316"/>
      <c r="CU58" s="316"/>
      <c r="CV58" s="316"/>
      <c r="CW58" s="316"/>
      <c r="CX58" s="316"/>
      <c r="CZ58" s="337"/>
      <c r="DA58" s="337"/>
      <c r="DB58" s="341"/>
      <c r="DC58" s="341"/>
      <c r="DD58" s="341"/>
      <c r="DE58" s="341"/>
      <c r="DF58" s="341"/>
      <c r="DG58" s="341"/>
      <c r="DH58" s="341"/>
      <c r="DI58" s="341"/>
      <c r="DJ58" s="341"/>
      <c r="DK58" s="341"/>
      <c r="DL58" s="341"/>
      <c r="DM58" s="341"/>
      <c r="DN58" s="341"/>
      <c r="DO58" s="341"/>
      <c r="DP58" s="341"/>
      <c r="DQ58" s="341"/>
      <c r="DR58" s="341"/>
      <c r="DS58" s="341"/>
      <c r="DT58" s="341"/>
      <c r="DU58" s="341"/>
      <c r="DV58" s="341"/>
      <c r="DW58" s="341"/>
      <c r="DX58" s="341"/>
      <c r="DY58" s="341"/>
      <c r="DZ58" s="341"/>
      <c r="EA58" s="341"/>
      <c r="EB58" s="341"/>
      <c r="EC58" s="341"/>
      <c r="ED58" s="341"/>
      <c r="EE58" s="341"/>
      <c r="EF58" s="341"/>
      <c r="EH58" s="347"/>
      <c r="EI58" s="347"/>
      <c r="EJ58" s="348"/>
      <c r="EK58" s="348"/>
      <c r="EL58" s="348"/>
      <c r="EM58" s="348"/>
      <c r="EN58" s="348"/>
      <c r="EO58" s="348"/>
      <c r="EP58" s="348"/>
      <c r="EQ58" s="348"/>
      <c r="ER58" s="348"/>
      <c r="ES58" s="348"/>
      <c r="ET58" s="348"/>
      <c r="EU58" s="348"/>
      <c r="EV58" s="348"/>
      <c r="EW58" s="348"/>
      <c r="EX58" s="348"/>
      <c r="EY58" s="348"/>
      <c r="EZ58" s="348"/>
      <c r="FA58" s="348"/>
      <c r="FB58" s="348"/>
      <c r="FC58" s="348"/>
      <c r="FD58" s="348"/>
      <c r="FE58" s="348"/>
      <c r="FF58" s="348"/>
      <c r="FG58" s="348"/>
      <c r="FH58" s="348"/>
      <c r="FI58" s="348"/>
      <c r="FJ58" s="348"/>
      <c r="FK58" s="348"/>
      <c r="FL58" s="348"/>
      <c r="FM58" s="348"/>
      <c r="FN58" s="348"/>
      <c r="FP58" s="358"/>
      <c r="FQ58" s="358"/>
      <c r="FR58" s="359"/>
      <c r="FS58" s="359"/>
      <c r="FT58" s="359"/>
      <c r="FU58" s="359"/>
      <c r="FV58" s="359"/>
      <c r="FW58" s="359"/>
      <c r="FX58" s="359"/>
      <c r="FY58" s="359"/>
      <c r="FZ58" s="359"/>
      <c r="GA58" s="359"/>
      <c r="GB58" s="359"/>
      <c r="GC58" s="359"/>
      <c r="GD58" s="359"/>
      <c r="GE58" s="359"/>
      <c r="GF58" s="359"/>
      <c r="GG58" s="359"/>
      <c r="GH58" s="359"/>
      <c r="GI58" s="359"/>
      <c r="GJ58" s="359"/>
      <c r="GK58" s="359"/>
      <c r="GL58" s="359"/>
      <c r="GM58" s="359"/>
      <c r="GN58" s="359"/>
      <c r="GO58" s="359"/>
      <c r="GP58" s="359"/>
      <c r="GQ58" s="359"/>
      <c r="GR58" s="359"/>
      <c r="GS58" s="359"/>
      <c r="GT58" s="359"/>
      <c r="GU58" s="359"/>
      <c r="GV58" s="359"/>
      <c r="GX58" s="368" t="s">
        <v>567</v>
      </c>
      <c r="GY58" s="368"/>
      <c r="GZ58" s="369"/>
      <c r="HA58" s="369"/>
      <c r="HB58" s="369"/>
      <c r="HC58" s="369"/>
      <c r="HD58" s="369"/>
      <c r="HE58" s="369"/>
      <c r="HF58" s="369"/>
      <c r="HG58" s="369"/>
      <c r="HH58" s="369"/>
      <c r="HI58" s="369"/>
      <c r="HJ58" s="369"/>
      <c r="HK58" s="369"/>
      <c r="HL58" s="369"/>
      <c r="HM58" s="375"/>
      <c r="HN58" s="369"/>
      <c r="HO58" s="375"/>
      <c r="HP58" s="369"/>
      <c r="HQ58" s="369"/>
      <c r="HR58" s="369"/>
      <c r="HS58" s="369"/>
      <c r="HT58" s="369"/>
      <c r="HU58" s="369"/>
      <c r="HV58" s="369"/>
      <c r="HW58" s="369"/>
      <c r="HX58" s="369"/>
      <c r="HY58" s="375"/>
      <c r="HZ58" s="375"/>
      <c r="IA58" s="375"/>
      <c r="IB58" s="375"/>
      <c r="IC58" s="378">
        <f ca="1">SUMIF('Working-Jan-25'!$C$600:$C$694,GX58,'Working-Jan-25'!$F$600:$F$694)</f>
        <v>0</v>
      </c>
      <c r="ID58" s="378">
        <f ca="1" t="shared" si="5"/>
        <v>0</v>
      </c>
      <c r="IF58" s="371"/>
      <c r="IG58" s="371"/>
      <c r="IH58" s="380"/>
      <c r="II58" s="380"/>
      <c r="IJ58" s="380"/>
      <c r="IK58" s="380"/>
      <c r="IL58" s="380"/>
      <c r="IM58" s="380"/>
      <c r="IN58" s="380"/>
      <c r="IO58" s="380"/>
      <c r="IP58" s="380"/>
      <c r="IQ58" s="380"/>
      <c r="IR58" s="380"/>
      <c r="IS58" s="380"/>
      <c r="IT58" s="380"/>
      <c r="IU58" s="380"/>
      <c r="IV58" s="380"/>
      <c r="IW58" s="380"/>
      <c r="IX58" s="380"/>
      <c r="IY58" s="380"/>
      <c r="IZ58" s="380"/>
      <c r="JA58" s="380"/>
      <c r="JB58" s="380"/>
      <c r="JC58" s="380"/>
      <c r="JD58" s="380"/>
      <c r="JE58" s="380"/>
      <c r="JF58" s="380"/>
      <c r="JG58" s="380"/>
      <c r="JH58" s="380"/>
      <c r="JI58" s="380"/>
      <c r="JJ58" s="380"/>
      <c r="JK58" s="380"/>
      <c r="JL58" s="380"/>
      <c r="JN58" s="37"/>
      <c r="JO58" s="37"/>
      <c r="JP58" s="37"/>
      <c r="JQ58" s="382"/>
      <c r="JR58" s="382"/>
      <c r="JS58" s="382"/>
      <c r="JT58" s="382"/>
      <c r="JU58" s="382"/>
      <c r="JV58" s="382"/>
      <c r="JW58" s="386"/>
      <c r="JX58" s="386"/>
      <c r="JY58" s="386"/>
      <c r="JZ58" s="386"/>
      <c r="KA58" s="386"/>
      <c r="KB58" s="386"/>
      <c r="KC58" s="386"/>
      <c r="KD58" s="386"/>
      <c r="KE58" s="386"/>
      <c r="KF58" s="386"/>
      <c r="KG58" s="393"/>
      <c r="KH58" s="386"/>
      <c r="KI58" s="386"/>
      <c r="KJ58" s="386"/>
      <c r="KK58" s="386"/>
      <c r="KL58" s="386"/>
      <c r="KM58" s="386"/>
      <c r="KN58" s="386"/>
      <c r="KO58" s="386"/>
      <c r="KP58" s="386"/>
      <c r="KQ58" s="386"/>
      <c r="KR58" s="386"/>
      <c r="KS58" s="396"/>
      <c r="KT58" s="396"/>
      <c r="KU58" s="396"/>
      <c r="KV58" s="396"/>
      <c r="KW58" s="396"/>
      <c r="KX58" s="396"/>
      <c r="KY58" s="396"/>
    </row>
    <row r="59" spans="2:311">
      <c r="B59" s="279"/>
      <c r="C59" s="279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J59" s="306"/>
      <c r="AK59" s="306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  <c r="BI59" s="307"/>
      <c r="BJ59" s="307"/>
      <c r="BK59" s="307"/>
      <c r="BL59" s="307"/>
      <c r="BM59" s="307"/>
      <c r="BN59" s="307"/>
      <c r="BO59" s="307"/>
      <c r="BP59" s="307"/>
      <c r="BR59" s="315"/>
      <c r="BS59" s="315"/>
      <c r="BT59" s="316"/>
      <c r="BU59" s="316"/>
      <c r="BV59" s="316"/>
      <c r="BW59" s="316"/>
      <c r="BX59" s="316"/>
      <c r="BY59" s="316"/>
      <c r="BZ59" s="316"/>
      <c r="CA59" s="316"/>
      <c r="CB59" s="316"/>
      <c r="CC59" s="316"/>
      <c r="CD59" s="316"/>
      <c r="CE59" s="316"/>
      <c r="CF59" s="316"/>
      <c r="CG59" s="316"/>
      <c r="CH59" s="316"/>
      <c r="CI59" s="316"/>
      <c r="CJ59" s="316"/>
      <c r="CK59" s="316"/>
      <c r="CL59" s="316"/>
      <c r="CM59" s="316"/>
      <c r="CN59" s="316"/>
      <c r="CO59" s="316"/>
      <c r="CP59" s="316"/>
      <c r="CQ59" s="316"/>
      <c r="CR59" s="316"/>
      <c r="CS59" s="316"/>
      <c r="CT59" s="316"/>
      <c r="CU59" s="316"/>
      <c r="CV59" s="316"/>
      <c r="CW59" s="316"/>
      <c r="CX59" s="316"/>
      <c r="CZ59" s="337"/>
      <c r="DA59" s="337"/>
      <c r="DB59" s="341"/>
      <c r="DC59" s="341"/>
      <c r="DD59" s="341"/>
      <c r="DE59" s="341"/>
      <c r="DF59" s="341"/>
      <c r="DG59" s="341"/>
      <c r="DH59" s="341"/>
      <c r="DI59" s="341"/>
      <c r="DJ59" s="341"/>
      <c r="DK59" s="341"/>
      <c r="DL59" s="341"/>
      <c r="DM59" s="341"/>
      <c r="DN59" s="341"/>
      <c r="DO59" s="341"/>
      <c r="DP59" s="341"/>
      <c r="DQ59" s="341"/>
      <c r="DR59" s="341"/>
      <c r="DS59" s="341"/>
      <c r="DT59" s="341"/>
      <c r="DU59" s="341"/>
      <c r="DV59" s="341"/>
      <c r="DW59" s="341"/>
      <c r="DX59" s="341"/>
      <c r="DY59" s="341"/>
      <c r="DZ59" s="341"/>
      <c r="EA59" s="341"/>
      <c r="EB59" s="341"/>
      <c r="EC59" s="341"/>
      <c r="ED59" s="341"/>
      <c r="EE59" s="341"/>
      <c r="EF59" s="341"/>
      <c r="EH59" s="347"/>
      <c r="EI59" s="347"/>
      <c r="EJ59" s="348"/>
      <c r="EK59" s="348"/>
      <c r="EL59" s="348"/>
      <c r="EM59" s="348"/>
      <c r="EN59" s="348"/>
      <c r="EO59" s="348"/>
      <c r="EP59" s="348"/>
      <c r="EQ59" s="348"/>
      <c r="ER59" s="348"/>
      <c r="ES59" s="348"/>
      <c r="ET59" s="348"/>
      <c r="EU59" s="348"/>
      <c r="EV59" s="348"/>
      <c r="EW59" s="348"/>
      <c r="EX59" s="348"/>
      <c r="EY59" s="348"/>
      <c r="EZ59" s="348"/>
      <c r="FA59" s="348"/>
      <c r="FB59" s="348"/>
      <c r="FC59" s="348"/>
      <c r="FD59" s="348"/>
      <c r="FE59" s="348"/>
      <c r="FF59" s="348"/>
      <c r="FG59" s="348"/>
      <c r="FH59" s="348"/>
      <c r="FI59" s="348"/>
      <c r="FJ59" s="348"/>
      <c r="FK59" s="348"/>
      <c r="FL59" s="348"/>
      <c r="FM59" s="348"/>
      <c r="FN59" s="348"/>
      <c r="FP59" s="358"/>
      <c r="FQ59" s="358"/>
      <c r="FR59" s="359"/>
      <c r="FS59" s="359"/>
      <c r="FT59" s="359"/>
      <c r="FU59" s="359"/>
      <c r="FV59" s="359"/>
      <c r="FW59" s="359"/>
      <c r="FX59" s="359"/>
      <c r="FY59" s="359"/>
      <c r="FZ59" s="359"/>
      <c r="GA59" s="359"/>
      <c r="GB59" s="359"/>
      <c r="GC59" s="359"/>
      <c r="GD59" s="359"/>
      <c r="GE59" s="359"/>
      <c r="GF59" s="359"/>
      <c r="GG59" s="359"/>
      <c r="GH59" s="359"/>
      <c r="GI59" s="359"/>
      <c r="GJ59" s="359"/>
      <c r="GK59" s="359"/>
      <c r="GL59" s="359"/>
      <c r="GM59" s="359"/>
      <c r="GN59" s="359"/>
      <c r="GO59" s="359"/>
      <c r="GP59" s="359"/>
      <c r="GQ59" s="359"/>
      <c r="GR59" s="359"/>
      <c r="GS59" s="359"/>
      <c r="GT59" s="359"/>
      <c r="GU59" s="359"/>
      <c r="GV59" s="359"/>
      <c r="GX59" s="368" t="s">
        <v>138</v>
      </c>
      <c r="GY59" s="368"/>
      <c r="GZ59" s="369"/>
      <c r="HA59" s="369"/>
      <c r="HB59" s="369"/>
      <c r="HC59" s="369"/>
      <c r="HD59" s="369"/>
      <c r="HE59" s="369"/>
      <c r="HF59" s="369"/>
      <c r="HG59" s="369"/>
      <c r="HH59" s="369"/>
      <c r="HI59" s="369"/>
      <c r="HJ59" s="369"/>
      <c r="HK59" s="369"/>
      <c r="HL59" s="369"/>
      <c r="HM59" s="375"/>
      <c r="HN59" s="369"/>
      <c r="HO59" s="375"/>
      <c r="HP59" s="369"/>
      <c r="HQ59" s="369"/>
      <c r="HR59" s="369"/>
      <c r="HS59" s="369"/>
      <c r="HT59" s="369"/>
      <c r="HU59" s="369"/>
      <c r="HV59" s="369"/>
      <c r="HW59" s="369"/>
      <c r="HX59" s="369"/>
      <c r="HY59" s="375"/>
      <c r="HZ59" s="375"/>
      <c r="IA59" s="375"/>
      <c r="IB59" s="375"/>
      <c r="IC59" s="378">
        <f ca="1">SUMIF('Working-Jan-25'!$C$600:$C$694,GX59,'Working-Jan-25'!$F$600:$F$694)</f>
        <v>0</v>
      </c>
      <c r="ID59" s="378">
        <f ca="1" t="shared" si="5"/>
        <v>0</v>
      </c>
      <c r="IF59" s="371"/>
      <c r="IG59" s="371"/>
      <c r="IH59" s="380"/>
      <c r="II59" s="380"/>
      <c r="IJ59" s="380"/>
      <c r="IK59" s="380"/>
      <c r="IL59" s="380"/>
      <c r="IM59" s="380"/>
      <c r="IN59" s="380"/>
      <c r="IO59" s="380"/>
      <c r="IP59" s="380"/>
      <c r="IQ59" s="380"/>
      <c r="IR59" s="380"/>
      <c r="IS59" s="380"/>
      <c r="IT59" s="380"/>
      <c r="IU59" s="380"/>
      <c r="IV59" s="380"/>
      <c r="IW59" s="380"/>
      <c r="IX59" s="380"/>
      <c r="IY59" s="380"/>
      <c r="IZ59" s="380"/>
      <c r="JA59" s="380"/>
      <c r="JB59" s="380"/>
      <c r="JC59" s="380"/>
      <c r="JD59" s="380"/>
      <c r="JE59" s="380"/>
      <c r="JF59" s="380"/>
      <c r="JG59" s="380"/>
      <c r="JH59" s="380"/>
      <c r="JI59" s="380"/>
      <c r="JJ59" s="380"/>
      <c r="JK59" s="380"/>
      <c r="JL59" s="380"/>
      <c r="JN59" s="37"/>
      <c r="JO59" s="37"/>
      <c r="JP59" s="37"/>
      <c r="JQ59" s="382"/>
      <c r="JR59" s="382"/>
      <c r="JS59" s="382"/>
      <c r="JT59" s="382"/>
      <c r="JU59" s="382"/>
      <c r="JV59" s="382"/>
      <c r="JW59" s="386"/>
      <c r="JX59" s="386"/>
      <c r="JY59" s="386"/>
      <c r="JZ59" s="386"/>
      <c r="KA59" s="386"/>
      <c r="KB59" s="386"/>
      <c r="KC59" s="386"/>
      <c r="KD59" s="386"/>
      <c r="KE59" s="386"/>
      <c r="KF59" s="386"/>
      <c r="KG59" s="393"/>
      <c r="KH59" s="386"/>
      <c r="KI59" s="386"/>
      <c r="KJ59" s="386"/>
      <c r="KK59" s="386"/>
      <c r="KL59" s="386"/>
      <c r="KM59" s="386"/>
      <c r="KN59" s="386"/>
      <c r="KO59" s="386"/>
      <c r="KP59" s="386"/>
      <c r="KQ59" s="386"/>
      <c r="KR59" s="386"/>
      <c r="KS59" s="396"/>
      <c r="KT59" s="396"/>
      <c r="KU59" s="396"/>
      <c r="KV59" s="396"/>
      <c r="KW59" s="396"/>
      <c r="KX59" s="396"/>
      <c r="KY59" s="396"/>
    </row>
    <row r="60" spans="2:311">
      <c r="B60" s="279"/>
      <c r="C60" s="279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3"/>
      <c r="AH60" s="303"/>
      <c r="AJ60" s="306"/>
      <c r="AK60" s="306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307"/>
      <c r="BA60" s="307"/>
      <c r="BB60" s="307"/>
      <c r="BC60" s="307"/>
      <c r="BD60" s="307"/>
      <c r="BE60" s="307"/>
      <c r="BF60" s="307"/>
      <c r="BG60" s="307"/>
      <c r="BH60" s="307"/>
      <c r="BI60" s="307"/>
      <c r="BJ60" s="307"/>
      <c r="BK60" s="307"/>
      <c r="BL60" s="307"/>
      <c r="BM60" s="307"/>
      <c r="BN60" s="307"/>
      <c r="BO60" s="307"/>
      <c r="BP60" s="307"/>
      <c r="BR60" s="315"/>
      <c r="BS60" s="315"/>
      <c r="BT60" s="316"/>
      <c r="BU60" s="316"/>
      <c r="BV60" s="316"/>
      <c r="BW60" s="316"/>
      <c r="BX60" s="316"/>
      <c r="BY60" s="316"/>
      <c r="BZ60" s="316"/>
      <c r="CA60" s="316"/>
      <c r="CB60" s="316"/>
      <c r="CC60" s="316"/>
      <c r="CD60" s="316"/>
      <c r="CE60" s="316"/>
      <c r="CF60" s="316"/>
      <c r="CG60" s="316"/>
      <c r="CH60" s="316"/>
      <c r="CI60" s="316"/>
      <c r="CJ60" s="316"/>
      <c r="CK60" s="316"/>
      <c r="CL60" s="316"/>
      <c r="CM60" s="316"/>
      <c r="CN60" s="316"/>
      <c r="CO60" s="316"/>
      <c r="CP60" s="316"/>
      <c r="CQ60" s="316"/>
      <c r="CR60" s="316"/>
      <c r="CS60" s="316"/>
      <c r="CT60" s="316"/>
      <c r="CU60" s="316"/>
      <c r="CV60" s="316"/>
      <c r="CW60" s="316"/>
      <c r="CX60" s="316"/>
      <c r="CZ60" s="337"/>
      <c r="DA60" s="337"/>
      <c r="DB60" s="341"/>
      <c r="DC60" s="341"/>
      <c r="DD60" s="341"/>
      <c r="DE60" s="341"/>
      <c r="DF60" s="341"/>
      <c r="DG60" s="341"/>
      <c r="DH60" s="341"/>
      <c r="DI60" s="341"/>
      <c r="DJ60" s="341"/>
      <c r="DK60" s="341"/>
      <c r="DL60" s="341"/>
      <c r="DM60" s="341"/>
      <c r="DN60" s="341"/>
      <c r="DO60" s="341"/>
      <c r="DP60" s="341"/>
      <c r="DQ60" s="341"/>
      <c r="DR60" s="341"/>
      <c r="DS60" s="341"/>
      <c r="DT60" s="341"/>
      <c r="DU60" s="341"/>
      <c r="DV60" s="341"/>
      <c r="DW60" s="341"/>
      <c r="DX60" s="341"/>
      <c r="DY60" s="341"/>
      <c r="DZ60" s="341"/>
      <c r="EA60" s="341"/>
      <c r="EB60" s="341"/>
      <c r="EC60" s="341"/>
      <c r="ED60" s="341"/>
      <c r="EE60" s="341"/>
      <c r="EF60" s="341"/>
      <c r="EH60" s="347"/>
      <c r="EI60" s="347"/>
      <c r="EJ60" s="348"/>
      <c r="EK60" s="348"/>
      <c r="EL60" s="348"/>
      <c r="EM60" s="348"/>
      <c r="EN60" s="348"/>
      <c r="EO60" s="348"/>
      <c r="EP60" s="348"/>
      <c r="EQ60" s="348"/>
      <c r="ER60" s="348"/>
      <c r="ES60" s="348"/>
      <c r="ET60" s="348"/>
      <c r="EU60" s="348"/>
      <c r="EV60" s="348"/>
      <c r="EW60" s="348"/>
      <c r="EX60" s="348"/>
      <c r="EY60" s="348"/>
      <c r="EZ60" s="348"/>
      <c r="FA60" s="348"/>
      <c r="FB60" s="348"/>
      <c r="FC60" s="348"/>
      <c r="FD60" s="348"/>
      <c r="FE60" s="348"/>
      <c r="FF60" s="348"/>
      <c r="FG60" s="348"/>
      <c r="FH60" s="348"/>
      <c r="FI60" s="348"/>
      <c r="FJ60" s="348"/>
      <c r="FK60" s="348"/>
      <c r="FL60" s="348"/>
      <c r="FM60" s="348"/>
      <c r="FN60" s="348"/>
      <c r="FP60" s="358"/>
      <c r="FQ60" s="358"/>
      <c r="FR60" s="359"/>
      <c r="FS60" s="359"/>
      <c r="FT60" s="359"/>
      <c r="FU60" s="359"/>
      <c r="FV60" s="359"/>
      <c r="FW60" s="359"/>
      <c r="FX60" s="359"/>
      <c r="FY60" s="359"/>
      <c r="FZ60" s="359"/>
      <c r="GA60" s="359"/>
      <c r="GB60" s="359"/>
      <c r="GC60" s="359"/>
      <c r="GD60" s="359"/>
      <c r="GE60" s="359"/>
      <c r="GF60" s="359"/>
      <c r="GG60" s="359"/>
      <c r="GH60" s="359"/>
      <c r="GI60" s="359"/>
      <c r="GJ60" s="359"/>
      <c r="GK60" s="359"/>
      <c r="GL60" s="359"/>
      <c r="GM60" s="359"/>
      <c r="GN60" s="359"/>
      <c r="GO60" s="359"/>
      <c r="GP60" s="359"/>
      <c r="GQ60" s="359"/>
      <c r="GR60" s="359"/>
      <c r="GS60" s="359"/>
      <c r="GT60" s="359"/>
      <c r="GU60" s="359"/>
      <c r="GV60" s="359"/>
      <c r="GX60" s="368" t="s">
        <v>621</v>
      </c>
      <c r="GY60" s="368"/>
      <c r="GZ60" s="369"/>
      <c r="HA60" s="369"/>
      <c r="HB60" s="369"/>
      <c r="HC60" s="369"/>
      <c r="HD60" s="369"/>
      <c r="HE60" s="369"/>
      <c r="HF60" s="369"/>
      <c r="HG60" s="369"/>
      <c r="HH60" s="369"/>
      <c r="HI60" s="369"/>
      <c r="HJ60" s="369"/>
      <c r="HK60" s="369"/>
      <c r="HL60" s="369"/>
      <c r="HM60" s="375"/>
      <c r="HN60" s="369"/>
      <c r="HO60" s="375"/>
      <c r="HP60" s="369"/>
      <c r="HQ60" s="369"/>
      <c r="HR60" s="369"/>
      <c r="HS60" s="369"/>
      <c r="HT60" s="369"/>
      <c r="HU60" s="369"/>
      <c r="HV60" s="369"/>
      <c r="HW60" s="369"/>
      <c r="HX60" s="369"/>
      <c r="HY60" s="375"/>
      <c r="HZ60" s="375"/>
      <c r="IA60" s="375"/>
      <c r="IB60" s="375"/>
      <c r="IC60" s="378">
        <f ca="1">SUMIF('Working-Jan-25'!$C$600:$C$694,GX60,'Working-Jan-25'!$F$600:$F$694)</f>
        <v>0</v>
      </c>
      <c r="ID60" s="378">
        <f ca="1" t="shared" si="5"/>
        <v>0</v>
      </c>
      <c r="IF60" s="371"/>
      <c r="IG60" s="371"/>
      <c r="IH60" s="380"/>
      <c r="II60" s="380"/>
      <c r="IJ60" s="380"/>
      <c r="IK60" s="380"/>
      <c r="IL60" s="380"/>
      <c r="IM60" s="380"/>
      <c r="IN60" s="380"/>
      <c r="IO60" s="380"/>
      <c r="IP60" s="380"/>
      <c r="IQ60" s="380"/>
      <c r="IR60" s="380"/>
      <c r="IS60" s="380"/>
      <c r="IT60" s="380"/>
      <c r="IU60" s="380"/>
      <c r="IV60" s="380"/>
      <c r="IW60" s="380"/>
      <c r="IX60" s="380"/>
      <c r="IY60" s="380"/>
      <c r="IZ60" s="380"/>
      <c r="JA60" s="380"/>
      <c r="JB60" s="380"/>
      <c r="JC60" s="380"/>
      <c r="JD60" s="380"/>
      <c r="JE60" s="380"/>
      <c r="JF60" s="380"/>
      <c r="JG60" s="380"/>
      <c r="JH60" s="380"/>
      <c r="JI60" s="380"/>
      <c r="JJ60" s="380"/>
      <c r="JK60" s="380"/>
      <c r="JL60" s="380"/>
      <c r="JN60" s="37"/>
      <c r="JO60" s="37"/>
      <c r="JP60" s="37"/>
      <c r="JQ60" s="382"/>
      <c r="JR60" s="382"/>
      <c r="JS60" s="382"/>
      <c r="JT60" s="382"/>
      <c r="JU60" s="382"/>
      <c r="JV60" s="382"/>
      <c r="JW60" s="386"/>
      <c r="JX60" s="386"/>
      <c r="JY60" s="386"/>
      <c r="JZ60" s="386"/>
      <c r="KA60" s="386"/>
      <c r="KB60" s="386"/>
      <c r="KC60" s="386"/>
      <c r="KD60" s="386"/>
      <c r="KE60" s="386"/>
      <c r="KF60" s="386"/>
      <c r="KG60" s="393"/>
      <c r="KH60" s="386"/>
      <c r="KI60" s="386"/>
      <c r="KJ60" s="386"/>
      <c r="KK60" s="386"/>
      <c r="KL60" s="386"/>
      <c r="KM60" s="386"/>
      <c r="KN60" s="386"/>
      <c r="KO60" s="386"/>
      <c r="KP60" s="386"/>
      <c r="KQ60" s="386"/>
      <c r="KR60" s="386"/>
      <c r="KS60" s="396"/>
      <c r="KT60" s="396"/>
      <c r="KU60" s="396"/>
      <c r="KV60" s="396"/>
      <c r="KW60" s="396"/>
      <c r="KX60" s="396"/>
      <c r="KY60" s="396"/>
    </row>
    <row r="61" spans="2:311">
      <c r="B61" s="279"/>
      <c r="C61" s="279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303"/>
      <c r="X61" s="303"/>
      <c r="Y61" s="303"/>
      <c r="Z61" s="303"/>
      <c r="AA61" s="303"/>
      <c r="AB61" s="303"/>
      <c r="AC61" s="303"/>
      <c r="AD61" s="303"/>
      <c r="AE61" s="303"/>
      <c r="AF61" s="303"/>
      <c r="AG61" s="303"/>
      <c r="AH61" s="303"/>
      <c r="AJ61" s="306"/>
      <c r="AK61" s="306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07"/>
      <c r="BC61" s="307"/>
      <c r="BD61" s="307"/>
      <c r="BE61" s="307"/>
      <c r="BF61" s="307"/>
      <c r="BG61" s="307"/>
      <c r="BH61" s="307"/>
      <c r="BI61" s="307"/>
      <c r="BJ61" s="307"/>
      <c r="BK61" s="307"/>
      <c r="BL61" s="307"/>
      <c r="BM61" s="307"/>
      <c r="BN61" s="307"/>
      <c r="BO61" s="307"/>
      <c r="BP61" s="307"/>
      <c r="BR61" s="315"/>
      <c r="BS61" s="315"/>
      <c r="BT61" s="316"/>
      <c r="BU61" s="316"/>
      <c r="BV61" s="316"/>
      <c r="BW61" s="316"/>
      <c r="BX61" s="316"/>
      <c r="BY61" s="316"/>
      <c r="BZ61" s="316"/>
      <c r="CA61" s="316"/>
      <c r="CB61" s="316"/>
      <c r="CC61" s="316"/>
      <c r="CD61" s="316"/>
      <c r="CE61" s="316"/>
      <c r="CF61" s="316"/>
      <c r="CG61" s="316"/>
      <c r="CH61" s="316"/>
      <c r="CI61" s="316"/>
      <c r="CJ61" s="316"/>
      <c r="CK61" s="316"/>
      <c r="CL61" s="316"/>
      <c r="CM61" s="316"/>
      <c r="CN61" s="316"/>
      <c r="CO61" s="316"/>
      <c r="CP61" s="316"/>
      <c r="CQ61" s="316"/>
      <c r="CR61" s="316"/>
      <c r="CS61" s="316"/>
      <c r="CT61" s="316"/>
      <c r="CU61" s="316"/>
      <c r="CV61" s="316"/>
      <c r="CW61" s="316"/>
      <c r="CX61" s="316"/>
      <c r="CZ61" s="337"/>
      <c r="DA61" s="337"/>
      <c r="DB61" s="341"/>
      <c r="DC61" s="341"/>
      <c r="DD61" s="341"/>
      <c r="DE61" s="341"/>
      <c r="DF61" s="341"/>
      <c r="DG61" s="341"/>
      <c r="DH61" s="341"/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1"/>
      <c r="DW61" s="341"/>
      <c r="DX61" s="341"/>
      <c r="DY61" s="341"/>
      <c r="DZ61" s="341"/>
      <c r="EA61" s="341"/>
      <c r="EB61" s="341"/>
      <c r="EC61" s="341"/>
      <c r="ED61" s="341"/>
      <c r="EE61" s="341"/>
      <c r="EF61" s="341"/>
      <c r="EH61" s="347"/>
      <c r="EI61" s="347"/>
      <c r="EJ61" s="348"/>
      <c r="EK61" s="348"/>
      <c r="EL61" s="348"/>
      <c r="EM61" s="348"/>
      <c r="EN61" s="348"/>
      <c r="EO61" s="348"/>
      <c r="EP61" s="348"/>
      <c r="EQ61" s="348"/>
      <c r="ER61" s="348"/>
      <c r="ES61" s="348"/>
      <c r="ET61" s="348"/>
      <c r="EU61" s="348"/>
      <c r="EV61" s="348"/>
      <c r="EW61" s="348"/>
      <c r="EX61" s="348"/>
      <c r="EY61" s="348"/>
      <c r="EZ61" s="348"/>
      <c r="FA61" s="348"/>
      <c r="FB61" s="348"/>
      <c r="FC61" s="348"/>
      <c r="FD61" s="348"/>
      <c r="FE61" s="348"/>
      <c r="FF61" s="348"/>
      <c r="FG61" s="348"/>
      <c r="FH61" s="348"/>
      <c r="FI61" s="348"/>
      <c r="FJ61" s="348"/>
      <c r="FK61" s="348"/>
      <c r="FL61" s="348"/>
      <c r="FM61" s="348"/>
      <c r="FN61" s="348"/>
      <c r="FP61" s="358"/>
      <c r="FQ61" s="358"/>
      <c r="FR61" s="359"/>
      <c r="FS61" s="359"/>
      <c r="FT61" s="359"/>
      <c r="FU61" s="359"/>
      <c r="FV61" s="359"/>
      <c r="FW61" s="359"/>
      <c r="FX61" s="359"/>
      <c r="FY61" s="359"/>
      <c r="FZ61" s="359"/>
      <c r="GA61" s="359"/>
      <c r="GB61" s="359"/>
      <c r="GC61" s="359"/>
      <c r="GD61" s="359"/>
      <c r="GE61" s="359"/>
      <c r="GF61" s="359"/>
      <c r="GG61" s="359"/>
      <c r="GH61" s="359"/>
      <c r="GI61" s="359"/>
      <c r="GJ61" s="359"/>
      <c r="GK61" s="359"/>
      <c r="GL61" s="359"/>
      <c r="GM61" s="359"/>
      <c r="GN61" s="359"/>
      <c r="GO61" s="359"/>
      <c r="GP61" s="359"/>
      <c r="GQ61" s="359"/>
      <c r="GR61" s="359"/>
      <c r="GS61" s="359"/>
      <c r="GT61" s="359"/>
      <c r="GU61" s="359"/>
      <c r="GV61" s="359"/>
      <c r="GX61" s="368" t="s">
        <v>513</v>
      </c>
      <c r="GY61" s="368"/>
      <c r="GZ61" s="369"/>
      <c r="HA61" s="369"/>
      <c r="HB61" s="369"/>
      <c r="HC61" s="369"/>
      <c r="HD61" s="369"/>
      <c r="HE61" s="369"/>
      <c r="HF61" s="369"/>
      <c r="HG61" s="369"/>
      <c r="HH61" s="369"/>
      <c r="HI61" s="369"/>
      <c r="HJ61" s="369"/>
      <c r="HK61" s="369"/>
      <c r="HL61" s="369"/>
      <c r="HM61" s="375"/>
      <c r="HN61" s="369"/>
      <c r="HO61" s="375"/>
      <c r="HP61" s="369"/>
      <c r="HQ61" s="369"/>
      <c r="HR61" s="369"/>
      <c r="HS61" s="369"/>
      <c r="HT61" s="369"/>
      <c r="HU61" s="369"/>
      <c r="HV61" s="369"/>
      <c r="HW61" s="369"/>
      <c r="HX61" s="369"/>
      <c r="HY61" s="375"/>
      <c r="HZ61" s="375"/>
      <c r="IA61" s="375"/>
      <c r="IB61" s="375"/>
      <c r="IC61" s="378"/>
      <c r="ID61" s="375"/>
      <c r="IF61" s="371"/>
      <c r="IG61" s="371"/>
      <c r="IH61" s="380"/>
      <c r="II61" s="380"/>
      <c r="IJ61" s="380"/>
      <c r="IK61" s="380"/>
      <c r="IL61" s="380"/>
      <c r="IM61" s="380"/>
      <c r="IN61" s="380"/>
      <c r="IO61" s="380"/>
      <c r="IP61" s="380"/>
      <c r="IQ61" s="380"/>
      <c r="IR61" s="380"/>
      <c r="IS61" s="380"/>
      <c r="IT61" s="380"/>
      <c r="IU61" s="380"/>
      <c r="IV61" s="380"/>
      <c r="IW61" s="380"/>
      <c r="IX61" s="380"/>
      <c r="IY61" s="380"/>
      <c r="IZ61" s="380"/>
      <c r="JA61" s="380"/>
      <c r="JB61" s="380"/>
      <c r="JC61" s="380"/>
      <c r="JD61" s="380"/>
      <c r="JE61" s="380"/>
      <c r="JF61" s="380"/>
      <c r="JG61" s="380"/>
      <c r="JH61" s="380"/>
      <c r="JI61" s="380"/>
      <c r="JJ61" s="380"/>
      <c r="JK61" s="380"/>
      <c r="JL61" s="380"/>
      <c r="JN61" s="37"/>
      <c r="JO61" s="37"/>
      <c r="JP61" s="37"/>
      <c r="JQ61" s="382"/>
      <c r="JR61" s="382"/>
      <c r="JS61" s="382"/>
      <c r="JT61" s="382"/>
      <c r="JU61" s="382"/>
      <c r="JV61" s="382"/>
      <c r="JW61" s="386"/>
      <c r="JX61" s="386"/>
      <c r="JY61" s="386"/>
      <c r="JZ61" s="386"/>
      <c r="KA61" s="386"/>
      <c r="KB61" s="386"/>
      <c r="KC61" s="386"/>
      <c r="KD61" s="386"/>
      <c r="KE61" s="386"/>
      <c r="KF61" s="386"/>
      <c r="KG61" s="393"/>
      <c r="KH61" s="386"/>
      <c r="KI61" s="386"/>
      <c r="KJ61" s="386"/>
      <c r="KK61" s="386"/>
      <c r="KL61" s="386"/>
      <c r="KM61" s="386"/>
      <c r="KN61" s="386"/>
      <c r="KO61" s="386"/>
      <c r="KP61" s="386"/>
      <c r="KQ61" s="386"/>
      <c r="KR61" s="386"/>
      <c r="KS61" s="396"/>
      <c r="KT61" s="396"/>
      <c r="KU61" s="396"/>
      <c r="KV61" s="396"/>
      <c r="KW61" s="396"/>
      <c r="KX61" s="396"/>
      <c r="KY61" s="396"/>
    </row>
    <row r="62" spans="2:311">
      <c r="B62" s="279"/>
      <c r="C62" s="279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303"/>
      <c r="X62" s="303"/>
      <c r="Y62" s="303"/>
      <c r="Z62" s="303"/>
      <c r="AA62" s="303"/>
      <c r="AB62" s="303"/>
      <c r="AC62" s="303"/>
      <c r="AD62" s="303"/>
      <c r="AE62" s="303"/>
      <c r="AF62" s="303"/>
      <c r="AG62" s="303"/>
      <c r="AH62" s="303"/>
      <c r="AJ62" s="306"/>
      <c r="AK62" s="306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7"/>
      <c r="BA62" s="307"/>
      <c r="BB62" s="307"/>
      <c r="BC62" s="307"/>
      <c r="BD62" s="307"/>
      <c r="BE62" s="307"/>
      <c r="BF62" s="307"/>
      <c r="BG62" s="307"/>
      <c r="BH62" s="307"/>
      <c r="BI62" s="307"/>
      <c r="BJ62" s="307"/>
      <c r="BK62" s="307"/>
      <c r="BL62" s="307"/>
      <c r="BM62" s="307"/>
      <c r="BN62" s="307"/>
      <c r="BO62" s="307"/>
      <c r="BP62" s="307"/>
      <c r="BR62" s="315"/>
      <c r="BS62" s="315"/>
      <c r="BT62" s="316"/>
      <c r="BU62" s="316"/>
      <c r="BV62" s="316"/>
      <c r="BW62" s="316"/>
      <c r="BX62" s="316"/>
      <c r="BY62" s="316"/>
      <c r="BZ62" s="316"/>
      <c r="CA62" s="316"/>
      <c r="CB62" s="316"/>
      <c r="CC62" s="316"/>
      <c r="CD62" s="316"/>
      <c r="CE62" s="316"/>
      <c r="CF62" s="316"/>
      <c r="CG62" s="316"/>
      <c r="CH62" s="316"/>
      <c r="CI62" s="316"/>
      <c r="CJ62" s="316"/>
      <c r="CK62" s="316"/>
      <c r="CL62" s="316"/>
      <c r="CM62" s="316"/>
      <c r="CN62" s="316"/>
      <c r="CO62" s="316"/>
      <c r="CP62" s="316"/>
      <c r="CQ62" s="316"/>
      <c r="CR62" s="316"/>
      <c r="CS62" s="316"/>
      <c r="CT62" s="316"/>
      <c r="CU62" s="316"/>
      <c r="CV62" s="316"/>
      <c r="CW62" s="316"/>
      <c r="CX62" s="316"/>
      <c r="CZ62" s="337"/>
      <c r="DA62" s="337"/>
      <c r="DB62" s="341"/>
      <c r="DC62" s="341"/>
      <c r="DD62" s="341"/>
      <c r="DE62" s="341"/>
      <c r="DF62" s="341"/>
      <c r="DG62" s="341"/>
      <c r="DH62" s="341"/>
      <c r="DI62" s="341"/>
      <c r="DJ62" s="341"/>
      <c r="DK62" s="341"/>
      <c r="DL62" s="341"/>
      <c r="DM62" s="341"/>
      <c r="DN62" s="341"/>
      <c r="DO62" s="341"/>
      <c r="DP62" s="341"/>
      <c r="DQ62" s="341"/>
      <c r="DR62" s="341"/>
      <c r="DS62" s="341"/>
      <c r="DT62" s="341"/>
      <c r="DU62" s="341"/>
      <c r="DV62" s="341"/>
      <c r="DW62" s="341"/>
      <c r="DX62" s="341"/>
      <c r="DY62" s="341"/>
      <c r="DZ62" s="341"/>
      <c r="EA62" s="341"/>
      <c r="EB62" s="341"/>
      <c r="EC62" s="341"/>
      <c r="ED62" s="341"/>
      <c r="EE62" s="341"/>
      <c r="EF62" s="341"/>
      <c r="EH62" s="347"/>
      <c r="EI62" s="347"/>
      <c r="EJ62" s="348"/>
      <c r="EK62" s="348"/>
      <c r="EL62" s="348"/>
      <c r="EM62" s="348"/>
      <c r="EN62" s="348"/>
      <c r="EO62" s="348"/>
      <c r="EP62" s="348"/>
      <c r="EQ62" s="348"/>
      <c r="ER62" s="348"/>
      <c r="ES62" s="348"/>
      <c r="ET62" s="348"/>
      <c r="EU62" s="348"/>
      <c r="EV62" s="348"/>
      <c r="EW62" s="348"/>
      <c r="EX62" s="348"/>
      <c r="EY62" s="348"/>
      <c r="EZ62" s="348"/>
      <c r="FA62" s="348"/>
      <c r="FB62" s="348"/>
      <c r="FC62" s="348"/>
      <c r="FD62" s="348"/>
      <c r="FE62" s="348"/>
      <c r="FF62" s="348"/>
      <c r="FG62" s="348"/>
      <c r="FH62" s="348"/>
      <c r="FI62" s="348"/>
      <c r="FJ62" s="348"/>
      <c r="FK62" s="348"/>
      <c r="FL62" s="348"/>
      <c r="FM62" s="348"/>
      <c r="FN62" s="348"/>
      <c r="FP62" s="358"/>
      <c r="FQ62" s="358"/>
      <c r="FR62" s="359"/>
      <c r="FS62" s="359"/>
      <c r="FT62" s="359"/>
      <c r="FU62" s="359"/>
      <c r="FV62" s="359"/>
      <c r="FW62" s="359"/>
      <c r="FX62" s="359"/>
      <c r="FY62" s="359"/>
      <c r="FZ62" s="359"/>
      <c r="GA62" s="359"/>
      <c r="GB62" s="359"/>
      <c r="GC62" s="359"/>
      <c r="GD62" s="359"/>
      <c r="GE62" s="359"/>
      <c r="GF62" s="359"/>
      <c r="GG62" s="359"/>
      <c r="GH62" s="359"/>
      <c r="GI62" s="359"/>
      <c r="GJ62" s="359"/>
      <c r="GK62" s="359"/>
      <c r="GL62" s="359"/>
      <c r="GM62" s="359"/>
      <c r="GN62" s="359"/>
      <c r="GO62" s="359"/>
      <c r="GP62" s="359"/>
      <c r="GQ62" s="359"/>
      <c r="GR62" s="359"/>
      <c r="GS62" s="359"/>
      <c r="GT62" s="359"/>
      <c r="GU62" s="359"/>
      <c r="GV62" s="359"/>
      <c r="GX62" s="368"/>
      <c r="GY62" s="368"/>
      <c r="GZ62" s="369"/>
      <c r="HA62" s="369"/>
      <c r="HB62" s="369"/>
      <c r="HC62" s="369"/>
      <c r="HD62" s="369"/>
      <c r="HE62" s="369"/>
      <c r="HF62" s="369"/>
      <c r="HG62" s="369"/>
      <c r="HH62" s="369"/>
      <c r="HI62" s="369"/>
      <c r="HJ62" s="369"/>
      <c r="HK62" s="369"/>
      <c r="HL62" s="369"/>
      <c r="HM62" s="375"/>
      <c r="HN62" s="369"/>
      <c r="HO62" s="375"/>
      <c r="HP62" s="369"/>
      <c r="HQ62" s="369"/>
      <c r="HR62" s="369"/>
      <c r="HS62" s="369"/>
      <c r="HT62" s="369"/>
      <c r="HU62" s="369"/>
      <c r="HV62" s="369"/>
      <c r="HW62" s="369"/>
      <c r="HX62" s="369"/>
      <c r="HY62" s="369"/>
      <c r="HZ62" s="376"/>
      <c r="IA62" s="369"/>
      <c r="IB62" s="376"/>
      <c r="IC62" s="369"/>
      <c r="ID62" s="376">
        <f t="shared" ref="ID62:ID70" si="15">IFERROR(IC62/$IA$3,0)</f>
        <v>0</v>
      </c>
      <c r="IF62" s="371"/>
      <c r="IG62" s="371"/>
      <c r="IH62" s="380"/>
      <c r="II62" s="380"/>
      <c r="IJ62" s="380"/>
      <c r="IK62" s="380"/>
      <c r="IL62" s="380"/>
      <c r="IM62" s="380"/>
      <c r="IN62" s="380"/>
      <c r="IO62" s="380"/>
      <c r="IP62" s="380"/>
      <c r="IQ62" s="380"/>
      <c r="IR62" s="380"/>
      <c r="IS62" s="380"/>
      <c r="IT62" s="380"/>
      <c r="IU62" s="380"/>
      <c r="IV62" s="380"/>
      <c r="IW62" s="380"/>
      <c r="IX62" s="380"/>
      <c r="IY62" s="380"/>
      <c r="IZ62" s="380"/>
      <c r="JA62" s="380"/>
      <c r="JB62" s="380"/>
      <c r="JC62" s="380"/>
      <c r="JD62" s="380"/>
      <c r="JE62" s="380"/>
      <c r="JF62" s="380"/>
      <c r="JG62" s="380"/>
      <c r="JH62" s="380"/>
      <c r="JI62" s="380"/>
      <c r="JJ62" s="380"/>
      <c r="JK62" s="380"/>
      <c r="JL62" s="380"/>
      <c r="JN62" s="37"/>
      <c r="JO62" s="37"/>
      <c r="JP62" s="37"/>
      <c r="JQ62" s="382"/>
      <c r="JR62" s="382"/>
      <c r="JS62" s="382"/>
      <c r="JT62" s="382"/>
      <c r="JU62" s="382"/>
      <c r="JV62" s="382"/>
      <c r="JW62" s="386"/>
      <c r="JX62" s="386"/>
      <c r="JY62" s="386"/>
      <c r="JZ62" s="386"/>
      <c r="KA62" s="386"/>
      <c r="KB62" s="386"/>
      <c r="KC62" s="386"/>
      <c r="KD62" s="386"/>
      <c r="KE62" s="386"/>
      <c r="KF62" s="386"/>
      <c r="KG62" s="393"/>
      <c r="KH62" s="386"/>
      <c r="KI62" s="386"/>
      <c r="KJ62" s="386"/>
      <c r="KK62" s="386"/>
      <c r="KL62" s="386"/>
      <c r="KM62" s="386"/>
      <c r="KN62" s="386"/>
      <c r="KO62" s="386"/>
      <c r="KP62" s="386"/>
      <c r="KQ62" s="386"/>
      <c r="KR62" s="386"/>
      <c r="KS62" s="396"/>
      <c r="KT62" s="396"/>
      <c r="KU62" s="396"/>
      <c r="KV62" s="396"/>
      <c r="KW62" s="396"/>
      <c r="KX62" s="396"/>
      <c r="KY62" s="396"/>
    </row>
    <row r="63" spans="2:311">
      <c r="B63" s="279"/>
      <c r="C63" s="279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303"/>
      <c r="X63" s="303"/>
      <c r="Y63" s="303"/>
      <c r="Z63" s="303"/>
      <c r="AA63" s="303"/>
      <c r="AB63" s="303"/>
      <c r="AC63" s="303"/>
      <c r="AD63" s="303"/>
      <c r="AE63" s="303"/>
      <c r="AF63" s="303"/>
      <c r="AG63" s="303"/>
      <c r="AH63" s="303"/>
      <c r="AJ63" s="306"/>
      <c r="AK63" s="306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R63" s="315"/>
      <c r="BS63" s="315"/>
      <c r="BT63" s="316"/>
      <c r="BU63" s="316"/>
      <c r="BV63" s="316"/>
      <c r="BW63" s="316"/>
      <c r="BX63" s="316"/>
      <c r="BY63" s="316"/>
      <c r="BZ63" s="316"/>
      <c r="CA63" s="316"/>
      <c r="CB63" s="316"/>
      <c r="CC63" s="316"/>
      <c r="CD63" s="316"/>
      <c r="CE63" s="316"/>
      <c r="CF63" s="316"/>
      <c r="CG63" s="316"/>
      <c r="CH63" s="316"/>
      <c r="CI63" s="316"/>
      <c r="CJ63" s="316"/>
      <c r="CK63" s="316"/>
      <c r="CL63" s="316"/>
      <c r="CM63" s="316"/>
      <c r="CN63" s="316"/>
      <c r="CO63" s="316"/>
      <c r="CP63" s="316"/>
      <c r="CQ63" s="316"/>
      <c r="CR63" s="316"/>
      <c r="CS63" s="316"/>
      <c r="CT63" s="316"/>
      <c r="CU63" s="316"/>
      <c r="CV63" s="316"/>
      <c r="CW63" s="316"/>
      <c r="CX63" s="316"/>
      <c r="CZ63" s="337"/>
      <c r="DA63" s="337"/>
      <c r="DB63" s="341"/>
      <c r="DC63" s="341"/>
      <c r="DD63" s="341"/>
      <c r="DE63" s="341"/>
      <c r="DF63" s="341"/>
      <c r="DG63" s="341"/>
      <c r="DH63" s="341"/>
      <c r="DI63" s="341"/>
      <c r="DJ63" s="341"/>
      <c r="DK63" s="341"/>
      <c r="DL63" s="341"/>
      <c r="DM63" s="341"/>
      <c r="DN63" s="341"/>
      <c r="DO63" s="341"/>
      <c r="DP63" s="341"/>
      <c r="DQ63" s="341"/>
      <c r="DR63" s="341"/>
      <c r="DS63" s="341"/>
      <c r="DT63" s="341"/>
      <c r="DU63" s="341"/>
      <c r="DV63" s="341"/>
      <c r="DW63" s="341"/>
      <c r="DX63" s="341"/>
      <c r="DY63" s="341"/>
      <c r="DZ63" s="341"/>
      <c r="EA63" s="341"/>
      <c r="EB63" s="341"/>
      <c r="EC63" s="341"/>
      <c r="ED63" s="341"/>
      <c r="EE63" s="341"/>
      <c r="EF63" s="341"/>
      <c r="EH63" s="347"/>
      <c r="EI63" s="347"/>
      <c r="EJ63" s="348"/>
      <c r="EK63" s="348"/>
      <c r="EL63" s="348"/>
      <c r="EM63" s="348"/>
      <c r="EN63" s="348"/>
      <c r="EO63" s="348"/>
      <c r="EP63" s="348"/>
      <c r="EQ63" s="348"/>
      <c r="ER63" s="348"/>
      <c r="ES63" s="348"/>
      <c r="ET63" s="348"/>
      <c r="EU63" s="348"/>
      <c r="EV63" s="348"/>
      <c r="EW63" s="348"/>
      <c r="EX63" s="348"/>
      <c r="EY63" s="348"/>
      <c r="EZ63" s="348"/>
      <c r="FA63" s="348"/>
      <c r="FB63" s="348"/>
      <c r="FC63" s="348"/>
      <c r="FD63" s="348"/>
      <c r="FE63" s="348"/>
      <c r="FF63" s="348"/>
      <c r="FG63" s="348"/>
      <c r="FH63" s="348"/>
      <c r="FI63" s="348"/>
      <c r="FJ63" s="348"/>
      <c r="FK63" s="348"/>
      <c r="FL63" s="348"/>
      <c r="FM63" s="348"/>
      <c r="FN63" s="348"/>
      <c r="FP63" s="358"/>
      <c r="FQ63" s="358"/>
      <c r="FR63" s="359"/>
      <c r="FS63" s="359"/>
      <c r="FT63" s="359"/>
      <c r="FU63" s="359"/>
      <c r="FV63" s="359"/>
      <c r="FW63" s="359"/>
      <c r="FX63" s="359"/>
      <c r="FY63" s="359"/>
      <c r="FZ63" s="359"/>
      <c r="GA63" s="359"/>
      <c r="GB63" s="359"/>
      <c r="GC63" s="359"/>
      <c r="GD63" s="359"/>
      <c r="GE63" s="359"/>
      <c r="GF63" s="359"/>
      <c r="GG63" s="359"/>
      <c r="GH63" s="359"/>
      <c r="GI63" s="359"/>
      <c r="GJ63" s="359"/>
      <c r="GK63" s="359"/>
      <c r="GL63" s="359"/>
      <c r="GM63" s="359"/>
      <c r="GN63" s="359"/>
      <c r="GO63" s="359"/>
      <c r="GP63" s="359"/>
      <c r="GQ63" s="359"/>
      <c r="GR63" s="359"/>
      <c r="GS63" s="359"/>
      <c r="GT63" s="359"/>
      <c r="GU63" s="359"/>
      <c r="GV63" s="359"/>
      <c r="GX63" s="368"/>
      <c r="GY63" s="368"/>
      <c r="GZ63" s="369"/>
      <c r="HA63" s="369"/>
      <c r="HB63" s="369"/>
      <c r="HC63" s="369"/>
      <c r="HD63" s="369"/>
      <c r="HE63" s="369"/>
      <c r="HF63" s="369"/>
      <c r="HG63" s="369"/>
      <c r="HH63" s="369"/>
      <c r="HI63" s="369"/>
      <c r="HJ63" s="369"/>
      <c r="HK63" s="369"/>
      <c r="HL63" s="369"/>
      <c r="HM63" s="375"/>
      <c r="HN63" s="369"/>
      <c r="HO63" s="375"/>
      <c r="HP63" s="369"/>
      <c r="HQ63" s="369"/>
      <c r="HR63" s="369"/>
      <c r="HS63" s="369"/>
      <c r="HT63" s="369"/>
      <c r="HU63" s="369"/>
      <c r="HV63" s="369"/>
      <c r="HW63" s="369"/>
      <c r="HX63" s="369"/>
      <c r="HY63" s="369"/>
      <c r="HZ63" s="376"/>
      <c r="IA63" s="369"/>
      <c r="IB63" s="376"/>
      <c r="IC63" s="369"/>
      <c r="ID63" s="376">
        <f t="shared" si="15"/>
        <v>0</v>
      </c>
      <c r="IF63" s="371"/>
      <c r="IG63" s="371"/>
      <c r="IH63" s="380"/>
      <c r="II63" s="380"/>
      <c r="IJ63" s="380"/>
      <c r="IK63" s="380"/>
      <c r="IL63" s="380"/>
      <c r="IM63" s="380"/>
      <c r="IN63" s="380"/>
      <c r="IO63" s="380"/>
      <c r="IP63" s="380"/>
      <c r="IQ63" s="380"/>
      <c r="IR63" s="380"/>
      <c r="IS63" s="380"/>
      <c r="IT63" s="380"/>
      <c r="IU63" s="380"/>
      <c r="IV63" s="380"/>
      <c r="IW63" s="380"/>
      <c r="IX63" s="380"/>
      <c r="IY63" s="380"/>
      <c r="IZ63" s="380"/>
      <c r="JA63" s="380"/>
      <c r="JB63" s="380"/>
      <c r="JC63" s="380"/>
      <c r="JD63" s="380"/>
      <c r="JE63" s="380"/>
      <c r="JF63" s="380"/>
      <c r="JG63" s="380"/>
      <c r="JH63" s="380"/>
      <c r="JI63" s="380"/>
      <c r="JJ63" s="380"/>
      <c r="JK63" s="380"/>
      <c r="JL63" s="380"/>
      <c r="JN63" s="37"/>
      <c r="JO63" s="37"/>
      <c r="JP63" s="37"/>
      <c r="JQ63" s="382"/>
      <c r="JR63" s="382"/>
      <c r="JS63" s="382"/>
      <c r="JT63" s="382"/>
      <c r="JU63" s="382"/>
      <c r="JV63" s="382"/>
      <c r="JW63" s="386"/>
      <c r="JX63" s="386"/>
      <c r="JY63" s="386"/>
      <c r="JZ63" s="386"/>
      <c r="KA63" s="386"/>
      <c r="KB63" s="386"/>
      <c r="KC63" s="386"/>
      <c r="KD63" s="386"/>
      <c r="KE63" s="386"/>
      <c r="KF63" s="386"/>
      <c r="KG63" s="393"/>
      <c r="KH63" s="386"/>
      <c r="KI63" s="386"/>
      <c r="KJ63" s="386"/>
      <c r="KK63" s="386"/>
      <c r="KL63" s="386"/>
      <c r="KM63" s="386"/>
      <c r="KN63" s="386"/>
      <c r="KO63" s="386"/>
      <c r="KP63" s="386"/>
      <c r="KQ63" s="386"/>
      <c r="KR63" s="386"/>
      <c r="KS63" s="396"/>
      <c r="KT63" s="396"/>
      <c r="KU63" s="396"/>
      <c r="KV63" s="396"/>
      <c r="KW63" s="396"/>
      <c r="KX63" s="396"/>
      <c r="KY63" s="396"/>
    </row>
    <row r="64" spans="2:311">
      <c r="B64" s="279"/>
      <c r="C64" s="279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J64" s="306"/>
      <c r="AK64" s="306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R64" s="315"/>
      <c r="BS64" s="315"/>
      <c r="BT64" s="316"/>
      <c r="BU64" s="316"/>
      <c r="BV64" s="316"/>
      <c r="BW64" s="316"/>
      <c r="BX64" s="316"/>
      <c r="BY64" s="316"/>
      <c r="BZ64" s="316"/>
      <c r="CA64" s="316"/>
      <c r="CB64" s="316"/>
      <c r="CC64" s="316"/>
      <c r="CD64" s="316"/>
      <c r="CE64" s="316"/>
      <c r="CF64" s="316"/>
      <c r="CG64" s="316"/>
      <c r="CH64" s="316"/>
      <c r="CI64" s="316"/>
      <c r="CJ64" s="316"/>
      <c r="CK64" s="316"/>
      <c r="CL64" s="316"/>
      <c r="CM64" s="316"/>
      <c r="CN64" s="316"/>
      <c r="CO64" s="316"/>
      <c r="CP64" s="316"/>
      <c r="CQ64" s="316"/>
      <c r="CR64" s="316"/>
      <c r="CS64" s="316"/>
      <c r="CT64" s="316"/>
      <c r="CU64" s="316"/>
      <c r="CV64" s="316"/>
      <c r="CW64" s="316"/>
      <c r="CX64" s="316"/>
      <c r="CZ64" s="337"/>
      <c r="DA64" s="337"/>
      <c r="DB64" s="341"/>
      <c r="DC64" s="341"/>
      <c r="DD64" s="341"/>
      <c r="DE64" s="341"/>
      <c r="DF64" s="341"/>
      <c r="DG64" s="341"/>
      <c r="DH64" s="341"/>
      <c r="DI64" s="341"/>
      <c r="DJ64" s="341"/>
      <c r="DK64" s="341"/>
      <c r="DL64" s="341"/>
      <c r="DM64" s="341"/>
      <c r="DN64" s="341"/>
      <c r="DO64" s="341"/>
      <c r="DP64" s="341"/>
      <c r="DQ64" s="341"/>
      <c r="DR64" s="341"/>
      <c r="DS64" s="341"/>
      <c r="DT64" s="341"/>
      <c r="DU64" s="341"/>
      <c r="DV64" s="341"/>
      <c r="DW64" s="341"/>
      <c r="DX64" s="341"/>
      <c r="DY64" s="341"/>
      <c r="DZ64" s="341"/>
      <c r="EA64" s="341"/>
      <c r="EB64" s="341"/>
      <c r="EC64" s="341"/>
      <c r="ED64" s="341"/>
      <c r="EE64" s="341"/>
      <c r="EF64" s="341"/>
      <c r="EH64" s="347"/>
      <c r="EI64" s="347"/>
      <c r="EJ64" s="348"/>
      <c r="EK64" s="348"/>
      <c r="EL64" s="348"/>
      <c r="EM64" s="348"/>
      <c r="EN64" s="348"/>
      <c r="EO64" s="348"/>
      <c r="EP64" s="348"/>
      <c r="EQ64" s="348"/>
      <c r="ER64" s="348"/>
      <c r="ES64" s="348"/>
      <c r="ET64" s="348"/>
      <c r="EU64" s="348"/>
      <c r="EV64" s="348"/>
      <c r="EW64" s="348"/>
      <c r="EX64" s="348"/>
      <c r="EY64" s="348"/>
      <c r="EZ64" s="348"/>
      <c r="FA64" s="348"/>
      <c r="FB64" s="348"/>
      <c r="FC64" s="348"/>
      <c r="FD64" s="348"/>
      <c r="FE64" s="348"/>
      <c r="FF64" s="348"/>
      <c r="FG64" s="348"/>
      <c r="FH64" s="348"/>
      <c r="FI64" s="348"/>
      <c r="FJ64" s="348"/>
      <c r="FK64" s="348"/>
      <c r="FL64" s="348"/>
      <c r="FM64" s="348"/>
      <c r="FN64" s="348"/>
      <c r="FP64" s="358"/>
      <c r="FQ64" s="358"/>
      <c r="FR64" s="359"/>
      <c r="FS64" s="359"/>
      <c r="FT64" s="359"/>
      <c r="FU64" s="359"/>
      <c r="FV64" s="359"/>
      <c r="FW64" s="359"/>
      <c r="FX64" s="359"/>
      <c r="FY64" s="359"/>
      <c r="FZ64" s="359"/>
      <c r="GA64" s="359"/>
      <c r="GB64" s="359"/>
      <c r="GC64" s="359"/>
      <c r="GD64" s="359"/>
      <c r="GE64" s="359"/>
      <c r="GF64" s="359"/>
      <c r="GG64" s="359"/>
      <c r="GH64" s="359"/>
      <c r="GI64" s="359"/>
      <c r="GJ64" s="359"/>
      <c r="GK64" s="359"/>
      <c r="GL64" s="359"/>
      <c r="GM64" s="359"/>
      <c r="GN64" s="359"/>
      <c r="GO64" s="359"/>
      <c r="GP64" s="359"/>
      <c r="GQ64" s="359"/>
      <c r="GR64" s="359"/>
      <c r="GS64" s="359"/>
      <c r="GT64" s="359"/>
      <c r="GU64" s="359"/>
      <c r="GV64" s="359"/>
      <c r="GX64" s="371" t="s">
        <v>545</v>
      </c>
      <c r="GY64" s="368"/>
      <c r="GZ64" s="369"/>
      <c r="HA64" s="369"/>
      <c r="HB64" s="369"/>
      <c r="HC64" s="369"/>
      <c r="HD64" s="369"/>
      <c r="HE64" s="369"/>
      <c r="HF64" s="369"/>
      <c r="HG64" s="369"/>
      <c r="HH64" s="369"/>
      <c r="HI64" s="369"/>
      <c r="HJ64" s="369"/>
      <c r="HK64" s="369"/>
      <c r="HL64" s="369"/>
      <c r="HM64" s="375"/>
      <c r="HN64" s="369"/>
      <c r="HO64" s="375"/>
      <c r="HP64" s="369"/>
      <c r="HQ64" s="369"/>
      <c r="HR64" s="369"/>
      <c r="HS64" s="369"/>
      <c r="HT64" s="369"/>
      <c r="HU64" s="369"/>
      <c r="HV64" s="369"/>
      <c r="HW64" s="369"/>
      <c r="HX64" s="369"/>
      <c r="HY64" s="369"/>
      <c r="HZ64" s="376"/>
      <c r="IA64" s="369"/>
      <c r="IB64" s="376"/>
      <c r="IC64" s="369">
        <v>0</v>
      </c>
      <c r="ID64" s="376">
        <f t="shared" si="15"/>
        <v>0</v>
      </c>
      <c r="IF64" s="371"/>
      <c r="IG64" s="371"/>
      <c r="IH64" s="380"/>
      <c r="II64" s="380"/>
      <c r="IJ64" s="380"/>
      <c r="IK64" s="380"/>
      <c r="IL64" s="380"/>
      <c r="IM64" s="380"/>
      <c r="IN64" s="380"/>
      <c r="IO64" s="380"/>
      <c r="IP64" s="380"/>
      <c r="IQ64" s="380"/>
      <c r="IR64" s="380"/>
      <c r="IS64" s="380"/>
      <c r="IT64" s="380"/>
      <c r="IU64" s="380"/>
      <c r="IV64" s="380"/>
      <c r="IW64" s="380"/>
      <c r="IX64" s="380"/>
      <c r="IY64" s="380"/>
      <c r="IZ64" s="380"/>
      <c r="JA64" s="380"/>
      <c r="JB64" s="380"/>
      <c r="JC64" s="380"/>
      <c r="JD64" s="380"/>
      <c r="JE64" s="380"/>
      <c r="JF64" s="380"/>
      <c r="JG64" s="380"/>
      <c r="JH64" s="380"/>
      <c r="JI64" s="380"/>
      <c r="JJ64" s="380"/>
      <c r="JK64" s="380"/>
      <c r="JL64" s="380"/>
      <c r="JN64" s="37"/>
      <c r="JO64" s="37"/>
      <c r="JP64" s="37"/>
      <c r="JQ64" s="382"/>
      <c r="JR64" s="382"/>
      <c r="JS64" s="382"/>
      <c r="JT64" s="382"/>
      <c r="JU64" s="382"/>
      <c r="JV64" s="382"/>
      <c r="JW64" s="386"/>
      <c r="JX64" s="386"/>
      <c r="JY64" s="386"/>
      <c r="JZ64" s="386"/>
      <c r="KA64" s="386"/>
      <c r="KB64" s="386"/>
      <c r="KC64" s="386"/>
      <c r="KD64" s="386"/>
      <c r="KE64" s="386"/>
      <c r="KF64" s="386"/>
      <c r="KG64" s="393"/>
      <c r="KH64" s="386"/>
      <c r="KI64" s="386"/>
      <c r="KJ64" s="386"/>
      <c r="KK64" s="386"/>
      <c r="KL64" s="386"/>
      <c r="KM64" s="386"/>
      <c r="KN64" s="386"/>
      <c r="KO64" s="386"/>
      <c r="KP64" s="386"/>
      <c r="KQ64" s="386"/>
      <c r="KR64" s="386"/>
      <c r="KS64" s="396"/>
      <c r="KT64" s="396"/>
      <c r="KU64" s="396"/>
      <c r="KV64" s="396"/>
      <c r="KW64" s="396"/>
      <c r="KX64" s="396"/>
      <c r="KY64" s="396"/>
    </row>
    <row r="65" spans="2:311">
      <c r="B65" s="279"/>
      <c r="C65" s="279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303"/>
      <c r="X65" s="303"/>
      <c r="Y65" s="303"/>
      <c r="Z65" s="303"/>
      <c r="AA65" s="303"/>
      <c r="AB65" s="303"/>
      <c r="AC65" s="303"/>
      <c r="AD65" s="303"/>
      <c r="AE65" s="303"/>
      <c r="AF65" s="303"/>
      <c r="AG65" s="303"/>
      <c r="AH65" s="303"/>
      <c r="AJ65" s="306"/>
      <c r="AK65" s="306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R65" s="315"/>
      <c r="BS65" s="315"/>
      <c r="BT65" s="316"/>
      <c r="BU65" s="316"/>
      <c r="BV65" s="316"/>
      <c r="BW65" s="316"/>
      <c r="BX65" s="316"/>
      <c r="BY65" s="316"/>
      <c r="BZ65" s="316"/>
      <c r="CA65" s="316"/>
      <c r="CB65" s="316"/>
      <c r="CC65" s="316"/>
      <c r="CD65" s="316"/>
      <c r="CE65" s="316"/>
      <c r="CF65" s="316"/>
      <c r="CG65" s="316"/>
      <c r="CH65" s="316"/>
      <c r="CI65" s="316"/>
      <c r="CJ65" s="316"/>
      <c r="CK65" s="316"/>
      <c r="CL65" s="316"/>
      <c r="CM65" s="316"/>
      <c r="CN65" s="316"/>
      <c r="CO65" s="316"/>
      <c r="CP65" s="316"/>
      <c r="CQ65" s="316"/>
      <c r="CR65" s="316"/>
      <c r="CS65" s="316"/>
      <c r="CT65" s="316"/>
      <c r="CU65" s="316"/>
      <c r="CV65" s="316"/>
      <c r="CW65" s="316"/>
      <c r="CX65" s="316"/>
      <c r="CZ65" s="337"/>
      <c r="DA65" s="337"/>
      <c r="DB65" s="341"/>
      <c r="DC65" s="341"/>
      <c r="DD65" s="341"/>
      <c r="DE65" s="341"/>
      <c r="DF65" s="341"/>
      <c r="DG65" s="341"/>
      <c r="DH65" s="341"/>
      <c r="DI65" s="341"/>
      <c r="DJ65" s="341"/>
      <c r="DK65" s="341"/>
      <c r="DL65" s="341"/>
      <c r="DM65" s="341"/>
      <c r="DN65" s="341"/>
      <c r="DO65" s="341"/>
      <c r="DP65" s="341"/>
      <c r="DQ65" s="341"/>
      <c r="DR65" s="341"/>
      <c r="DS65" s="341"/>
      <c r="DT65" s="341"/>
      <c r="DU65" s="341"/>
      <c r="DV65" s="341"/>
      <c r="DW65" s="341"/>
      <c r="DX65" s="341"/>
      <c r="DY65" s="341"/>
      <c r="DZ65" s="341"/>
      <c r="EA65" s="341"/>
      <c r="EB65" s="341"/>
      <c r="EC65" s="341"/>
      <c r="ED65" s="341"/>
      <c r="EE65" s="341"/>
      <c r="EF65" s="341"/>
      <c r="EH65" s="347"/>
      <c r="EI65" s="347"/>
      <c r="EJ65" s="348"/>
      <c r="EK65" s="348"/>
      <c r="EL65" s="348"/>
      <c r="EM65" s="348"/>
      <c r="EN65" s="348"/>
      <c r="EO65" s="348"/>
      <c r="EP65" s="348"/>
      <c r="EQ65" s="348"/>
      <c r="ER65" s="348"/>
      <c r="ES65" s="348"/>
      <c r="ET65" s="348"/>
      <c r="EU65" s="348"/>
      <c r="EV65" s="348"/>
      <c r="EW65" s="348"/>
      <c r="EX65" s="348"/>
      <c r="EY65" s="348"/>
      <c r="EZ65" s="348"/>
      <c r="FA65" s="348"/>
      <c r="FB65" s="348"/>
      <c r="FC65" s="348"/>
      <c r="FD65" s="348"/>
      <c r="FE65" s="348"/>
      <c r="FF65" s="348"/>
      <c r="FG65" s="348"/>
      <c r="FH65" s="348"/>
      <c r="FI65" s="348"/>
      <c r="FJ65" s="348"/>
      <c r="FK65" s="348"/>
      <c r="FL65" s="348"/>
      <c r="FM65" s="348"/>
      <c r="FN65" s="348"/>
      <c r="FP65" s="358"/>
      <c r="FQ65" s="358"/>
      <c r="FR65" s="359"/>
      <c r="FS65" s="359"/>
      <c r="FT65" s="359"/>
      <c r="FU65" s="359"/>
      <c r="FV65" s="359"/>
      <c r="FW65" s="359"/>
      <c r="FX65" s="359"/>
      <c r="FY65" s="359"/>
      <c r="FZ65" s="359"/>
      <c r="GA65" s="359"/>
      <c r="GB65" s="359"/>
      <c r="GC65" s="359"/>
      <c r="GD65" s="359"/>
      <c r="GE65" s="359"/>
      <c r="GF65" s="359"/>
      <c r="GG65" s="359"/>
      <c r="GH65" s="359"/>
      <c r="GI65" s="359"/>
      <c r="GJ65" s="359"/>
      <c r="GK65" s="359"/>
      <c r="GL65" s="359"/>
      <c r="GM65" s="359"/>
      <c r="GN65" s="359"/>
      <c r="GO65" s="359"/>
      <c r="GP65" s="359"/>
      <c r="GQ65" s="359"/>
      <c r="GR65" s="359"/>
      <c r="GS65" s="359"/>
      <c r="GT65" s="359"/>
      <c r="GU65" s="359"/>
      <c r="GV65" s="359"/>
      <c r="GX65" s="368" t="s">
        <v>42</v>
      </c>
      <c r="GY65" s="368"/>
      <c r="GZ65" s="369"/>
      <c r="HA65" s="369"/>
      <c r="HB65" s="369"/>
      <c r="HC65" s="369"/>
      <c r="HD65" s="369"/>
      <c r="HE65" s="369"/>
      <c r="HF65" s="369"/>
      <c r="HG65" s="369"/>
      <c r="HH65" s="369"/>
      <c r="HI65" s="369"/>
      <c r="HJ65" s="369"/>
      <c r="HK65" s="369"/>
      <c r="HL65" s="369"/>
      <c r="HM65" s="375"/>
      <c r="HN65" s="369"/>
      <c r="HO65" s="375"/>
      <c r="HP65" s="369"/>
      <c r="HQ65" s="369"/>
      <c r="HR65" s="369"/>
      <c r="HS65" s="369"/>
      <c r="HT65" s="369"/>
      <c r="HU65" s="369"/>
      <c r="HV65" s="369"/>
      <c r="HW65" s="369"/>
      <c r="HX65" s="369"/>
      <c r="HY65" s="376"/>
      <c r="HZ65" s="376"/>
      <c r="IA65" s="375"/>
      <c r="IB65" s="376"/>
      <c r="IC65" s="375">
        <v>0</v>
      </c>
      <c r="ID65" s="376">
        <f t="shared" si="15"/>
        <v>0</v>
      </c>
      <c r="IF65" s="371"/>
      <c r="IG65" s="371"/>
      <c r="IH65" s="380"/>
      <c r="II65" s="380"/>
      <c r="IJ65" s="380"/>
      <c r="IK65" s="380"/>
      <c r="IL65" s="380"/>
      <c r="IM65" s="380"/>
      <c r="IN65" s="380"/>
      <c r="IO65" s="380"/>
      <c r="IP65" s="380"/>
      <c r="IQ65" s="380"/>
      <c r="IR65" s="380"/>
      <c r="IS65" s="380"/>
      <c r="IT65" s="380"/>
      <c r="IU65" s="380"/>
      <c r="IV65" s="380"/>
      <c r="IW65" s="380"/>
      <c r="IX65" s="380"/>
      <c r="IY65" s="380"/>
      <c r="IZ65" s="380"/>
      <c r="JA65" s="380"/>
      <c r="JB65" s="380"/>
      <c r="JC65" s="380"/>
      <c r="JD65" s="380"/>
      <c r="JE65" s="380"/>
      <c r="JF65" s="380"/>
      <c r="JG65" s="380"/>
      <c r="JH65" s="380"/>
      <c r="JI65" s="380"/>
      <c r="JJ65" s="380"/>
      <c r="JK65" s="380"/>
      <c r="JL65" s="380"/>
      <c r="JN65" s="37" t="s">
        <v>616</v>
      </c>
      <c r="JO65" s="37"/>
      <c r="JP65" s="37"/>
      <c r="JQ65" s="382"/>
      <c r="JR65" s="382"/>
      <c r="JS65" s="382"/>
      <c r="JT65" s="382"/>
      <c r="JU65" s="382"/>
      <c r="JV65" s="382"/>
      <c r="JW65" s="386"/>
      <c r="JX65" s="386"/>
      <c r="JY65" s="386"/>
      <c r="JZ65" s="386"/>
      <c r="KA65" s="386"/>
      <c r="KB65" s="386"/>
      <c r="KC65" s="386"/>
      <c r="KD65" s="386"/>
      <c r="KE65" s="386"/>
      <c r="KF65" s="386"/>
      <c r="KG65" s="393"/>
      <c r="KH65" s="386"/>
      <c r="KI65" s="386"/>
      <c r="KJ65" s="386"/>
      <c r="KK65" s="386"/>
      <c r="KL65" s="386"/>
      <c r="KM65" s="386"/>
      <c r="KN65" s="386"/>
      <c r="KO65" s="386"/>
      <c r="KP65" s="386"/>
      <c r="KQ65" s="386"/>
      <c r="KR65" s="386"/>
      <c r="KS65" s="396"/>
      <c r="KT65" s="396"/>
      <c r="KU65" s="396"/>
      <c r="KV65" s="396"/>
      <c r="KW65" s="396"/>
      <c r="KX65" s="396"/>
      <c r="KY65" s="396"/>
    </row>
    <row r="66" spans="2:311">
      <c r="B66" s="279"/>
      <c r="C66" s="279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303"/>
      <c r="X66" s="303"/>
      <c r="Y66" s="303"/>
      <c r="Z66" s="303"/>
      <c r="AA66" s="303"/>
      <c r="AB66" s="303"/>
      <c r="AC66" s="303"/>
      <c r="AD66" s="303"/>
      <c r="AE66" s="303"/>
      <c r="AF66" s="303"/>
      <c r="AG66" s="303"/>
      <c r="AH66" s="303"/>
      <c r="AJ66" s="306"/>
      <c r="AK66" s="306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R66" s="315"/>
      <c r="BS66" s="315"/>
      <c r="BT66" s="316"/>
      <c r="BU66" s="316"/>
      <c r="BV66" s="316"/>
      <c r="BW66" s="316"/>
      <c r="BX66" s="316"/>
      <c r="BY66" s="316"/>
      <c r="BZ66" s="316"/>
      <c r="CA66" s="316"/>
      <c r="CB66" s="316"/>
      <c r="CC66" s="316"/>
      <c r="CD66" s="316"/>
      <c r="CE66" s="316"/>
      <c r="CF66" s="316"/>
      <c r="CG66" s="316"/>
      <c r="CH66" s="316"/>
      <c r="CI66" s="316"/>
      <c r="CJ66" s="316"/>
      <c r="CK66" s="316"/>
      <c r="CL66" s="316"/>
      <c r="CM66" s="316"/>
      <c r="CN66" s="316"/>
      <c r="CO66" s="316"/>
      <c r="CP66" s="316"/>
      <c r="CQ66" s="316"/>
      <c r="CR66" s="316"/>
      <c r="CS66" s="316"/>
      <c r="CT66" s="316"/>
      <c r="CU66" s="316"/>
      <c r="CV66" s="316"/>
      <c r="CW66" s="316"/>
      <c r="CX66" s="316"/>
      <c r="CZ66" s="337"/>
      <c r="DA66" s="337"/>
      <c r="DB66" s="341"/>
      <c r="DC66" s="341"/>
      <c r="DD66" s="341"/>
      <c r="DE66" s="341"/>
      <c r="DF66" s="341"/>
      <c r="DG66" s="341"/>
      <c r="DH66" s="341"/>
      <c r="DI66" s="341"/>
      <c r="DJ66" s="341"/>
      <c r="DK66" s="341"/>
      <c r="DL66" s="341"/>
      <c r="DM66" s="341"/>
      <c r="DN66" s="341"/>
      <c r="DO66" s="341"/>
      <c r="DP66" s="341"/>
      <c r="DQ66" s="341"/>
      <c r="DR66" s="341"/>
      <c r="DS66" s="341"/>
      <c r="DT66" s="341"/>
      <c r="DU66" s="341"/>
      <c r="DV66" s="341"/>
      <c r="DW66" s="341"/>
      <c r="DX66" s="341"/>
      <c r="DY66" s="341"/>
      <c r="DZ66" s="341"/>
      <c r="EA66" s="341"/>
      <c r="EB66" s="341"/>
      <c r="EC66" s="341"/>
      <c r="ED66" s="341"/>
      <c r="EE66" s="341"/>
      <c r="EF66" s="341"/>
      <c r="EH66" s="347"/>
      <c r="EI66" s="347"/>
      <c r="EJ66" s="348"/>
      <c r="EK66" s="348"/>
      <c r="EL66" s="348"/>
      <c r="EM66" s="348"/>
      <c r="EN66" s="348"/>
      <c r="EO66" s="348"/>
      <c r="EP66" s="348"/>
      <c r="EQ66" s="348"/>
      <c r="ER66" s="348"/>
      <c r="ES66" s="348"/>
      <c r="ET66" s="348"/>
      <c r="EU66" s="348"/>
      <c r="EV66" s="348"/>
      <c r="EW66" s="348"/>
      <c r="EX66" s="348"/>
      <c r="EY66" s="348"/>
      <c r="EZ66" s="348"/>
      <c r="FA66" s="348"/>
      <c r="FB66" s="348"/>
      <c r="FC66" s="348"/>
      <c r="FD66" s="348"/>
      <c r="FE66" s="348"/>
      <c r="FF66" s="348"/>
      <c r="FG66" s="348"/>
      <c r="FH66" s="348"/>
      <c r="FI66" s="348"/>
      <c r="FJ66" s="348"/>
      <c r="FK66" s="348"/>
      <c r="FL66" s="348"/>
      <c r="FM66" s="348"/>
      <c r="FN66" s="348"/>
      <c r="FP66" s="358"/>
      <c r="FQ66" s="358"/>
      <c r="FR66" s="359"/>
      <c r="FS66" s="359"/>
      <c r="FT66" s="359"/>
      <c r="FU66" s="359"/>
      <c r="FV66" s="359"/>
      <c r="FW66" s="359"/>
      <c r="FX66" s="359"/>
      <c r="FY66" s="359"/>
      <c r="FZ66" s="359"/>
      <c r="GA66" s="359"/>
      <c r="GB66" s="359"/>
      <c r="GC66" s="359"/>
      <c r="GD66" s="359"/>
      <c r="GE66" s="359"/>
      <c r="GF66" s="359"/>
      <c r="GG66" s="359"/>
      <c r="GH66" s="359"/>
      <c r="GI66" s="359"/>
      <c r="GJ66" s="359"/>
      <c r="GK66" s="359"/>
      <c r="GL66" s="359"/>
      <c r="GM66" s="359"/>
      <c r="GN66" s="359"/>
      <c r="GO66" s="359"/>
      <c r="GP66" s="359"/>
      <c r="GQ66" s="359"/>
      <c r="GR66" s="359"/>
      <c r="GS66" s="359"/>
      <c r="GT66" s="359"/>
      <c r="GU66" s="359"/>
      <c r="GV66" s="359"/>
      <c r="GX66" s="368" t="s">
        <v>556</v>
      </c>
      <c r="GY66" s="368"/>
      <c r="GZ66" s="369"/>
      <c r="HA66" s="369"/>
      <c r="HB66" s="369"/>
      <c r="HC66" s="369"/>
      <c r="HD66" s="369"/>
      <c r="HE66" s="369"/>
      <c r="HF66" s="369"/>
      <c r="HG66" s="369"/>
      <c r="HH66" s="369"/>
      <c r="HI66" s="369"/>
      <c r="HJ66" s="369"/>
      <c r="HK66" s="369"/>
      <c r="HL66" s="369"/>
      <c r="HM66" s="375"/>
      <c r="HN66" s="369"/>
      <c r="HO66" s="375"/>
      <c r="HP66" s="369"/>
      <c r="HQ66" s="369"/>
      <c r="HR66" s="369"/>
      <c r="HS66" s="369"/>
      <c r="HT66" s="369"/>
      <c r="HU66" s="369"/>
      <c r="HV66" s="369"/>
      <c r="HW66" s="369"/>
      <c r="HX66" s="369"/>
      <c r="HY66" s="376"/>
      <c r="HZ66" s="376"/>
      <c r="IA66" s="375"/>
      <c r="IB66" s="376"/>
      <c r="IC66" s="375">
        <v>0</v>
      </c>
      <c r="ID66" s="376">
        <f t="shared" si="15"/>
        <v>0</v>
      </c>
      <c r="IF66" s="380"/>
      <c r="IG66" s="380"/>
      <c r="IH66" s="380"/>
      <c r="II66" s="380"/>
      <c r="IJ66" s="380"/>
      <c r="IK66" s="380"/>
      <c r="IL66" s="380"/>
      <c r="IM66" s="380"/>
      <c r="IN66" s="380"/>
      <c r="IO66" s="380"/>
      <c r="IP66" s="380"/>
      <c r="IQ66" s="380"/>
      <c r="IR66" s="380"/>
      <c r="IS66" s="380"/>
      <c r="IT66" s="380"/>
      <c r="IU66" s="380"/>
      <c r="IV66" s="380"/>
      <c r="IW66" s="380"/>
      <c r="IX66" s="380"/>
      <c r="IY66" s="380"/>
      <c r="IZ66" s="380"/>
      <c r="JA66" s="380"/>
      <c r="JB66" s="380"/>
      <c r="JC66" s="380"/>
      <c r="JD66" s="380"/>
      <c r="JE66" s="380"/>
      <c r="JF66" s="380"/>
      <c r="JG66" s="380"/>
      <c r="JH66" s="380"/>
      <c r="JI66" s="380"/>
      <c r="JJ66" s="380"/>
      <c r="JK66" s="380"/>
      <c r="JL66" s="380"/>
      <c r="JN66" s="37" t="s">
        <v>617</v>
      </c>
      <c r="JO66" s="37"/>
      <c r="JP66" s="37"/>
      <c r="JQ66" s="382"/>
      <c r="JR66" s="382"/>
      <c r="JS66" s="382"/>
      <c r="JT66" s="382"/>
      <c r="JU66" s="382"/>
      <c r="JV66" s="382"/>
      <c r="JW66" s="386"/>
      <c r="JX66" s="386"/>
      <c r="JY66" s="386"/>
      <c r="JZ66" s="386"/>
      <c r="KA66" s="386"/>
      <c r="KB66" s="386"/>
      <c r="KC66" s="386"/>
      <c r="KD66" s="386"/>
      <c r="KE66" s="386"/>
      <c r="KF66" s="386"/>
      <c r="KG66" s="393"/>
      <c r="KH66" s="386"/>
      <c r="KI66" s="386"/>
      <c r="KJ66" s="386"/>
      <c r="KK66" s="386"/>
      <c r="KL66" s="386"/>
      <c r="KM66" s="386"/>
      <c r="KN66" s="386"/>
      <c r="KO66" s="386"/>
      <c r="KP66" s="386"/>
      <c r="KQ66" s="386"/>
      <c r="KR66" s="386"/>
      <c r="KS66" s="396"/>
      <c r="KT66" s="396"/>
      <c r="KU66" s="396"/>
      <c r="KV66" s="396"/>
      <c r="KW66" s="396"/>
      <c r="KX66" s="396"/>
      <c r="KY66" s="396"/>
    </row>
    <row r="67" spans="2:311">
      <c r="B67" s="279"/>
      <c r="C67" s="279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J67" s="306"/>
      <c r="AK67" s="306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R67" s="315"/>
      <c r="BS67" s="315"/>
      <c r="BT67" s="316"/>
      <c r="BU67" s="316"/>
      <c r="BV67" s="316"/>
      <c r="BW67" s="316"/>
      <c r="BX67" s="316"/>
      <c r="BY67" s="316"/>
      <c r="BZ67" s="316"/>
      <c r="CA67" s="316"/>
      <c r="CB67" s="316"/>
      <c r="CC67" s="316"/>
      <c r="CD67" s="316"/>
      <c r="CE67" s="316"/>
      <c r="CF67" s="316"/>
      <c r="CG67" s="316"/>
      <c r="CH67" s="316"/>
      <c r="CI67" s="316"/>
      <c r="CJ67" s="316"/>
      <c r="CK67" s="316"/>
      <c r="CL67" s="316"/>
      <c r="CM67" s="316"/>
      <c r="CN67" s="316"/>
      <c r="CO67" s="316"/>
      <c r="CP67" s="316"/>
      <c r="CQ67" s="316"/>
      <c r="CR67" s="316"/>
      <c r="CS67" s="316"/>
      <c r="CT67" s="316"/>
      <c r="CU67" s="316"/>
      <c r="CV67" s="316"/>
      <c r="CW67" s="316"/>
      <c r="CX67" s="316"/>
      <c r="CZ67" s="337"/>
      <c r="DA67" s="337"/>
      <c r="DB67" s="341"/>
      <c r="DC67" s="341"/>
      <c r="DD67" s="341"/>
      <c r="DE67" s="341"/>
      <c r="DF67" s="341"/>
      <c r="DG67" s="341"/>
      <c r="DH67" s="341"/>
      <c r="DI67" s="341"/>
      <c r="DJ67" s="341"/>
      <c r="DK67" s="341"/>
      <c r="DL67" s="341"/>
      <c r="DM67" s="341"/>
      <c r="DN67" s="341"/>
      <c r="DO67" s="341"/>
      <c r="DP67" s="341"/>
      <c r="DQ67" s="341"/>
      <c r="DR67" s="341"/>
      <c r="DS67" s="341"/>
      <c r="DT67" s="341"/>
      <c r="DU67" s="341"/>
      <c r="DV67" s="341"/>
      <c r="DW67" s="341"/>
      <c r="DX67" s="341"/>
      <c r="DY67" s="341"/>
      <c r="DZ67" s="341"/>
      <c r="EA67" s="341"/>
      <c r="EB67" s="341"/>
      <c r="EC67" s="341"/>
      <c r="ED67" s="341"/>
      <c r="EE67" s="341"/>
      <c r="EF67" s="341"/>
      <c r="EH67" s="347"/>
      <c r="EI67" s="347"/>
      <c r="EJ67" s="348"/>
      <c r="EK67" s="348"/>
      <c r="EL67" s="348"/>
      <c r="EM67" s="348"/>
      <c r="EN67" s="348"/>
      <c r="EO67" s="348"/>
      <c r="EP67" s="348"/>
      <c r="EQ67" s="348"/>
      <c r="ER67" s="348"/>
      <c r="ES67" s="348"/>
      <c r="ET67" s="348"/>
      <c r="EU67" s="348"/>
      <c r="EV67" s="348"/>
      <c r="EW67" s="348"/>
      <c r="EX67" s="348"/>
      <c r="EY67" s="348"/>
      <c r="EZ67" s="348"/>
      <c r="FA67" s="348"/>
      <c r="FB67" s="348"/>
      <c r="FC67" s="348"/>
      <c r="FD67" s="348"/>
      <c r="FE67" s="348"/>
      <c r="FF67" s="348"/>
      <c r="FG67" s="348"/>
      <c r="FH67" s="348"/>
      <c r="FI67" s="348"/>
      <c r="FJ67" s="348"/>
      <c r="FK67" s="348"/>
      <c r="FL67" s="348"/>
      <c r="FM67" s="348"/>
      <c r="FN67" s="348"/>
      <c r="FP67" s="358"/>
      <c r="FQ67" s="358"/>
      <c r="FR67" s="359"/>
      <c r="FS67" s="359"/>
      <c r="FT67" s="359"/>
      <c r="FU67" s="359"/>
      <c r="FV67" s="359"/>
      <c r="FW67" s="359"/>
      <c r="FX67" s="359"/>
      <c r="FY67" s="359"/>
      <c r="FZ67" s="359"/>
      <c r="GA67" s="359"/>
      <c r="GB67" s="359"/>
      <c r="GC67" s="359"/>
      <c r="GD67" s="359"/>
      <c r="GE67" s="359"/>
      <c r="GF67" s="359"/>
      <c r="GG67" s="359"/>
      <c r="GH67" s="359"/>
      <c r="GI67" s="359"/>
      <c r="GJ67" s="359"/>
      <c r="GK67" s="359"/>
      <c r="GL67" s="359"/>
      <c r="GM67" s="359"/>
      <c r="GN67" s="359"/>
      <c r="GO67" s="359"/>
      <c r="GP67" s="359"/>
      <c r="GQ67" s="359"/>
      <c r="GR67" s="359"/>
      <c r="GS67" s="359"/>
      <c r="GT67" s="359"/>
      <c r="GU67" s="359"/>
      <c r="GV67" s="359"/>
      <c r="GX67" s="368" t="s">
        <v>42</v>
      </c>
      <c r="GY67" s="368"/>
      <c r="GZ67" s="369"/>
      <c r="HA67" s="369"/>
      <c r="HB67" s="369"/>
      <c r="HC67" s="369"/>
      <c r="HD67" s="369"/>
      <c r="HE67" s="369"/>
      <c r="HF67" s="369"/>
      <c r="HG67" s="369"/>
      <c r="HH67" s="369"/>
      <c r="HI67" s="369"/>
      <c r="HJ67" s="369"/>
      <c r="HK67" s="369"/>
      <c r="HL67" s="369"/>
      <c r="HM67" s="375"/>
      <c r="HN67" s="369"/>
      <c r="HO67" s="375"/>
      <c r="HP67" s="369"/>
      <c r="HQ67" s="369"/>
      <c r="HR67" s="369"/>
      <c r="HS67" s="369"/>
      <c r="HT67" s="369"/>
      <c r="HU67" s="369"/>
      <c r="HV67" s="369"/>
      <c r="HW67" s="369"/>
      <c r="HX67" s="369"/>
      <c r="HY67" s="376"/>
      <c r="HZ67" s="376"/>
      <c r="IA67" s="375"/>
      <c r="IB67" s="376"/>
      <c r="IC67" s="375">
        <v>0</v>
      </c>
      <c r="ID67" s="376">
        <f t="shared" si="15"/>
        <v>0</v>
      </c>
      <c r="IF67" s="380"/>
      <c r="IG67" s="380"/>
      <c r="IH67" s="380"/>
      <c r="II67" s="380"/>
      <c r="IJ67" s="380"/>
      <c r="IK67" s="380"/>
      <c r="IL67" s="380"/>
      <c r="IM67" s="380"/>
      <c r="IN67" s="380"/>
      <c r="IO67" s="380"/>
      <c r="IP67" s="380"/>
      <c r="IQ67" s="380"/>
      <c r="IR67" s="380"/>
      <c r="IS67" s="380"/>
      <c r="IT67" s="380"/>
      <c r="IU67" s="380"/>
      <c r="IV67" s="380"/>
      <c r="IW67" s="380"/>
      <c r="IX67" s="380"/>
      <c r="IY67" s="380"/>
      <c r="IZ67" s="380"/>
      <c r="JA67" s="380"/>
      <c r="JB67" s="380"/>
      <c r="JC67" s="380"/>
      <c r="JD67" s="380"/>
      <c r="JE67" s="380"/>
      <c r="JF67" s="380"/>
      <c r="JG67" s="380"/>
      <c r="JH67" s="380"/>
      <c r="JI67" s="380"/>
      <c r="JJ67" s="380"/>
      <c r="JK67" s="380"/>
      <c r="JL67" s="380"/>
      <c r="JN67" s="37" t="s">
        <v>618</v>
      </c>
      <c r="JO67" s="37"/>
      <c r="JP67" s="37"/>
      <c r="JQ67" s="382"/>
      <c r="JR67" s="382"/>
      <c r="JS67" s="382"/>
      <c r="JT67" s="382"/>
      <c r="JU67" s="382"/>
      <c r="JV67" s="382"/>
      <c r="JW67" s="386"/>
      <c r="JX67" s="386"/>
      <c r="JY67" s="386"/>
      <c r="JZ67" s="386"/>
      <c r="KA67" s="386"/>
      <c r="KB67" s="386"/>
      <c r="KC67" s="386"/>
      <c r="KD67" s="386"/>
      <c r="KE67" s="386"/>
      <c r="KF67" s="386"/>
      <c r="KG67" s="393"/>
      <c r="KH67" s="386"/>
      <c r="KI67" s="386"/>
      <c r="KJ67" s="386"/>
      <c r="KK67" s="386"/>
      <c r="KL67" s="386"/>
      <c r="KM67" s="386"/>
      <c r="KN67" s="386"/>
      <c r="KO67" s="386"/>
      <c r="KP67" s="386"/>
      <c r="KQ67" s="386"/>
      <c r="KR67" s="386"/>
      <c r="KS67" s="396"/>
      <c r="KT67" s="396"/>
      <c r="KU67" s="396"/>
      <c r="KV67" s="396"/>
      <c r="KW67" s="396"/>
      <c r="KX67" s="396"/>
      <c r="KY67" s="396"/>
    </row>
    <row r="68" spans="2:311">
      <c r="B68" s="279"/>
      <c r="C68" s="279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303"/>
      <c r="X68" s="303"/>
      <c r="Y68" s="303"/>
      <c r="Z68" s="303"/>
      <c r="AA68" s="303"/>
      <c r="AB68" s="303"/>
      <c r="AC68" s="303"/>
      <c r="AD68" s="303"/>
      <c r="AE68" s="303"/>
      <c r="AF68" s="303"/>
      <c r="AG68" s="303"/>
      <c r="AH68" s="303"/>
      <c r="AJ68" s="306"/>
      <c r="AK68" s="306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R68" s="315"/>
      <c r="BS68" s="315"/>
      <c r="BT68" s="316"/>
      <c r="BU68" s="316"/>
      <c r="BV68" s="316"/>
      <c r="BW68" s="316"/>
      <c r="BX68" s="316"/>
      <c r="BY68" s="316"/>
      <c r="BZ68" s="316"/>
      <c r="CA68" s="316"/>
      <c r="CB68" s="316"/>
      <c r="CC68" s="316"/>
      <c r="CD68" s="316"/>
      <c r="CE68" s="316"/>
      <c r="CF68" s="316"/>
      <c r="CG68" s="316"/>
      <c r="CH68" s="316"/>
      <c r="CI68" s="316"/>
      <c r="CJ68" s="316"/>
      <c r="CK68" s="316"/>
      <c r="CL68" s="316"/>
      <c r="CM68" s="316"/>
      <c r="CN68" s="316"/>
      <c r="CO68" s="316"/>
      <c r="CP68" s="316"/>
      <c r="CQ68" s="316"/>
      <c r="CR68" s="316"/>
      <c r="CS68" s="316"/>
      <c r="CT68" s="316"/>
      <c r="CU68" s="316"/>
      <c r="CV68" s="316"/>
      <c r="CW68" s="316"/>
      <c r="CX68" s="316"/>
      <c r="CZ68" s="337"/>
      <c r="DA68" s="337"/>
      <c r="DB68" s="341"/>
      <c r="DC68" s="341"/>
      <c r="DD68" s="341"/>
      <c r="DE68" s="341"/>
      <c r="DF68" s="341"/>
      <c r="DG68" s="341"/>
      <c r="DH68" s="341"/>
      <c r="DI68" s="341"/>
      <c r="DJ68" s="341"/>
      <c r="DK68" s="341"/>
      <c r="DL68" s="341"/>
      <c r="DM68" s="341"/>
      <c r="DN68" s="341"/>
      <c r="DO68" s="341"/>
      <c r="DP68" s="341"/>
      <c r="DQ68" s="341"/>
      <c r="DR68" s="341"/>
      <c r="DS68" s="341"/>
      <c r="DT68" s="341"/>
      <c r="DU68" s="341"/>
      <c r="DV68" s="341"/>
      <c r="DW68" s="341"/>
      <c r="DX68" s="341"/>
      <c r="DY68" s="341"/>
      <c r="DZ68" s="341"/>
      <c r="EA68" s="341"/>
      <c r="EB68" s="341"/>
      <c r="EC68" s="341"/>
      <c r="ED68" s="341"/>
      <c r="EE68" s="341"/>
      <c r="EF68" s="341"/>
      <c r="EH68" s="347"/>
      <c r="EI68" s="347"/>
      <c r="EJ68" s="348"/>
      <c r="EK68" s="348"/>
      <c r="EL68" s="348"/>
      <c r="EM68" s="348"/>
      <c r="EN68" s="348"/>
      <c r="EO68" s="348"/>
      <c r="EP68" s="348"/>
      <c r="EQ68" s="348"/>
      <c r="ER68" s="348"/>
      <c r="ES68" s="348"/>
      <c r="ET68" s="348"/>
      <c r="EU68" s="348"/>
      <c r="EV68" s="348"/>
      <c r="EW68" s="348"/>
      <c r="EX68" s="348"/>
      <c r="EY68" s="348"/>
      <c r="EZ68" s="348"/>
      <c r="FA68" s="348"/>
      <c r="FB68" s="348"/>
      <c r="FC68" s="348"/>
      <c r="FD68" s="348"/>
      <c r="FE68" s="348"/>
      <c r="FF68" s="348"/>
      <c r="FG68" s="348"/>
      <c r="FH68" s="348"/>
      <c r="FI68" s="348"/>
      <c r="FJ68" s="348"/>
      <c r="FK68" s="348"/>
      <c r="FL68" s="348"/>
      <c r="FM68" s="348"/>
      <c r="FN68" s="348"/>
      <c r="FP68" s="358"/>
      <c r="FQ68" s="358"/>
      <c r="FR68" s="359"/>
      <c r="FS68" s="359"/>
      <c r="FT68" s="359"/>
      <c r="FU68" s="359"/>
      <c r="FV68" s="359"/>
      <c r="FW68" s="359"/>
      <c r="FX68" s="359"/>
      <c r="FY68" s="359"/>
      <c r="FZ68" s="359"/>
      <c r="GA68" s="359"/>
      <c r="GB68" s="359"/>
      <c r="GC68" s="359"/>
      <c r="GD68" s="359"/>
      <c r="GE68" s="359"/>
      <c r="GF68" s="359"/>
      <c r="GG68" s="359"/>
      <c r="GH68" s="359"/>
      <c r="GI68" s="359"/>
      <c r="GJ68" s="359"/>
      <c r="GK68" s="359"/>
      <c r="GL68" s="359"/>
      <c r="GM68" s="359"/>
      <c r="GN68" s="359"/>
      <c r="GO68" s="359"/>
      <c r="GP68" s="359"/>
      <c r="GQ68" s="359"/>
      <c r="GR68" s="359"/>
      <c r="GS68" s="359"/>
      <c r="GT68" s="359"/>
      <c r="GU68" s="359"/>
      <c r="GV68" s="359"/>
      <c r="GX68" s="368" t="s">
        <v>622</v>
      </c>
      <c r="GY68" s="368"/>
      <c r="GZ68" s="369"/>
      <c r="HA68" s="369"/>
      <c r="HB68" s="369"/>
      <c r="HC68" s="369"/>
      <c r="HD68" s="369"/>
      <c r="HE68" s="369"/>
      <c r="HF68" s="369"/>
      <c r="HG68" s="369"/>
      <c r="HH68" s="369"/>
      <c r="HI68" s="369"/>
      <c r="HJ68" s="369"/>
      <c r="HK68" s="369"/>
      <c r="HL68" s="369"/>
      <c r="HM68" s="375"/>
      <c r="HN68" s="369"/>
      <c r="HO68" s="375"/>
      <c r="HP68" s="369"/>
      <c r="HQ68" s="369"/>
      <c r="HR68" s="369"/>
      <c r="HS68" s="369"/>
      <c r="HT68" s="369"/>
      <c r="HU68" s="369"/>
      <c r="HV68" s="369"/>
      <c r="HW68" s="369"/>
      <c r="HX68" s="369"/>
      <c r="HY68" s="376"/>
      <c r="HZ68" s="376"/>
      <c r="IA68" s="375"/>
      <c r="IB68" s="376"/>
      <c r="IC68" s="375">
        <v>0</v>
      </c>
      <c r="ID68" s="376">
        <f t="shared" si="15"/>
        <v>0</v>
      </c>
      <c r="IF68" s="380"/>
      <c r="IG68" s="380"/>
      <c r="IH68" s="380"/>
      <c r="II68" s="380"/>
      <c r="IJ68" s="380"/>
      <c r="IK68" s="380"/>
      <c r="IL68" s="380"/>
      <c r="IM68" s="380"/>
      <c r="IN68" s="380"/>
      <c r="IO68" s="380"/>
      <c r="IP68" s="380"/>
      <c r="IQ68" s="380"/>
      <c r="IR68" s="380"/>
      <c r="IS68" s="380"/>
      <c r="IT68" s="380"/>
      <c r="IU68" s="380"/>
      <c r="IV68" s="380"/>
      <c r="IW68" s="380"/>
      <c r="IX68" s="380"/>
      <c r="IY68" s="380"/>
      <c r="IZ68" s="380"/>
      <c r="JA68" s="380"/>
      <c r="JB68" s="380"/>
      <c r="JC68" s="380"/>
      <c r="JD68" s="380"/>
      <c r="JE68" s="380"/>
      <c r="JF68" s="380"/>
      <c r="JG68" s="380"/>
      <c r="JH68" s="380"/>
      <c r="JI68" s="380"/>
      <c r="JJ68" s="380"/>
      <c r="JK68" s="380"/>
      <c r="JL68" s="380"/>
      <c r="JN68" s="37"/>
      <c r="JO68" s="37"/>
      <c r="JP68" s="37"/>
      <c r="JQ68" s="382"/>
      <c r="JR68" s="382"/>
      <c r="JS68" s="382"/>
      <c r="JT68" s="382"/>
      <c r="JU68" s="382"/>
      <c r="JV68" s="382"/>
      <c r="JW68" s="386"/>
      <c r="JX68" s="386"/>
      <c r="JY68" s="386"/>
      <c r="JZ68" s="386"/>
      <c r="KA68" s="386"/>
      <c r="KB68" s="386"/>
      <c r="KC68" s="386"/>
      <c r="KD68" s="386"/>
      <c r="KE68" s="386"/>
      <c r="KF68" s="386"/>
      <c r="KG68" s="393"/>
      <c r="KH68" s="386"/>
      <c r="KI68" s="386"/>
      <c r="KJ68" s="386"/>
      <c r="KK68" s="386"/>
      <c r="KL68" s="386"/>
      <c r="KM68" s="386"/>
      <c r="KN68" s="386"/>
      <c r="KO68" s="386"/>
      <c r="KP68" s="386"/>
      <c r="KQ68" s="386"/>
      <c r="KR68" s="386"/>
      <c r="KS68" s="396"/>
      <c r="KT68" s="396"/>
      <c r="KU68" s="396"/>
      <c r="KV68" s="396"/>
      <c r="KW68" s="396"/>
      <c r="KX68" s="396"/>
      <c r="KY68" s="396"/>
    </row>
    <row r="69" spans="2:311">
      <c r="B69" s="279"/>
      <c r="C69" s="279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303"/>
      <c r="X69" s="303"/>
      <c r="Y69" s="303"/>
      <c r="Z69" s="303"/>
      <c r="AA69" s="303"/>
      <c r="AB69" s="303"/>
      <c r="AC69" s="303"/>
      <c r="AD69" s="303"/>
      <c r="AE69" s="303"/>
      <c r="AF69" s="303"/>
      <c r="AG69" s="303"/>
      <c r="AH69" s="303"/>
      <c r="AJ69" s="306"/>
      <c r="AK69" s="306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R69" s="315"/>
      <c r="BS69" s="315"/>
      <c r="BT69" s="316"/>
      <c r="BU69" s="316"/>
      <c r="BV69" s="316"/>
      <c r="BW69" s="316"/>
      <c r="BX69" s="316"/>
      <c r="BY69" s="316"/>
      <c r="BZ69" s="316"/>
      <c r="CA69" s="316"/>
      <c r="CB69" s="316"/>
      <c r="CC69" s="316"/>
      <c r="CD69" s="316"/>
      <c r="CE69" s="316"/>
      <c r="CF69" s="316"/>
      <c r="CG69" s="316"/>
      <c r="CH69" s="316"/>
      <c r="CI69" s="316"/>
      <c r="CJ69" s="316"/>
      <c r="CK69" s="316"/>
      <c r="CL69" s="316"/>
      <c r="CM69" s="316"/>
      <c r="CN69" s="316"/>
      <c r="CO69" s="316"/>
      <c r="CP69" s="316"/>
      <c r="CQ69" s="316"/>
      <c r="CR69" s="316"/>
      <c r="CS69" s="316"/>
      <c r="CT69" s="316"/>
      <c r="CU69" s="316"/>
      <c r="CV69" s="316"/>
      <c r="CW69" s="316"/>
      <c r="CX69" s="316"/>
      <c r="CZ69" s="337"/>
      <c r="DA69" s="337"/>
      <c r="DB69" s="341"/>
      <c r="DC69" s="341"/>
      <c r="DD69" s="341"/>
      <c r="DE69" s="341"/>
      <c r="DF69" s="341"/>
      <c r="DG69" s="341"/>
      <c r="DH69" s="341"/>
      <c r="DI69" s="341"/>
      <c r="DJ69" s="341"/>
      <c r="DK69" s="341"/>
      <c r="DL69" s="341"/>
      <c r="DM69" s="341"/>
      <c r="DN69" s="341"/>
      <c r="DO69" s="341"/>
      <c r="DP69" s="341"/>
      <c r="DQ69" s="341"/>
      <c r="DR69" s="341"/>
      <c r="DS69" s="341"/>
      <c r="DT69" s="341"/>
      <c r="DU69" s="341"/>
      <c r="DV69" s="341"/>
      <c r="DW69" s="341"/>
      <c r="DX69" s="341"/>
      <c r="DY69" s="341"/>
      <c r="DZ69" s="341"/>
      <c r="EA69" s="341"/>
      <c r="EB69" s="341"/>
      <c r="EC69" s="341"/>
      <c r="ED69" s="341"/>
      <c r="EE69" s="341"/>
      <c r="EF69" s="341"/>
      <c r="EH69" s="347"/>
      <c r="EI69" s="347"/>
      <c r="EJ69" s="348"/>
      <c r="EK69" s="348"/>
      <c r="EL69" s="348"/>
      <c r="EM69" s="348"/>
      <c r="EN69" s="348"/>
      <c r="EO69" s="348"/>
      <c r="EP69" s="348"/>
      <c r="EQ69" s="348"/>
      <c r="ER69" s="348"/>
      <c r="ES69" s="348"/>
      <c r="ET69" s="348"/>
      <c r="EU69" s="348"/>
      <c r="EV69" s="348"/>
      <c r="EW69" s="348"/>
      <c r="EX69" s="348"/>
      <c r="EY69" s="348"/>
      <c r="EZ69" s="348"/>
      <c r="FA69" s="348"/>
      <c r="FB69" s="348"/>
      <c r="FC69" s="348"/>
      <c r="FD69" s="348"/>
      <c r="FE69" s="348"/>
      <c r="FF69" s="348"/>
      <c r="FG69" s="348"/>
      <c r="FH69" s="348"/>
      <c r="FI69" s="348"/>
      <c r="FJ69" s="348"/>
      <c r="FK69" s="348"/>
      <c r="FL69" s="348"/>
      <c r="FM69" s="348"/>
      <c r="FN69" s="348"/>
      <c r="FP69" s="358"/>
      <c r="FQ69" s="358"/>
      <c r="FR69" s="359"/>
      <c r="FS69" s="359"/>
      <c r="FT69" s="359"/>
      <c r="FU69" s="359"/>
      <c r="FV69" s="359"/>
      <c r="FW69" s="359"/>
      <c r="FX69" s="359"/>
      <c r="FY69" s="359"/>
      <c r="FZ69" s="359"/>
      <c r="GA69" s="359"/>
      <c r="GB69" s="359"/>
      <c r="GC69" s="359"/>
      <c r="GD69" s="359"/>
      <c r="GE69" s="359"/>
      <c r="GF69" s="359"/>
      <c r="GG69" s="359"/>
      <c r="GH69" s="359"/>
      <c r="GI69" s="359"/>
      <c r="GJ69" s="359"/>
      <c r="GK69" s="359"/>
      <c r="GL69" s="359"/>
      <c r="GM69" s="359"/>
      <c r="GN69" s="359"/>
      <c r="GO69" s="359"/>
      <c r="GP69" s="359"/>
      <c r="GQ69" s="359"/>
      <c r="GR69" s="359"/>
      <c r="GS69" s="359"/>
      <c r="GT69" s="359"/>
      <c r="GU69" s="359"/>
      <c r="GV69" s="359"/>
      <c r="GX69" s="368" t="s">
        <v>623</v>
      </c>
      <c r="GY69" s="368"/>
      <c r="GZ69" s="369"/>
      <c r="HA69" s="369"/>
      <c r="HB69" s="369"/>
      <c r="HC69" s="369"/>
      <c r="HD69" s="369"/>
      <c r="HE69" s="369"/>
      <c r="HF69" s="369"/>
      <c r="HG69" s="369"/>
      <c r="HH69" s="369"/>
      <c r="HI69" s="369"/>
      <c r="HJ69" s="369"/>
      <c r="HK69" s="369"/>
      <c r="HL69" s="369"/>
      <c r="HM69" s="375"/>
      <c r="HN69" s="369"/>
      <c r="HO69" s="375"/>
      <c r="HP69" s="369"/>
      <c r="HQ69" s="369"/>
      <c r="HR69" s="369"/>
      <c r="HS69" s="369"/>
      <c r="HT69" s="369"/>
      <c r="HU69" s="369"/>
      <c r="HV69" s="369"/>
      <c r="HW69" s="369"/>
      <c r="HX69" s="369"/>
      <c r="HY69" s="376"/>
      <c r="HZ69" s="376"/>
      <c r="IA69" s="375"/>
      <c r="IB69" s="376"/>
      <c r="IC69" s="375">
        <v>0</v>
      </c>
      <c r="ID69" s="376">
        <f t="shared" si="15"/>
        <v>0</v>
      </c>
      <c r="IF69" s="380"/>
      <c r="IG69" s="380"/>
      <c r="IH69" s="380"/>
      <c r="II69" s="380"/>
      <c r="IJ69" s="380"/>
      <c r="IK69" s="380"/>
      <c r="IL69" s="380"/>
      <c r="IM69" s="380"/>
      <c r="IN69" s="380"/>
      <c r="IO69" s="380"/>
      <c r="IP69" s="380"/>
      <c r="IQ69" s="380"/>
      <c r="IR69" s="380"/>
      <c r="IS69" s="380"/>
      <c r="IT69" s="380"/>
      <c r="IU69" s="380"/>
      <c r="IV69" s="380"/>
      <c r="IW69" s="380"/>
      <c r="IX69" s="380"/>
      <c r="IY69" s="380"/>
      <c r="IZ69" s="380"/>
      <c r="JA69" s="380"/>
      <c r="JB69" s="380"/>
      <c r="JC69" s="380"/>
      <c r="JD69" s="380"/>
      <c r="JE69" s="380"/>
      <c r="JF69" s="380"/>
      <c r="JG69" s="380"/>
      <c r="JH69" s="380"/>
      <c r="JI69" s="380"/>
      <c r="JJ69" s="380"/>
      <c r="JK69" s="380"/>
      <c r="JL69" s="380"/>
      <c r="JN69" s="37"/>
      <c r="JO69" s="37"/>
      <c r="JP69" s="37"/>
      <c r="JQ69" s="382"/>
      <c r="JR69" s="382"/>
      <c r="JS69" s="382"/>
      <c r="JT69" s="382"/>
      <c r="JU69" s="382"/>
      <c r="JV69" s="382"/>
      <c r="JW69" s="386"/>
      <c r="JX69" s="386"/>
      <c r="JY69" s="386"/>
      <c r="JZ69" s="386"/>
      <c r="KA69" s="386"/>
      <c r="KB69" s="386"/>
      <c r="KC69" s="386"/>
      <c r="KD69" s="386"/>
      <c r="KE69" s="386"/>
      <c r="KF69" s="386"/>
      <c r="KG69" s="393"/>
      <c r="KH69" s="386"/>
      <c r="KI69" s="386"/>
      <c r="KJ69" s="386"/>
      <c r="KK69" s="386"/>
      <c r="KL69" s="386"/>
      <c r="KM69" s="386"/>
      <c r="KN69" s="386"/>
      <c r="KO69" s="386"/>
      <c r="KP69" s="386"/>
      <c r="KQ69" s="386"/>
      <c r="KR69" s="386"/>
      <c r="KS69" s="396"/>
      <c r="KT69" s="396"/>
      <c r="KU69" s="396"/>
      <c r="KV69" s="396"/>
      <c r="KW69" s="396"/>
      <c r="KX69" s="396"/>
      <c r="KY69" s="396"/>
    </row>
    <row r="70" spans="2:311">
      <c r="B70" s="279"/>
      <c r="C70" s="279"/>
      <c r="D70" s="280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J70" s="306"/>
      <c r="AK70" s="306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R70" s="315"/>
      <c r="BS70" s="315"/>
      <c r="BT70" s="316"/>
      <c r="BU70" s="316"/>
      <c r="BV70" s="316"/>
      <c r="BW70" s="316"/>
      <c r="BX70" s="316"/>
      <c r="BY70" s="316"/>
      <c r="BZ70" s="316"/>
      <c r="CA70" s="316"/>
      <c r="CB70" s="316"/>
      <c r="CC70" s="316"/>
      <c r="CD70" s="316"/>
      <c r="CE70" s="316"/>
      <c r="CF70" s="316"/>
      <c r="CG70" s="316"/>
      <c r="CH70" s="316"/>
      <c r="CI70" s="316"/>
      <c r="CJ70" s="316"/>
      <c r="CK70" s="316"/>
      <c r="CL70" s="316"/>
      <c r="CM70" s="316"/>
      <c r="CN70" s="316"/>
      <c r="CO70" s="316"/>
      <c r="CP70" s="316"/>
      <c r="CQ70" s="316"/>
      <c r="CR70" s="316"/>
      <c r="CS70" s="316"/>
      <c r="CT70" s="316"/>
      <c r="CU70" s="316"/>
      <c r="CV70" s="316"/>
      <c r="CW70" s="316"/>
      <c r="CX70" s="316"/>
      <c r="CZ70" s="337"/>
      <c r="DA70" s="337"/>
      <c r="DB70" s="341"/>
      <c r="DC70" s="341"/>
      <c r="DD70" s="341"/>
      <c r="DE70" s="341"/>
      <c r="DF70" s="341"/>
      <c r="DG70" s="341"/>
      <c r="DH70" s="341"/>
      <c r="DI70" s="341"/>
      <c r="DJ70" s="341"/>
      <c r="DK70" s="341"/>
      <c r="DL70" s="341"/>
      <c r="DM70" s="341"/>
      <c r="DN70" s="341"/>
      <c r="DO70" s="341"/>
      <c r="DP70" s="341"/>
      <c r="DQ70" s="341"/>
      <c r="DR70" s="341"/>
      <c r="DS70" s="341"/>
      <c r="DT70" s="341"/>
      <c r="DU70" s="341"/>
      <c r="DV70" s="341"/>
      <c r="DW70" s="341"/>
      <c r="DX70" s="341"/>
      <c r="DY70" s="341"/>
      <c r="DZ70" s="341"/>
      <c r="EA70" s="341"/>
      <c r="EB70" s="341"/>
      <c r="EC70" s="341"/>
      <c r="ED70" s="341"/>
      <c r="EE70" s="341"/>
      <c r="EF70" s="341"/>
      <c r="EH70" s="347"/>
      <c r="EI70" s="347"/>
      <c r="EJ70" s="348"/>
      <c r="EK70" s="348"/>
      <c r="EL70" s="348"/>
      <c r="EM70" s="348"/>
      <c r="EN70" s="348"/>
      <c r="EO70" s="348"/>
      <c r="EP70" s="348"/>
      <c r="EQ70" s="348"/>
      <c r="ER70" s="348"/>
      <c r="ES70" s="348"/>
      <c r="ET70" s="348"/>
      <c r="EU70" s="348"/>
      <c r="EV70" s="348"/>
      <c r="EW70" s="348"/>
      <c r="EX70" s="348"/>
      <c r="EY70" s="348"/>
      <c r="EZ70" s="348"/>
      <c r="FA70" s="348"/>
      <c r="FB70" s="348"/>
      <c r="FC70" s="348"/>
      <c r="FD70" s="348"/>
      <c r="FE70" s="348"/>
      <c r="FF70" s="348"/>
      <c r="FG70" s="348"/>
      <c r="FH70" s="348"/>
      <c r="FI70" s="348"/>
      <c r="FJ70" s="348"/>
      <c r="FK70" s="348"/>
      <c r="FL70" s="348"/>
      <c r="FM70" s="348"/>
      <c r="FN70" s="348"/>
      <c r="FP70" s="358"/>
      <c r="FQ70" s="358"/>
      <c r="FR70" s="359"/>
      <c r="FS70" s="359"/>
      <c r="FT70" s="359"/>
      <c r="FU70" s="359"/>
      <c r="FV70" s="359"/>
      <c r="FW70" s="359"/>
      <c r="FX70" s="359"/>
      <c r="FY70" s="359"/>
      <c r="FZ70" s="359"/>
      <c r="GA70" s="359"/>
      <c r="GB70" s="359"/>
      <c r="GC70" s="359"/>
      <c r="GD70" s="359"/>
      <c r="GE70" s="359"/>
      <c r="GF70" s="359"/>
      <c r="GG70" s="359"/>
      <c r="GH70" s="359"/>
      <c r="GI70" s="359"/>
      <c r="GJ70" s="359"/>
      <c r="GK70" s="359"/>
      <c r="GL70" s="359"/>
      <c r="GM70" s="359"/>
      <c r="GN70" s="359"/>
      <c r="GO70" s="359"/>
      <c r="GP70" s="359"/>
      <c r="GQ70" s="359"/>
      <c r="GR70" s="359"/>
      <c r="GS70" s="359"/>
      <c r="GT70" s="359"/>
      <c r="GU70" s="359"/>
      <c r="GV70" s="359"/>
      <c r="GX70" s="368" t="s">
        <v>493</v>
      </c>
      <c r="GY70" s="368"/>
      <c r="GZ70" s="369"/>
      <c r="HA70" s="369"/>
      <c r="HB70" s="369"/>
      <c r="HC70" s="369"/>
      <c r="HD70" s="369"/>
      <c r="HE70" s="369"/>
      <c r="HF70" s="369"/>
      <c r="HG70" s="369"/>
      <c r="HH70" s="369"/>
      <c r="HI70" s="376"/>
      <c r="HJ70" s="376"/>
      <c r="HK70" s="369"/>
      <c r="HL70" s="369"/>
      <c r="HM70" s="375"/>
      <c r="HN70" s="369"/>
      <c r="HO70" s="375"/>
      <c r="HP70" s="369"/>
      <c r="HQ70" s="369"/>
      <c r="HR70" s="369"/>
      <c r="HS70" s="369"/>
      <c r="HT70" s="369"/>
      <c r="HU70" s="369"/>
      <c r="HV70" s="369"/>
      <c r="HW70" s="369"/>
      <c r="HX70" s="369"/>
      <c r="HY70" s="376"/>
      <c r="HZ70" s="376"/>
      <c r="IA70" s="375"/>
      <c r="IB70" s="376"/>
      <c r="IC70" s="375">
        <v>0</v>
      </c>
      <c r="ID70" s="376">
        <f t="shared" si="15"/>
        <v>0</v>
      </c>
      <c r="IF70" s="380"/>
      <c r="IG70" s="380"/>
      <c r="IH70" s="380"/>
      <c r="II70" s="380"/>
      <c r="IJ70" s="380"/>
      <c r="IK70" s="380"/>
      <c r="IL70" s="380"/>
      <c r="IM70" s="380"/>
      <c r="IN70" s="380"/>
      <c r="IO70" s="380"/>
      <c r="IP70" s="380"/>
      <c r="IQ70" s="380"/>
      <c r="IR70" s="380"/>
      <c r="IS70" s="380"/>
      <c r="IT70" s="380"/>
      <c r="IU70" s="380"/>
      <c r="IV70" s="380"/>
      <c r="IW70" s="380"/>
      <c r="IX70" s="380"/>
      <c r="IY70" s="380"/>
      <c r="IZ70" s="380"/>
      <c r="JA70" s="380"/>
      <c r="JB70" s="380"/>
      <c r="JC70" s="380"/>
      <c r="JD70" s="380"/>
      <c r="JE70" s="380"/>
      <c r="JF70" s="380"/>
      <c r="JG70" s="380"/>
      <c r="JH70" s="380"/>
      <c r="JI70" s="380"/>
      <c r="JJ70" s="380"/>
      <c r="JK70" s="380"/>
      <c r="JL70" s="380"/>
      <c r="JN70" s="37"/>
      <c r="JO70" s="37"/>
      <c r="JP70" s="37"/>
      <c r="JQ70" s="382"/>
      <c r="JR70" s="382"/>
      <c r="JS70" s="382"/>
      <c r="JT70" s="382"/>
      <c r="JU70" s="382"/>
      <c r="JV70" s="382"/>
      <c r="JW70" s="386"/>
      <c r="JX70" s="386"/>
      <c r="JY70" s="386"/>
      <c r="JZ70" s="386"/>
      <c r="KA70" s="386"/>
      <c r="KB70" s="386"/>
      <c r="KC70" s="386"/>
      <c r="KD70" s="386"/>
      <c r="KE70" s="386"/>
      <c r="KF70" s="386"/>
      <c r="KG70" s="393"/>
      <c r="KH70" s="386"/>
      <c r="KI70" s="386"/>
      <c r="KJ70" s="386"/>
      <c r="KK70" s="386"/>
      <c r="KL70" s="386"/>
      <c r="KM70" s="386"/>
      <c r="KN70" s="386"/>
      <c r="KO70" s="386"/>
      <c r="KP70" s="386"/>
      <c r="KQ70" s="386"/>
      <c r="KR70" s="386"/>
      <c r="KS70" s="396"/>
      <c r="KT70" s="396"/>
      <c r="KU70" s="396"/>
      <c r="KV70" s="396"/>
      <c r="KW70" s="396"/>
      <c r="KX70" s="396"/>
      <c r="KY70" s="396"/>
    </row>
    <row r="71" spans="3:311">
      <c r="C71" s="293" t="s">
        <v>58</v>
      </c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  <c r="P71" s="280"/>
      <c r="Q71" s="400"/>
      <c r="R71" s="280"/>
      <c r="S71" s="400"/>
      <c r="T71" s="280"/>
      <c r="U71" s="400"/>
      <c r="V71" s="280"/>
      <c r="W71" s="400"/>
      <c r="X71" s="280"/>
      <c r="Y71" s="400"/>
      <c r="Z71" s="280"/>
      <c r="AA71" s="400"/>
      <c r="AB71" s="280"/>
      <c r="AC71" s="400"/>
      <c r="AD71" s="280"/>
      <c r="AE71" s="400"/>
      <c r="AF71" s="280"/>
      <c r="AG71" s="400">
        <f ca="1">SUM(AG11:AG68)</f>
        <v>1661554.54</v>
      </c>
      <c r="AH71" s="280"/>
      <c r="AJ71" s="313" t="s">
        <v>58</v>
      </c>
      <c r="AK71" s="313" t="s">
        <v>58</v>
      </c>
      <c r="AL71" s="423"/>
      <c r="AM71" s="423"/>
      <c r="AN71" s="423"/>
      <c r="AO71" s="423"/>
      <c r="AP71" s="423"/>
      <c r="AQ71" s="423"/>
      <c r="AR71" s="423"/>
      <c r="AS71" s="423"/>
      <c r="AT71" s="423"/>
      <c r="AU71" s="423"/>
      <c r="AV71" s="423"/>
      <c r="AW71" s="423"/>
      <c r="AX71" s="423"/>
      <c r="AY71" s="423"/>
      <c r="AZ71" s="423"/>
      <c r="BA71" s="423"/>
      <c r="BB71" s="423"/>
      <c r="BC71" s="423"/>
      <c r="BD71" s="423"/>
      <c r="BE71" s="423"/>
      <c r="BF71" s="423"/>
      <c r="BG71" s="423"/>
      <c r="BH71" s="423"/>
      <c r="BI71" s="423"/>
      <c r="BJ71" s="423"/>
      <c r="BK71" s="423"/>
      <c r="BL71" s="423"/>
      <c r="BM71" s="423"/>
      <c r="BN71" s="423"/>
      <c r="BO71" s="423">
        <f ca="1">SUM(BO11:BO65)</f>
        <v>37534.54</v>
      </c>
      <c r="BP71" s="423"/>
      <c r="BR71" s="323" t="s">
        <v>58</v>
      </c>
      <c r="BS71" s="323"/>
      <c r="BT71" s="424"/>
      <c r="BU71" s="424"/>
      <c r="BV71" s="424"/>
      <c r="BW71" s="424"/>
      <c r="BX71" s="424"/>
      <c r="BY71" s="424"/>
      <c r="BZ71" s="424"/>
      <c r="CA71" s="424"/>
      <c r="CB71" s="424"/>
      <c r="CC71" s="424"/>
      <c r="CD71" s="424"/>
      <c r="CE71" s="424"/>
      <c r="CF71" s="424"/>
      <c r="CG71" s="424"/>
      <c r="CH71" s="424"/>
      <c r="CI71" s="424"/>
      <c r="CJ71" s="424"/>
      <c r="CK71" s="424"/>
      <c r="CL71" s="424"/>
      <c r="CM71" s="424"/>
      <c r="CN71" s="424"/>
      <c r="CO71" s="424"/>
      <c r="CP71" s="424"/>
      <c r="CQ71" s="424"/>
      <c r="CR71" s="424"/>
      <c r="CS71" s="424"/>
      <c r="CT71" s="424"/>
      <c r="CU71" s="424"/>
      <c r="CV71" s="424"/>
      <c r="CW71" s="424">
        <f ca="1">SUM(CW11:CW65)</f>
        <v>5161807.2</v>
      </c>
      <c r="CX71" s="424"/>
      <c r="CZ71" s="338" t="s">
        <v>58</v>
      </c>
      <c r="DA71" s="338"/>
      <c r="DB71" s="425"/>
      <c r="DC71" s="425"/>
      <c r="DD71" s="425"/>
      <c r="DE71" s="425"/>
      <c r="DF71" s="425"/>
      <c r="DG71" s="425"/>
      <c r="DH71" s="425"/>
      <c r="DI71" s="425"/>
      <c r="DJ71" s="425"/>
      <c r="DK71" s="425"/>
      <c r="DL71" s="425"/>
      <c r="DM71" s="425"/>
      <c r="DN71" s="425"/>
      <c r="DO71" s="425"/>
      <c r="DP71" s="425"/>
      <c r="DQ71" s="425"/>
      <c r="DR71" s="425"/>
      <c r="DS71" s="425"/>
      <c r="DT71" s="425"/>
      <c r="DU71" s="425"/>
      <c r="DV71" s="425"/>
      <c r="DW71" s="425"/>
      <c r="DX71" s="425"/>
      <c r="DY71" s="425"/>
      <c r="DZ71" s="425"/>
      <c r="EA71" s="425"/>
      <c r="EB71" s="425"/>
      <c r="EC71" s="425"/>
      <c r="ED71" s="425"/>
      <c r="EE71" s="425">
        <f ca="1">SUM(EE11:EE65)</f>
        <v>0</v>
      </c>
      <c r="EF71" s="425"/>
      <c r="EH71" s="353" t="s">
        <v>58</v>
      </c>
      <c r="EI71" s="353"/>
      <c r="EJ71" s="426"/>
      <c r="EK71" s="426"/>
      <c r="EL71" s="426"/>
      <c r="EM71" s="426"/>
      <c r="EN71" s="426"/>
      <c r="EO71" s="426"/>
      <c r="EP71" s="426"/>
      <c r="EQ71" s="426"/>
      <c r="ER71" s="426"/>
      <c r="ES71" s="426"/>
      <c r="ET71" s="426"/>
      <c r="EU71" s="426"/>
      <c r="EV71" s="426"/>
      <c r="EW71" s="426"/>
      <c r="EX71" s="426"/>
      <c r="EY71" s="426"/>
      <c r="EZ71" s="426"/>
      <c r="FA71" s="426"/>
      <c r="FB71" s="426"/>
      <c r="FC71" s="426"/>
      <c r="FD71" s="426"/>
      <c r="FE71" s="426"/>
      <c r="FF71" s="426"/>
      <c r="FG71" s="426"/>
      <c r="FH71" s="426"/>
      <c r="FI71" s="426"/>
      <c r="FJ71" s="426"/>
      <c r="FK71" s="426"/>
      <c r="FL71" s="426"/>
      <c r="FM71" s="426">
        <f ca="1">SUM(FM11:FM70)</f>
        <v>2496874.71</v>
      </c>
      <c r="FN71" s="426"/>
      <c r="FP71" s="364" t="s">
        <v>58</v>
      </c>
      <c r="FQ71" s="364"/>
      <c r="FR71" s="427"/>
      <c r="FS71" s="427"/>
      <c r="FT71" s="427"/>
      <c r="FU71" s="427"/>
      <c r="FV71" s="427"/>
      <c r="FW71" s="427"/>
      <c r="FX71" s="427"/>
      <c r="FY71" s="427"/>
      <c r="FZ71" s="427"/>
      <c r="GA71" s="427"/>
      <c r="GB71" s="427"/>
      <c r="GC71" s="427"/>
      <c r="GD71" s="427"/>
      <c r="GE71" s="427"/>
      <c r="GF71" s="427"/>
      <c r="GG71" s="427"/>
      <c r="GH71" s="427"/>
      <c r="GI71" s="427"/>
      <c r="GJ71" s="427"/>
      <c r="GK71" s="427"/>
      <c r="GL71" s="427"/>
      <c r="GM71" s="427"/>
      <c r="GN71" s="427"/>
      <c r="GO71" s="427"/>
      <c r="GP71" s="427"/>
      <c r="GQ71" s="427"/>
      <c r="GR71" s="427"/>
      <c r="GS71" s="427"/>
      <c r="GT71" s="427"/>
      <c r="GU71" s="427">
        <f ca="1">SUM(GU11:GU70)</f>
        <v>942261.38</v>
      </c>
      <c r="GV71" s="427"/>
      <c r="GX71" s="371" t="s">
        <v>58</v>
      </c>
      <c r="GY71" s="371"/>
      <c r="GZ71" s="380"/>
      <c r="HA71" s="380"/>
      <c r="HB71" s="380"/>
      <c r="HC71" s="380"/>
      <c r="HD71" s="380"/>
      <c r="HE71" s="380"/>
      <c r="HF71" s="380"/>
      <c r="HG71" s="380"/>
      <c r="HH71" s="380"/>
      <c r="HI71" s="380"/>
      <c r="HJ71" s="380"/>
      <c r="HK71" s="380"/>
      <c r="HL71" s="380"/>
      <c r="HM71" s="380"/>
      <c r="HN71" s="380"/>
      <c r="HO71" s="380"/>
      <c r="HP71" s="380"/>
      <c r="HQ71" s="380"/>
      <c r="HR71" s="380"/>
      <c r="HS71" s="380"/>
      <c r="HT71" s="380"/>
      <c r="HU71" s="380"/>
      <c r="HV71" s="380"/>
      <c r="HW71" s="380"/>
      <c r="HX71" s="380"/>
      <c r="HY71" s="380"/>
      <c r="HZ71" s="380"/>
      <c r="IA71" s="380"/>
      <c r="IB71" s="380"/>
      <c r="IC71" s="380">
        <f ca="1">SUM(IC11:IC70)</f>
        <v>5759959.91</v>
      </c>
      <c r="ID71" s="380"/>
      <c r="IF71" s="371" t="s">
        <v>58</v>
      </c>
      <c r="IG71" s="371"/>
      <c r="IH71" s="380"/>
      <c r="II71" s="380"/>
      <c r="IJ71" s="380"/>
      <c r="IK71" s="380"/>
      <c r="IL71" s="380"/>
      <c r="IM71" s="380"/>
      <c r="IN71" s="380"/>
      <c r="IO71" s="380"/>
      <c r="IP71" s="380"/>
      <c r="IQ71" s="380"/>
      <c r="IR71" s="380"/>
      <c r="IS71" s="380"/>
      <c r="IT71" s="380"/>
      <c r="IU71" s="380"/>
      <c r="IV71" s="380"/>
      <c r="IW71" s="380"/>
      <c r="IX71" s="380"/>
      <c r="IY71" s="380"/>
      <c r="IZ71" s="380"/>
      <c r="JA71" s="380"/>
      <c r="JB71" s="380"/>
      <c r="JC71" s="380"/>
      <c r="JD71" s="380"/>
      <c r="JE71" s="380"/>
      <c r="JF71" s="380"/>
      <c r="JG71" s="380"/>
      <c r="JH71" s="380"/>
      <c r="JI71" s="380"/>
      <c r="JJ71" s="380"/>
      <c r="JK71" s="380">
        <f>JK28+JK46</f>
        <v>2202179.15</v>
      </c>
      <c r="JL71" s="380">
        <f>JL28+JL46</f>
        <v>0</v>
      </c>
      <c r="JN71" s="431" t="s">
        <v>624</v>
      </c>
      <c r="JO71" s="431" t="s">
        <v>624</v>
      </c>
      <c r="JP71" s="431"/>
      <c r="JQ71" s="432"/>
      <c r="JR71" s="432"/>
      <c r="JS71" s="432"/>
      <c r="JT71" s="432"/>
      <c r="JU71" s="432"/>
      <c r="JV71" s="432"/>
      <c r="JW71" s="432"/>
      <c r="JX71" s="432"/>
      <c r="JY71" s="432"/>
      <c r="JZ71" s="432"/>
      <c r="KA71" s="432"/>
      <c r="KB71" s="432"/>
      <c r="KC71" s="432"/>
      <c r="KD71" s="432"/>
      <c r="KE71" s="432"/>
      <c r="KF71" s="432">
        <f ca="1" t="shared" ref="KF71" si="16">SUM(KF11:KF70)</f>
        <v>8581606.64</v>
      </c>
      <c r="KG71" s="433"/>
      <c r="KH71" s="432"/>
      <c r="KI71" s="432"/>
      <c r="KJ71" s="432"/>
      <c r="KK71" s="432"/>
      <c r="KL71" s="432"/>
      <c r="KM71" s="432"/>
      <c r="KN71" s="432"/>
      <c r="KO71" s="432"/>
      <c r="KP71" s="432"/>
      <c r="KQ71" s="432"/>
      <c r="KR71" s="432"/>
      <c r="KS71" s="435"/>
      <c r="KT71" s="435"/>
      <c r="KU71" s="435"/>
      <c r="KV71" s="435"/>
      <c r="KW71" s="435"/>
      <c r="KX71" s="435"/>
      <c r="KY71" s="435">
        <f ca="1" t="shared" ref="KY71" si="17">SUM(KY11:KY69)</f>
        <v>1542790.91</v>
      </c>
    </row>
    <row r="72" spans="4:272">
      <c r="D72" s="401"/>
      <c r="E72" s="401"/>
      <c r="F72" s="401"/>
      <c r="G72" s="401"/>
      <c r="H72" s="401"/>
      <c r="I72" s="402"/>
      <c r="J72" s="403"/>
      <c r="K72" s="404"/>
      <c r="L72" s="405"/>
      <c r="M72" s="405"/>
      <c r="N72" s="405"/>
      <c r="O72" s="405"/>
      <c r="P72" s="405"/>
      <c r="Q72" s="405"/>
      <c r="R72" s="405"/>
      <c r="S72" s="405"/>
      <c r="T72" s="416"/>
      <c r="U72" s="417"/>
      <c r="V72" s="417"/>
      <c r="W72" s="417"/>
      <c r="X72" s="417"/>
      <c r="Y72" s="417"/>
      <c r="Z72" s="417"/>
      <c r="AA72" s="417"/>
      <c r="AB72" s="417"/>
      <c r="AC72" s="417"/>
      <c r="AD72" s="417"/>
      <c r="AE72" s="417"/>
      <c r="AF72" s="417"/>
      <c r="AG72" s="417"/>
      <c r="AH72" s="417"/>
      <c r="HK72" s="299"/>
      <c r="IF72" s="401"/>
      <c r="IG72" s="401"/>
      <c r="IH72" s="401"/>
      <c r="II72" s="401"/>
      <c r="IJ72" s="401"/>
      <c r="IK72" s="401"/>
      <c r="IL72" s="401"/>
      <c r="IM72" s="401"/>
      <c r="IN72" s="401"/>
      <c r="IO72" s="401"/>
      <c r="IP72" s="401"/>
      <c r="IQ72" s="401"/>
      <c r="IR72" s="401"/>
      <c r="IS72" s="401"/>
      <c r="IT72" s="401"/>
      <c r="IU72" s="401"/>
      <c r="IV72" s="401"/>
      <c r="IW72" s="401"/>
      <c r="IX72" s="401"/>
      <c r="IY72" s="401"/>
      <c r="IZ72" s="401"/>
      <c r="JA72" s="401"/>
      <c r="JB72" s="401"/>
      <c r="JC72" s="401"/>
      <c r="JD72" s="401"/>
      <c r="JE72" s="401"/>
      <c r="JF72" s="401"/>
      <c r="JG72" s="401"/>
      <c r="JH72" s="401"/>
      <c r="JI72" s="401"/>
      <c r="JJ72" s="401"/>
      <c r="JK72" s="401"/>
      <c r="JL72" s="401"/>
    </row>
    <row r="73" spans="4:311">
      <c r="D73" s="401"/>
      <c r="E73" s="401"/>
      <c r="F73" s="401"/>
      <c r="G73" s="401"/>
      <c r="H73" s="401"/>
      <c r="I73" s="402"/>
      <c r="J73" s="403"/>
      <c r="K73" s="404"/>
      <c r="L73" s="405"/>
      <c r="M73" s="405"/>
      <c r="N73" s="405"/>
      <c r="O73" s="405"/>
      <c r="P73" s="405"/>
      <c r="Q73" s="405"/>
      <c r="R73" s="405"/>
      <c r="S73" s="405"/>
      <c r="T73" s="416"/>
      <c r="U73" s="418"/>
      <c r="V73" s="418"/>
      <c r="W73" s="418"/>
      <c r="X73" s="418"/>
      <c r="Y73" s="418"/>
      <c r="Z73" s="418"/>
      <c r="AA73" s="418"/>
      <c r="AB73" s="418"/>
      <c r="AC73" s="418"/>
      <c r="AD73" s="418"/>
      <c r="AE73" s="418"/>
      <c r="AF73" s="418"/>
      <c r="AG73" s="418"/>
      <c r="AH73" s="418"/>
      <c r="AI73" s="401"/>
      <c r="AJ73" s="401"/>
      <c r="AK73" s="401"/>
      <c r="AL73" s="401"/>
      <c r="AM73" s="401"/>
      <c r="AN73" s="401"/>
      <c r="AO73" s="401"/>
      <c r="AP73" s="401"/>
      <c r="AQ73" s="401"/>
      <c r="AR73" s="401"/>
      <c r="AS73" s="401"/>
      <c r="AT73" s="401"/>
      <c r="AU73" s="401"/>
      <c r="AV73" s="401"/>
      <c r="AW73" s="401"/>
      <c r="AX73" s="401"/>
      <c r="AY73" s="401"/>
      <c r="AZ73" s="401"/>
      <c r="BA73" s="401"/>
      <c r="BB73" s="401"/>
      <c r="BC73" s="401"/>
      <c r="BD73" s="401"/>
      <c r="BE73" s="401"/>
      <c r="BF73" s="401"/>
      <c r="BG73" s="401"/>
      <c r="BH73" s="401"/>
      <c r="BI73" s="401"/>
      <c r="BJ73" s="401"/>
      <c r="BK73" s="401"/>
      <c r="BL73" s="401"/>
      <c r="BM73" s="401"/>
      <c r="BN73" s="401"/>
      <c r="BO73" s="401"/>
      <c r="BP73" s="401"/>
      <c r="BQ73" s="401"/>
      <c r="BR73" s="401"/>
      <c r="BS73" s="401"/>
      <c r="BT73" s="401"/>
      <c r="BU73" s="401"/>
      <c r="BV73" s="401"/>
      <c r="BW73" s="401"/>
      <c r="BX73" s="401"/>
      <c r="BY73" s="401"/>
      <c r="BZ73" s="401"/>
      <c r="CA73" s="401"/>
      <c r="CB73" s="401"/>
      <c r="CC73" s="401"/>
      <c r="CD73" s="401"/>
      <c r="CE73" s="401"/>
      <c r="CF73" s="401"/>
      <c r="CG73" s="401"/>
      <c r="CH73" s="401"/>
      <c r="CI73" s="401"/>
      <c r="CJ73" s="401"/>
      <c r="CK73" s="401"/>
      <c r="CL73" s="401"/>
      <c r="CM73" s="401"/>
      <c r="CN73" s="401"/>
      <c r="CO73" s="401"/>
      <c r="CQ73" s="401"/>
      <c r="CR73" s="401"/>
      <c r="CS73" s="401"/>
      <c r="CT73" s="401"/>
      <c r="CU73" s="401"/>
      <c r="CV73" s="401"/>
      <c r="CW73" s="401"/>
      <c r="CX73" s="401"/>
      <c r="CY73" s="401"/>
      <c r="CZ73" s="401"/>
      <c r="DA73" s="401"/>
      <c r="DB73" s="401"/>
      <c r="DC73" s="401"/>
      <c r="DD73" s="401"/>
      <c r="DE73" s="401"/>
      <c r="DF73" s="401"/>
      <c r="DG73" s="401"/>
      <c r="DH73" s="401"/>
      <c r="DI73" s="401"/>
      <c r="DJ73" s="401"/>
      <c r="DK73" s="401"/>
      <c r="DL73" s="401"/>
      <c r="DM73" s="401"/>
      <c r="DN73" s="401"/>
      <c r="DO73" s="401"/>
      <c r="DP73" s="401"/>
      <c r="DQ73" s="401"/>
      <c r="DR73" s="401"/>
      <c r="DS73" s="401"/>
      <c r="DT73" s="401"/>
      <c r="DU73" s="401"/>
      <c r="DV73" s="401"/>
      <c r="DW73" s="401"/>
      <c r="DX73" s="401"/>
      <c r="DY73" s="401"/>
      <c r="DZ73" s="401"/>
      <c r="EA73" s="401"/>
      <c r="EB73" s="401"/>
      <c r="EC73" s="401"/>
      <c r="ED73" s="401"/>
      <c r="EE73" s="401"/>
      <c r="EF73" s="401"/>
      <c r="EG73" s="401"/>
      <c r="EH73" s="401"/>
      <c r="EI73" s="401"/>
      <c r="EJ73" s="401"/>
      <c r="EK73" s="401"/>
      <c r="EL73" s="401"/>
      <c r="EM73" s="401"/>
      <c r="EN73" s="401"/>
      <c r="EO73" s="401"/>
      <c r="EP73" s="401"/>
      <c r="EQ73" s="401"/>
      <c r="ER73" s="401"/>
      <c r="ES73" s="401"/>
      <c r="ET73" s="401"/>
      <c r="EU73" s="401"/>
      <c r="EV73" s="401"/>
      <c r="EW73" s="401"/>
      <c r="EX73" s="401"/>
      <c r="EY73" s="401"/>
      <c r="EZ73" s="401"/>
      <c r="FA73" s="401"/>
      <c r="FB73" s="401"/>
      <c r="FC73" s="401"/>
      <c r="FD73" s="401"/>
      <c r="FE73" s="401"/>
      <c r="FF73" s="401"/>
      <c r="FG73" s="401"/>
      <c r="FH73" s="401"/>
      <c r="FI73" s="401"/>
      <c r="FJ73" s="401"/>
      <c r="FK73" s="401"/>
      <c r="FL73" s="401"/>
      <c r="FM73" s="401"/>
      <c r="FN73" s="401"/>
      <c r="FO73" s="401"/>
      <c r="FP73" s="401"/>
      <c r="FQ73" s="401"/>
      <c r="FR73" s="401"/>
      <c r="FS73" s="401"/>
      <c r="FT73" s="401"/>
      <c r="FU73" s="401"/>
      <c r="FV73" s="401"/>
      <c r="FW73" s="401"/>
      <c r="FX73" s="401"/>
      <c r="FY73" s="401"/>
      <c r="FZ73" s="401"/>
      <c r="GA73" s="401"/>
      <c r="GB73" s="401"/>
      <c r="GC73" s="401"/>
      <c r="GD73" s="401"/>
      <c r="GE73" s="401"/>
      <c r="GF73" s="401"/>
      <c r="GG73" s="401"/>
      <c r="GH73" s="401"/>
      <c r="GI73" s="401"/>
      <c r="GJ73" s="401"/>
      <c r="GK73" s="401"/>
      <c r="GL73" s="401"/>
      <c r="GM73" s="401"/>
      <c r="GN73" s="401"/>
      <c r="GO73" s="401"/>
      <c r="GP73" s="401"/>
      <c r="GQ73" s="401"/>
      <c r="GR73" s="401"/>
      <c r="GS73" s="401"/>
      <c r="GT73" s="401"/>
      <c r="GU73" s="401"/>
      <c r="GV73" s="401"/>
      <c r="GW73" s="401"/>
      <c r="GX73" s="401"/>
      <c r="GY73" s="401"/>
      <c r="GZ73" s="401"/>
      <c r="HA73" s="401"/>
      <c r="HB73" s="401"/>
      <c r="HC73" s="401"/>
      <c r="HD73" s="401"/>
      <c r="HE73" s="401"/>
      <c r="HF73" s="401"/>
      <c r="HG73" s="401"/>
      <c r="HH73" s="401"/>
      <c r="HI73" s="401"/>
      <c r="HJ73" s="401"/>
      <c r="HK73" s="401"/>
      <c r="HL73" s="401"/>
      <c r="HM73" s="401"/>
      <c r="HN73" s="401"/>
      <c r="HO73" s="401"/>
      <c r="HP73" s="401"/>
      <c r="HQ73" s="401"/>
      <c r="HR73" s="401"/>
      <c r="HS73" s="401"/>
      <c r="HT73" s="401"/>
      <c r="HU73" s="401"/>
      <c r="HV73" s="401"/>
      <c r="HW73" s="401"/>
      <c r="HX73" s="401"/>
      <c r="HY73" s="401"/>
      <c r="HZ73" s="401"/>
      <c r="IA73" s="401"/>
      <c r="IB73" s="401"/>
      <c r="IC73" s="401"/>
      <c r="ID73" s="401"/>
      <c r="IE73" s="401"/>
      <c r="IF73" s="401"/>
      <c r="IG73" s="401"/>
      <c r="IH73" s="401"/>
      <c r="II73" s="401"/>
      <c r="IJ73" s="401"/>
      <c r="IK73" s="401"/>
      <c r="IL73" s="401"/>
      <c r="IM73" s="401"/>
      <c r="IN73" s="401"/>
      <c r="IO73" s="401"/>
      <c r="IP73" s="401"/>
      <c r="IQ73" s="401"/>
      <c r="IR73" s="401"/>
      <c r="IS73" s="401"/>
      <c r="IT73" s="401"/>
      <c r="IU73" s="401"/>
      <c r="IV73" s="401"/>
      <c r="IW73" s="401"/>
      <c r="IX73" s="401"/>
      <c r="IY73" s="401"/>
      <c r="IZ73" s="401"/>
      <c r="JA73" s="401"/>
      <c r="JB73" s="401"/>
      <c r="JC73" s="401"/>
      <c r="JD73" s="401"/>
      <c r="JE73" s="401"/>
      <c r="JF73" s="401"/>
      <c r="JG73" s="401"/>
      <c r="JH73" s="401"/>
      <c r="JI73" s="401"/>
      <c r="JJ73" s="401"/>
      <c r="JK73" s="401"/>
      <c r="JL73" s="401"/>
      <c r="JM73" s="401"/>
      <c r="JN73" s="401"/>
      <c r="JO73" s="401"/>
      <c r="JP73" s="401"/>
      <c r="JQ73" s="401"/>
      <c r="JR73" s="401"/>
      <c r="JS73" s="401"/>
      <c r="JT73" s="401"/>
      <c r="JU73" s="401"/>
      <c r="JV73" s="401"/>
      <c r="JW73" s="401"/>
      <c r="JX73" s="401"/>
      <c r="JY73" s="401"/>
      <c r="JZ73" s="401"/>
      <c r="KA73" s="401"/>
      <c r="KB73" s="401"/>
      <c r="KC73" s="401"/>
      <c r="KD73" s="401"/>
      <c r="KE73" s="401"/>
      <c r="KF73" s="401"/>
      <c r="KG73" s="434"/>
      <c r="KH73" s="401"/>
      <c r="KI73" s="401"/>
      <c r="KJ73" s="401"/>
      <c r="KK73" s="401"/>
      <c r="KL73" s="401"/>
      <c r="KM73" s="401"/>
      <c r="KN73" s="401"/>
      <c r="KO73" s="401"/>
      <c r="KP73" s="401"/>
      <c r="KQ73" s="401"/>
      <c r="KR73" s="401"/>
      <c r="KS73" s="401"/>
      <c r="KT73" s="436"/>
      <c r="KU73" s="436"/>
      <c r="KV73" s="436"/>
      <c r="KW73" s="436"/>
      <c r="KX73" s="436"/>
      <c r="KY73" s="436"/>
    </row>
    <row r="74" spans="4:311">
      <c r="D74" s="401"/>
      <c r="E74" s="401"/>
      <c r="F74" s="401"/>
      <c r="G74" s="401"/>
      <c r="H74" s="401"/>
      <c r="I74" s="402"/>
      <c r="J74" s="403"/>
      <c r="K74" s="404"/>
      <c r="L74" s="405"/>
      <c r="M74" s="405"/>
      <c r="N74" s="405"/>
      <c r="O74" s="405"/>
      <c r="P74" s="405"/>
      <c r="Q74" s="405"/>
      <c r="R74" s="405"/>
      <c r="S74" s="405"/>
      <c r="T74" s="416"/>
      <c r="U74" s="417"/>
      <c r="V74" s="417"/>
      <c r="W74" s="417"/>
      <c r="X74" s="417"/>
      <c r="Y74" s="417"/>
      <c r="Z74" s="417"/>
      <c r="AA74" s="417"/>
      <c r="AB74" s="417"/>
      <c r="AC74" s="417"/>
      <c r="AD74" s="417"/>
      <c r="AE74" s="417"/>
      <c r="AF74" s="417"/>
      <c r="AG74" s="417"/>
      <c r="AH74" s="417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  <c r="AT74" s="401"/>
      <c r="AU74" s="401"/>
      <c r="AV74" s="401"/>
      <c r="AW74" s="401"/>
      <c r="AX74" s="401"/>
      <c r="AY74" s="401"/>
      <c r="AZ74" s="401"/>
      <c r="BA74" s="401"/>
      <c r="BB74" s="401"/>
      <c r="BC74" s="401"/>
      <c r="BD74" s="401"/>
      <c r="BE74" s="401"/>
      <c r="BF74" s="401"/>
      <c r="BG74" s="401"/>
      <c r="BH74" s="401"/>
      <c r="BI74" s="401"/>
      <c r="BJ74" s="401"/>
      <c r="BK74" s="401"/>
      <c r="BL74" s="401"/>
      <c r="BM74" s="401"/>
      <c r="BN74" s="401"/>
      <c r="BO74" s="401"/>
      <c r="BP74" s="401"/>
      <c r="BQ74" s="401"/>
      <c r="BR74" s="401"/>
      <c r="BS74" s="401"/>
      <c r="BT74" s="401"/>
      <c r="BU74" s="401"/>
      <c r="BV74" s="401"/>
      <c r="BW74" s="401"/>
      <c r="BX74" s="401"/>
      <c r="BY74" s="401"/>
      <c r="BZ74" s="401"/>
      <c r="CA74" s="401"/>
      <c r="CB74" s="401"/>
      <c r="CC74" s="401"/>
      <c r="CD74" s="401"/>
      <c r="CE74" s="401"/>
      <c r="CF74" s="401"/>
      <c r="CG74" s="401"/>
      <c r="CH74" s="401"/>
      <c r="CI74" s="401"/>
      <c r="CJ74" s="401"/>
      <c r="CK74" s="401"/>
      <c r="CL74" s="401"/>
      <c r="CM74" s="401"/>
      <c r="CN74" s="401"/>
      <c r="CO74" s="401"/>
      <c r="CP74" s="401"/>
      <c r="CQ74" s="401"/>
      <c r="CR74" s="401"/>
      <c r="CS74" s="401"/>
      <c r="CT74" s="401"/>
      <c r="CU74" s="401"/>
      <c r="CV74" s="401"/>
      <c r="CW74" s="401"/>
      <c r="CX74" s="401"/>
      <c r="CY74" s="401"/>
      <c r="CZ74" s="401"/>
      <c r="DA74" s="401"/>
      <c r="DB74" s="401"/>
      <c r="DC74" s="401"/>
      <c r="DD74" s="401"/>
      <c r="DE74" s="401"/>
      <c r="DF74" s="401"/>
      <c r="DG74" s="401"/>
      <c r="DH74" s="401"/>
      <c r="DI74" s="401"/>
      <c r="DJ74" s="401"/>
      <c r="DK74" s="401"/>
      <c r="DL74" s="401"/>
      <c r="DM74" s="401"/>
      <c r="DN74" s="401"/>
      <c r="DO74" s="401"/>
      <c r="DP74" s="401"/>
      <c r="DQ74" s="401"/>
      <c r="DR74" s="401"/>
      <c r="DS74" s="401"/>
      <c r="DT74" s="401"/>
      <c r="DU74" s="401"/>
      <c r="DV74" s="401"/>
      <c r="DW74" s="401"/>
      <c r="DX74" s="401"/>
      <c r="DY74" s="401"/>
      <c r="DZ74" s="401"/>
      <c r="EA74" s="401"/>
      <c r="EB74" s="401"/>
      <c r="EC74" s="401"/>
      <c r="ED74" s="401"/>
      <c r="EE74" s="401"/>
      <c r="EF74" s="401"/>
      <c r="EG74" s="401"/>
      <c r="EH74" s="401"/>
      <c r="EI74" s="401"/>
      <c r="EJ74" s="401"/>
      <c r="EK74" s="401"/>
      <c r="EL74" s="401"/>
      <c r="EM74" s="401"/>
      <c r="EN74" s="401"/>
      <c r="EO74" s="401"/>
      <c r="EP74" s="401"/>
      <c r="EQ74" s="401"/>
      <c r="ER74" s="401"/>
      <c r="ES74" s="401"/>
      <c r="ET74" s="401"/>
      <c r="EU74" s="401"/>
      <c r="EV74" s="401"/>
      <c r="EW74" s="401"/>
      <c r="EX74" s="401"/>
      <c r="EY74" s="401"/>
      <c r="EZ74" s="401"/>
      <c r="FA74" s="401"/>
      <c r="FB74" s="401"/>
      <c r="FC74" s="401"/>
      <c r="FD74" s="401"/>
      <c r="FE74" s="401"/>
      <c r="FF74" s="401"/>
      <c r="FG74" s="401"/>
      <c r="FH74" s="401"/>
      <c r="FI74" s="401"/>
      <c r="FJ74" s="401"/>
      <c r="FK74" s="401"/>
      <c r="FL74" s="401"/>
      <c r="FM74" s="401"/>
      <c r="FN74" s="401"/>
      <c r="FO74" s="401"/>
      <c r="FP74" s="401"/>
      <c r="FQ74" s="401"/>
      <c r="FR74" s="401"/>
      <c r="FS74" s="401"/>
      <c r="FT74" s="401"/>
      <c r="FU74" s="401"/>
      <c r="FV74" s="401"/>
      <c r="FW74" s="401"/>
      <c r="FX74" s="401"/>
      <c r="FY74" s="401"/>
      <c r="FZ74" s="401"/>
      <c r="GA74" s="401"/>
      <c r="GB74" s="401"/>
      <c r="GC74" s="401"/>
      <c r="GD74" s="401"/>
      <c r="GE74" s="401"/>
      <c r="GF74" s="401"/>
      <c r="GG74" s="401"/>
      <c r="GH74" s="401"/>
      <c r="GI74" s="401"/>
      <c r="GJ74" s="401"/>
      <c r="GK74" s="401"/>
      <c r="GL74" s="401"/>
      <c r="GM74" s="401"/>
      <c r="GN74" s="401"/>
      <c r="GO74" s="401"/>
      <c r="GP74" s="401"/>
      <c r="GQ74" s="401"/>
      <c r="GR74" s="401"/>
      <c r="GS74" s="401"/>
      <c r="GT74" s="401"/>
      <c r="GU74" s="401"/>
      <c r="GV74" s="401"/>
      <c r="GW74" s="401"/>
      <c r="GX74" s="401"/>
      <c r="GY74" s="401"/>
      <c r="GZ74" s="401"/>
      <c r="HA74" s="401"/>
      <c r="HB74" s="401"/>
      <c r="HC74" s="401"/>
      <c r="HD74" s="401"/>
      <c r="HE74" s="401"/>
      <c r="HF74" s="401"/>
      <c r="HG74" s="401"/>
      <c r="HH74" s="401"/>
      <c r="HI74" s="401"/>
      <c r="HJ74" s="401"/>
      <c r="HK74" s="401"/>
      <c r="HL74" s="401"/>
      <c r="HM74" s="401"/>
      <c r="HN74" s="401"/>
      <c r="HO74" s="401"/>
      <c r="HP74" s="401"/>
      <c r="HQ74" s="401"/>
      <c r="HR74" s="401"/>
      <c r="HS74" s="401"/>
      <c r="HT74" s="401"/>
      <c r="HU74" s="401"/>
      <c r="HV74" s="401"/>
      <c r="HW74" s="401"/>
      <c r="HX74" s="401"/>
      <c r="HY74" s="401"/>
      <c r="HZ74" s="401"/>
      <c r="IA74" s="401"/>
      <c r="IB74" s="401"/>
      <c r="IC74" s="401"/>
      <c r="ID74" s="401"/>
      <c r="IE74" s="401"/>
      <c r="IF74" s="401"/>
      <c r="IG74" s="401"/>
      <c r="IH74" s="401"/>
      <c r="II74" s="401"/>
      <c r="IJ74" s="401"/>
      <c r="IK74" s="401"/>
      <c r="IL74" s="401"/>
      <c r="IM74" s="401"/>
      <c r="IN74" s="401"/>
      <c r="IO74" s="401"/>
      <c r="IP74" s="401"/>
      <c r="IQ74" s="401"/>
      <c r="IR74" s="401"/>
      <c r="IS74" s="401"/>
      <c r="IT74" s="401"/>
      <c r="IU74" s="401"/>
      <c r="IV74" s="401"/>
      <c r="IW74" s="401"/>
      <c r="IX74" s="401"/>
      <c r="IY74" s="401"/>
      <c r="IZ74" s="401"/>
      <c r="JA74" s="401"/>
      <c r="JB74" s="401"/>
      <c r="JC74" s="401"/>
      <c r="JD74" s="401"/>
      <c r="JE74" s="401"/>
      <c r="JF74" s="401"/>
      <c r="JG74" s="401"/>
      <c r="JH74" s="401"/>
      <c r="JI74" s="401"/>
      <c r="JJ74" s="401"/>
      <c r="JK74" s="401"/>
      <c r="JL74" s="401"/>
      <c r="JM74" s="401"/>
      <c r="JN74" s="401"/>
      <c r="JO74" s="401"/>
      <c r="JP74" s="401"/>
      <c r="JQ74" s="401"/>
      <c r="JR74" s="401"/>
      <c r="JS74" s="401"/>
      <c r="JT74" s="401"/>
      <c r="JU74" s="401"/>
      <c r="JV74" s="401"/>
      <c r="JW74" s="401"/>
      <c r="JX74" s="401"/>
      <c r="JY74" s="401"/>
      <c r="JZ74" s="401"/>
      <c r="KA74" s="401"/>
      <c r="KB74" s="401"/>
      <c r="KC74" s="401"/>
      <c r="KD74" s="401"/>
      <c r="KE74" s="401"/>
      <c r="KF74" s="401"/>
      <c r="KG74" s="434"/>
      <c r="KH74" s="401"/>
      <c r="KI74" s="401"/>
      <c r="KJ74" s="401"/>
      <c r="KK74" s="401"/>
      <c r="KL74" s="401"/>
      <c r="KM74" s="401"/>
      <c r="KN74" s="401"/>
      <c r="KO74" s="401"/>
      <c r="KP74" s="401"/>
      <c r="KQ74" s="401"/>
      <c r="KR74" s="401"/>
      <c r="KS74" s="401"/>
      <c r="KT74" s="436"/>
      <c r="KU74" s="436"/>
      <c r="KV74" s="436"/>
      <c r="KW74" s="436"/>
      <c r="KX74" s="436"/>
      <c r="KY74" s="436"/>
    </row>
    <row r="75" spans="4:311">
      <c r="D75" s="401"/>
      <c r="E75" s="401"/>
      <c r="F75" s="401"/>
      <c r="G75" s="401"/>
      <c r="H75" s="401"/>
      <c r="I75" s="402"/>
      <c r="J75" s="403"/>
      <c r="K75" s="404"/>
      <c r="L75" s="405"/>
      <c r="M75" s="405"/>
      <c r="N75" s="405"/>
      <c r="O75" s="405"/>
      <c r="P75" s="405"/>
      <c r="Q75" s="405"/>
      <c r="R75" s="405"/>
      <c r="S75" s="405"/>
      <c r="T75" s="416"/>
      <c r="U75" s="417"/>
      <c r="V75" s="417"/>
      <c r="W75" s="417"/>
      <c r="X75" s="417"/>
      <c r="Y75" s="417"/>
      <c r="Z75" s="417"/>
      <c r="AA75" s="417"/>
      <c r="AB75" s="417"/>
      <c r="AC75" s="417"/>
      <c r="AD75" s="417"/>
      <c r="AE75" s="417"/>
      <c r="AF75" s="417"/>
      <c r="AG75" s="417"/>
      <c r="AH75" s="417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  <c r="AT75" s="401"/>
      <c r="AU75" s="401"/>
      <c r="AV75" s="401"/>
      <c r="AW75" s="401"/>
      <c r="AX75" s="401"/>
      <c r="AY75" s="401"/>
      <c r="AZ75" s="401"/>
      <c r="BA75" s="401"/>
      <c r="BB75" s="401"/>
      <c r="BC75" s="401"/>
      <c r="BD75" s="401"/>
      <c r="BE75" s="401"/>
      <c r="BF75" s="401"/>
      <c r="BG75" s="401"/>
      <c r="BH75" s="401"/>
      <c r="BI75" s="401"/>
      <c r="BJ75" s="401"/>
      <c r="BK75" s="401"/>
      <c r="BL75" s="401"/>
      <c r="BM75" s="401"/>
      <c r="BN75" s="401"/>
      <c r="BO75" s="401"/>
      <c r="BP75" s="401"/>
      <c r="BQ75" s="401"/>
      <c r="BR75" s="401"/>
      <c r="BS75" s="401"/>
      <c r="BT75" s="401"/>
      <c r="BU75" s="401"/>
      <c r="BV75" s="401"/>
      <c r="BW75" s="401"/>
      <c r="BX75" s="401"/>
      <c r="BY75" s="401"/>
      <c r="BZ75" s="401"/>
      <c r="CA75" s="401"/>
      <c r="CB75" s="401"/>
      <c r="CC75" s="401"/>
      <c r="CD75" s="401"/>
      <c r="CE75" s="401"/>
      <c r="CF75" s="401"/>
      <c r="CG75" s="401"/>
      <c r="CH75" s="401"/>
      <c r="CI75" s="401"/>
      <c r="CJ75" s="401"/>
      <c r="CK75" s="401"/>
      <c r="CL75" s="401"/>
      <c r="CM75" s="401"/>
      <c r="CN75" s="401"/>
      <c r="CO75" s="401"/>
      <c r="CP75" s="401"/>
      <c r="CQ75" s="401"/>
      <c r="CR75" s="401"/>
      <c r="CS75" s="401"/>
      <c r="CT75" s="401"/>
      <c r="CU75" s="401"/>
      <c r="CV75" s="401"/>
      <c r="CW75" s="401"/>
      <c r="CX75" s="401"/>
      <c r="CY75" s="401"/>
      <c r="CZ75" s="401"/>
      <c r="DA75" s="401"/>
      <c r="DB75" s="401"/>
      <c r="DC75" s="401"/>
      <c r="DD75" s="401"/>
      <c r="DE75" s="401"/>
      <c r="DF75" s="401"/>
      <c r="DG75" s="401"/>
      <c r="DH75" s="401"/>
      <c r="DI75" s="401"/>
      <c r="DJ75" s="401"/>
      <c r="DK75" s="401"/>
      <c r="DL75" s="401"/>
      <c r="DM75" s="401"/>
      <c r="DN75" s="401"/>
      <c r="DO75" s="401"/>
      <c r="DP75" s="401"/>
      <c r="DQ75" s="401"/>
      <c r="DR75" s="401"/>
      <c r="DS75" s="401"/>
      <c r="DT75" s="401"/>
      <c r="DU75" s="401"/>
      <c r="DV75" s="401"/>
      <c r="DW75" s="401"/>
      <c r="DX75" s="401"/>
      <c r="DY75" s="401"/>
      <c r="DZ75" s="401"/>
      <c r="EA75" s="401"/>
      <c r="EB75" s="401"/>
      <c r="EC75" s="401"/>
      <c r="ED75" s="401"/>
      <c r="EE75" s="401"/>
      <c r="EF75" s="401"/>
      <c r="EG75" s="401"/>
      <c r="EH75" s="401"/>
      <c r="EI75" s="401"/>
      <c r="EJ75" s="401"/>
      <c r="EK75" s="401"/>
      <c r="EL75" s="401"/>
      <c r="EM75" s="401"/>
      <c r="EN75" s="401"/>
      <c r="EO75" s="401"/>
      <c r="EP75" s="401"/>
      <c r="EQ75" s="401"/>
      <c r="ER75" s="401"/>
      <c r="ES75" s="401"/>
      <c r="ET75" s="401"/>
      <c r="EU75" s="401"/>
      <c r="EV75" s="401"/>
      <c r="EW75" s="401"/>
      <c r="EX75" s="401"/>
      <c r="EY75" s="401"/>
      <c r="EZ75" s="401"/>
      <c r="FA75" s="401"/>
      <c r="FB75" s="401"/>
      <c r="FC75" s="401"/>
      <c r="FD75" s="401"/>
      <c r="FE75" s="401"/>
      <c r="FF75" s="401"/>
      <c r="FG75" s="401"/>
      <c r="FH75" s="401"/>
      <c r="FI75" s="401"/>
      <c r="FJ75" s="401"/>
      <c r="FK75" s="401"/>
      <c r="FL75" s="401"/>
      <c r="FM75" s="401"/>
      <c r="FN75" s="401"/>
      <c r="FO75" s="401"/>
      <c r="FP75" s="401"/>
      <c r="FQ75" s="401"/>
      <c r="FR75" s="401"/>
      <c r="FS75" s="401"/>
      <c r="FT75" s="401"/>
      <c r="FU75" s="401"/>
      <c r="FV75" s="401"/>
      <c r="FW75" s="401"/>
      <c r="FX75" s="401"/>
      <c r="FY75" s="401"/>
      <c r="FZ75" s="401"/>
      <c r="GA75" s="401"/>
      <c r="GB75" s="401"/>
      <c r="GC75" s="401"/>
      <c r="GD75" s="401"/>
      <c r="GE75" s="401"/>
      <c r="GF75" s="401"/>
      <c r="GG75" s="401"/>
      <c r="GH75" s="401"/>
      <c r="GI75" s="401"/>
      <c r="GJ75" s="401"/>
      <c r="GK75" s="401"/>
      <c r="GL75" s="401"/>
      <c r="GM75" s="401"/>
      <c r="GN75" s="401"/>
      <c r="GO75" s="401"/>
      <c r="GP75" s="401"/>
      <c r="GQ75" s="401"/>
      <c r="GR75" s="401"/>
      <c r="GS75" s="401"/>
      <c r="GT75" s="401"/>
      <c r="GU75" s="401"/>
      <c r="GV75" s="401"/>
      <c r="GW75" s="401"/>
      <c r="GX75" s="401"/>
      <c r="GY75" s="401"/>
      <c r="GZ75" s="401"/>
      <c r="HA75" s="401"/>
      <c r="HB75" s="401"/>
      <c r="HC75" s="401"/>
      <c r="HD75" s="401"/>
      <c r="HE75" s="401"/>
      <c r="HF75" s="401"/>
      <c r="HG75" s="401"/>
      <c r="HH75" s="401"/>
      <c r="HI75" s="401"/>
      <c r="HJ75" s="401"/>
      <c r="HK75" s="401"/>
      <c r="HL75" s="401"/>
      <c r="HM75" s="401"/>
      <c r="HN75" s="401"/>
      <c r="HO75" s="401"/>
      <c r="HP75" s="401"/>
      <c r="HQ75" s="401"/>
      <c r="HR75" s="401"/>
      <c r="HS75" s="401"/>
      <c r="HT75" s="401"/>
      <c r="HU75" s="401"/>
      <c r="HV75" s="401"/>
      <c r="HW75" s="401"/>
      <c r="HX75" s="401"/>
      <c r="HY75" s="401"/>
      <c r="HZ75" s="401"/>
      <c r="IA75" s="401"/>
      <c r="IB75" s="401"/>
      <c r="IC75" s="401"/>
      <c r="ID75" s="401"/>
      <c r="IE75" s="401"/>
      <c r="IF75" s="401"/>
      <c r="IG75" s="401"/>
      <c r="IH75" s="401"/>
      <c r="II75" s="401"/>
      <c r="IJ75" s="401"/>
      <c r="IK75" s="401"/>
      <c r="IL75" s="401"/>
      <c r="IM75" s="401"/>
      <c r="IN75" s="401"/>
      <c r="IO75" s="401"/>
      <c r="IP75" s="401"/>
      <c r="IQ75" s="401"/>
      <c r="IR75" s="401"/>
      <c r="IS75" s="401"/>
      <c r="IT75" s="401"/>
      <c r="IU75" s="401"/>
      <c r="IV75" s="401"/>
      <c r="IW75" s="401"/>
      <c r="IX75" s="401"/>
      <c r="IY75" s="401"/>
      <c r="IZ75" s="401"/>
      <c r="JA75" s="401"/>
      <c r="JB75" s="401"/>
      <c r="JC75" s="401"/>
      <c r="JD75" s="401"/>
      <c r="JE75" s="401"/>
      <c r="JF75" s="401"/>
      <c r="JG75" s="401"/>
      <c r="JH75" s="401"/>
      <c r="JI75" s="401"/>
      <c r="JJ75" s="401"/>
      <c r="JK75" s="401"/>
      <c r="JL75" s="401"/>
      <c r="JM75" s="401"/>
      <c r="JN75" s="401"/>
      <c r="JO75" s="401"/>
      <c r="JP75" s="401"/>
      <c r="JQ75" s="401"/>
      <c r="JR75" s="401"/>
      <c r="JS75" s="401"/>
      <c r="JT75" s="401"/>
      <c r="JU75" s="401"/>
      <c r="JV75" s="401"/>
      <c r="JW75" s="401"/>
      <c r="JX75" s="401"/>
      <c r="JY75" s="401"/>
      <c r="JZ75" s="401"/>
      <c r="KA75" s="401"/>
      <c r="KB75" s="401"/>
      <c r="KC75" s="401"/>
      <c r="KD75" s="401"/>
      <c r="KE75" s="401"/>
      <c r="KF75" s="401"/>
      <c r="KG75" s="434"/>
      <c r="KH75" s="401"/>
      <c r="KI75" s="401"/>
      <c r="KJ75" s="401"/>
      <c r="KK75" s="401"/>
      <c r="KL75" s="401"/>
      <c r="KM75" s="401"/>
      <c r="KN75" s="401"/>
      <c r="KO75" s="401"/>
      <c r="KP75" s="401"/>
      <c r="KQ75" s="401"/>
      <c r="KR75" s="401"/>
      <c r="KS75" s="401"/>
      <c r="KT75" s="436"/>
      <c r="KU75" s="436"/>
      <c r="KV75" s="436"/>
      <c r="KW75" s="436"/>
      <c r="KX75" s="436"/>
      <c r="KY75" s="436"/>
    </row>
    <row r="76" spans="4:311">
      <c r="D76" s="401"/>
      <c r="E76" s="401"/>
      <c r="F76" s="401"/>
      <c r="G76" s="401"/>
      <c r="H76" s="401"/>
      <c r="I76" s="402"/>
      <c r="J76" s="403"/>
      <c r="K76" s="404"/>
      <c r="L76" s="405"/>
      <c r="M76" s="405"/>
      <c r="N76" s="405"/>
      <c r="O76" s="405"/>
      <c r="P76" s="405"/>
      <c r="Q76" s="405"/>
      <c r="R76" s="405"/>
      <c r="S76" s="405"/>
      <c r="T76" s="416"/>
      <c r="U76" s="417"/>
      <c r="V76" s="417"/>
      <c r="W76" s="417"/>
      <c r="X76" s="417"/>
      <c r="Y76" s="417"/>
      <c r="Z76" s="417"/>
      <c r="AA76" s="417"/>
      <c r="AB76" s="417"/>
      <c r="AC76" s="417"/>
      <c r="AD76" s="417"/>
      <c r="AE76" s="417"/>
      <c r="AF76" s="417"/>
      <c r="AG76" s="417"/>
      <c r="AH76" s="417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  <c r="AT76" s="401"/>
      <c r="AU76" s="401"/>
      <c r="AV76" s="401"/>
      <c r="AW76" s="401"/>
      <c r="AX76" s="401"/>
      <c r="AY76" s="401"/>
      <c r="AZ76" s="401"/>
      <c r="BA76" s="401"/>
      <c r="BB76" s="401"/>
      <c r="BC76" s="401"/>
      <c r="BD76" s="401"/>
      <c r="BE76" s="401"/>
      <c r="BF76" s="401"/>
      <c r="BG76" s="401"/>
      <c r="BH76" s="401"/>
      <c r="BI76" s="401"/>
      <c r="BJ76" s="401"/>
      <c r="BK76" s="401"/>
      <c r="BL76" s="401"/>
      <c r="BM76" s="401"/>
      <c r="BN76" s="401"/>
      <c r="BO76" s="401"/>
      <c r="BP76" s="401"/>
      <c r="BQ76" s="401"/>
      <c r="BR76" s="401"/>
      <c r="BS76" s="401"/>
      <c r="BT76" s="401"/>
      <c r="BU76" s="401"/>
      <c r="BV76" s="401"/>
      <c r="BW76" s="401"/>
      <c r="BX76" s="401"/>
      <c r="BY76" s="401"/>
      <c r="BZ76" s="401"/>
      <c r="CA76" s="401"/>
      <c r="CB76" s="401"/>
      <c r="CC76" s="401"/>
      <c r="CD76" s="401"/>
      <c r="CE76" s="401"/>
      <c r="CF76" s="401"/>
      <c r="CG76" s="401"/>
      <c r="CH76" s="401"/>
      <c r="CI76" s="401"/>
      <c r="CJ76" s="401"/>
      <c r="CK76" s="401"/>
      <c r="CL76" s="401"/>
      <c r="CM76" s="401"/>
      <c r="CN76" s="401"/>
      <c r="CO76" s="401"/>
      <c r="CP76" s="401"/>
      <c r="CQ76" s="401"/>
      <c r="CR76" s="401"/>
      <c r="CS76" s="401"/>
      <c r="CT76" s="401"/>
      <c r="CU76" s="401"/>
      <c r="CV76" s="401"/>
      <c r="CW76" s="401"/>
      <c r="CX76" s="401"/>
      <c r="CY76" s="401"/>
      <c r="CZ76" s="401"/>
      <c r="DA76" s="401"/>
      <c r="DB76" s="401"/>
      <c r="DC76" s="401"/>
      <c r="DD76" s="401"/>
      <c r="DE76" s="401"/>
      <c r="DF76" s="401"/>
      <c r="DG76" s="401"/>
      <c r="DH76" s="401"/>
      <c r="DI76" s="401"/>
      <c r="DJ76" s="401"/>
      <c r="DK76" s="401"/>
      <c r="DL76" s="401"/>
      <c r="DM76" s="401"/>
      <c r="DN76" s="401"/>
      <c r="DO76" s="401"/>
      <c r="DP76" s="401"/>
      <c r="DQ76" s="401"/>
      <c r="DR76" s="401"/>
      <c r="DS76" s="401"/>
      <c r="DT76" s="401"/>
      <c r="DU76" s="401"/>
      <c r="DV76" s="401"/>
      <c r="DW76" s="401"/>
      <c r="DX76" s="401"/>
      <c r="DY76" s="401"/>
      <c r="DZ76" s="401"/>
      <c r="EA76" s="401"/>
      <c r="EB76" s="401"/>
      <c r="EC76" s="401"/>
      <c r="ED76" s="401"/>
      <c r="EE76" s="401"/>
      <c r="EF76" s="401"/>
      <c r="EG76" s="401"/>
      <c r="EH76" s="401"/>
      <c r="EI76" s="401"/>
      <c r="EJ76" s="401"/>
      <c r="EK76" s="401"/>
      <c r="EL76" s="401"/>
      <c r="EM76" s="401"/>
      <c r="EN76" s="401"/>
      <c r="EO76" s="401"/>
      <c r="EP76" s="401"/>
      <c r="EQ76" s="401"/>
      <c r="ER76" s="401"/>
      <c r="ES76" s="401"/>
      <c r="ET76" s="401"/>
      <c r="EU76" s="401"/>
      <c r="EV76" s="401"/>
      <c r="EW76" s="401"/>
      <c r="EX76" s="401"/>
      <c r="EY76" s="401"/>
      <c r="EZ76" s="401"/>
      <c r="FA76" s="401"/>
      <c r="FB76" s="401"/>
      <c r="FC76" s="401"/>
      <c r="FD76" s="401"/>
      <c r="FE76" s="401"/>
      <c r="FF76" s="401"/>
      <c r="FG76" s="401"/>
      <c r="FH76" s="401"/>
      <c r="FI76" s="401"/>
      <c r="FJ76" s="401"/>
      <c r="FK76" s="401"/>
      <c r="FL76" s="401"/>
      <c r="FM76" s="401"/>
      <c r="FN76" s="401"/>
      <c r="FO76" s="401"/>
      <c r="FP76" s="401"/>
      <c r="FQ76" s="401"/>
      <c r="FR76" s="401"/>
      <c r="FS76" s="401"/>
      <c r="FT76" s="401"/>
      <c r="FU76" s="401"/>
      <c r="FV76" s="401"/>
      <c r="FW76" s="401"/>
      <c r="FX76" s="401"/>
      <c r="FY76" s="401"/>
      <c r="FZ76" s="401"/>
      <c r="GA76" s="401"/>
      <c r="GB76" s="401"/>
      <c r="GC76" s="401"/>
      <c r="GD76" s="401"/>
      <c r="GE76" s="401"/>
      <c r="GF76" s="401"/>
      <c r="GG76" s="401"/>
      <c r="GH76" s="401"/>
      <c r="GI76" s="401"/>
      <c r="GJ76" s="401"/>
      <c r="GK76" s="401"/>
      <c r="GL76" s="401"/>
      <c r="GM76" s="401"/>
      <c r="GN76" s="401"/>
      <c r="GO76" s="401"/>
      <c r="GP76" s="401"/>
      <c r="GQ76" s="401"/>
      <c r="GR76" s="401"/>
      <c r="GS76" s="401"/>
      <c r="GT76" s="401"/>
      <c r="GU76" s="401"/>
      <c r="GV76" s="401"/>
      <c r="GW76" s="401"/>
      <c r="GX76" s="401"/>
      <c r="GY76" s="401"/>
      <c r="GZ76" s="401"/>
      <c r="HA76" s="401"/>
      <c r="HB76" s="401"/>
      <c r="HC76" s="401"/>
      <c r="HD76" s="401"/>
      <c r="HE76" s="401"/>
      <c r="HF76" s="401"/>
      <c r="HG76" s="401"/>
      <c r="HH76" s="401"/>
      <c r="HI76" s="401"/>
      <c r="HJ76" s="401"/>
      <c r="HK76" s="401"/>
      <c r="HL76" s="401"/>
      <c r="HM76" s="401"/>
      <c r="HN76" s="401"/>
      <c r="HO76" s="401"/>
      <c r="HP76" s="401"/>
      <c r="HQ76" s="401"/>
      <c r="HR76" s="401"/>
      <c r="HS76" s="401"/>
      <c r="HT76" s="401"/>
      <c r="HU76" s="401"/>
      <c r="HV76" s="401"/>
      <c r="HW76" s="401"/>
      <c r="HX76" s="401"/>
      <c r="HY76" s="401"/>
      <c r="HZ76" s="401"/>
      <c r="IA76" s="401"/>
      <c r="IB76" s="401"/>
      <c r="IC76" s="401"/>
      <c r="ID76" s="401"/>
      <c r="IE76" s="401"/>
      <c r="IF76" s="401"/>
      <c r="IG76" s="401"/>
      <c r="IH76" s="401"/>
      <c r="II76" s="401"/>
      <c r="IJ76" s="401"/>
      <c r="IK76" s="401"/>
      <c r="IL76" s="401"/>
      <c r="IM76" s="401"/>
      <c r="IN76" s="401"/>
      <c r="IO76" s="401"/>
      <c r="IP76" s="401"/>
      <c r="IQ76" s="401"/>
      <c r="IR76" s="401"/>
      <c r="IS76" s="401"/>
      <c r="IT76" s="401"/>
      <c r="IU76" s="401"/>
      <c r="IV76" s="401"/>
      <c r="IW76" s="401"/>
      <c r="IX76" s="401"/>
      <c r="IY76" s="401"/>
      <c r="IZ76" s="401"/>
      <c r="JA76" s="401"/>
      <c r="JB76" s="401"/>
      <c r="JC76" s="401"/>
      <c r="JD76" s="401"/>
      <c r="JE76" s="401"/>
      <c r="JF76" s="401"/>
      <c r="JG76" s="401"/>
      <c r="JH76" s="401"/>
      <c r="JI76" s="401"/>
      <c r="JJ76" s="401"/>
      <c r="JK76" s="401"/>
      <c r="JL76" s="401"/>
      <c r="JM76" s="401"/>
      <c r="JN76" s="401"/>
      <c r="JO76" s="401"/>
      <c r="JP76" s="401"/>
      <c r="JQ76" s="401"/>
      <c r="JR76" s="401"/>
      <c r="JS76" s="401"/>
      <c r="JT76" s="401"/>
      <c r="JU76" s="401"/>
      <c r="JV76" s="401"/>
      <c r="JW76" s="401"/>
      <c r="JX76" s="401"/>
      <c r="JY76" s="401"/>
      <c r="JZ76" s="401"/>
      <c r="KA76" s="401"/>
      <c r="KB76" s="401"/>
      <c r="KC76" s="401"/>
      <c r="KD76" s="401"/>
      <c r="KE76" s="401"/>
      <c r="KF76" s="401"/>
      <c r="KG76" s="434"/>
      <c r="KH76" s="401"/>
      <c r="KI76" s="401"/>
      <c r="KJ76" s="401"/>
      <c r="KK76" s="401"/>
      <c r="KL76" s="401"/>
      <c r="KM76" s="401"/>
      <c r="KN76" s="401"/>
      <c r="KO76" s="401"/>
      <c r="KP76" s="401"/>
      <c r="KQ76" s="401"/>
      <c r="KR76" s="401"/>
      <c r="KS76" s="401"/>
      <c r="KT76" s="436"/>
      <c r="KU76" s="436"/>
      <c r="KV76" s="436"/>
      <c r="KW76" s="436"/>
      <c r="KX76" s="436"/>
      <c r="KY76" s="436"/>
    </row>
    <row r="77" spans="4:311">
      <c r="D77" s="401"/>
      <c r="E77" s="401"/>
      <c r="F77" s="401"/>
      <c r="G77" s="401"/>
      <c r="H77" s="401"/>
      <c r="I77" s="402"/>
      <c r="J77" s="403"/>
      <c r="K77" s="404"/>
      <c r="L77" s="405"/>
      <c r="M77" s="405"/>
      <c r="N77" s="405"/>
      <c r="O77" s="405"/>
      <c r="P77" s="405"/>
      <c r="Q77" s="405"/>
      <c r="R77" s="405"/>
      <c r="S77" s="405"/>
      <c r="T77" s="416"/>
      <c r="U77" s="417"/>
      <c r="V77" s="417"/>
      <c r="W77" s="417"/>
      <c r="X77" s="417"/>
      <c r="Y77" s="417"/>
      <c r="Z77" s="417"/>
      <c r="AA77" s="417"/>
      <c r="AB77" s="417"/>
      <c r="AC77" s="417"/>
      <c r="AD77" s="417"/>
      <c r="AE77" s="417"/>
      <c r="AF77" s="417"/>
      <c r="AG77" s="417"/>
      <c r="AH77" s="417"/>
      <c r="AI77" s="401"/>
      <c r="AJ77" s="401"/>
      <c r="AK77" s="401"/>
      <c r="AL77" s="401"/>
      <c r="AM77" s="401"/>
      <c r="AN77" s="401"/>
      <c r="AO77" s="401"/>
      <c r="AP77" s="401"/>
      <c r="AQ77" s="401"/>
      <c r="AR77" s="401"/>
      <c r="AS77" s="401"/>
      <c r="AT77" s="401"/>
      <c r="AU77" s="401"/>
      <c r="AV77" s="401"/>
      <c r="AW77" s="401"/>
      <c r="AX77" s="401"/>
      <c r="AY77" s="401"/>
      <c r="AZ77" s="401"/>
      <c r="BA77" s="401"/>
      <c r="BB77" s="401"/>
      <c r="BC77" s="401"/>
      <c r="BD77" s="401"/>
      <c r="BE77" s="401"/>
      <c r="BF77" s="401"/>
      <c r="BG77" s="401"/>
      <c r="BH77" s="401"/>
      <c r="BI77" s="401"/>
      <c r="BJ77" s="401"/>
      <c r="BK77" s="401"/>
      <c r="BL77" s="401"/>
      <c r="BM77" s="401"/>
      <c r="BN77" s="401"/>
      <c r="BO77" s="401"/>
      <c r="BP77" s="401"/>
      <c r="BQ77" s="401"/>
      <c r="BR77" s="401"/>
      <c r="BS77" s="401"/>
      <c r="BT77" s="401"/>
      <c r="BU77" s="401"/>
      <c r="BV77" s="401"/>
      <c r="BW77" s="401"/>
      <c r="BX77" s="401"/>
      <c r="BY77" s="401"/>
      <c r="BZ77" s="401"/>
      <c r="CA77" s="401"/>
      <c r="CB77" s="401"/>
      <c r="CC77" s="401"/>
      <c r="CD77" s="401"/>
      <c r="CE77" s="401"/>
      <c r="CF77" s="401"/>
      <c r="CG77" s="401"/>
      <c r="CH77" s="401"/>
      <c r="CI77" s="401"/>
      <c r="CJ77" s="401"/>
      <c r="CK77" s="401"/>
      <c r="CL77" s="401"/>
      <c r="CM77" s="401"/>
      <c r="CN77" s="401"/>
      <c r="CO77" s="401"/>
      <c r="CP77" s="401"/>
      <c r="CQ77" s="401"/>
      <c r="CR77" s="401"/>
      <c r="CS77" s="401"/>
      <c r="CT77" s="401"/>
      <c r="CU77" s="401"/>
      <c r="CV77" s="401"/>
      <c r="CW77" s="401"/>
      <c r="CX77" s="401"/>
      <c r="CY77" s="401"/>
      <c r="CZ77" s="401"/>
      <c r="DA77" s="401"/>
      <c r="DB77" s="401"/>
      <c r="DC77" s="401"/>
      <c r="DD77" s="401"/>
      <c r="DE77" s="401"/>
      <c r="DF77" s="401"/>
      <c r="DG77" s="401"/>
      <c r="DH77" s="401"/>
      <c r="DI77" s="401"/>
      <c r="DJ77" s="401"/>
      <c r="DK77" s="401"/>
      <c r="DL77" s="401"/>
      <c r="DM77" s="401"/>
      <c r="DN77" s="401"/>
      <c r="DO77" s="401"/>
      <c r="DP77" s="401"/>
      <c r="DQ77" s="401"/>
      <c r="DR77" s="401"/>
      <c r="DS77" s="401"/>
      <c r="DT77" s="401"/>
      <c r="DU77" s="401"/>
      <c r="DV77" s="401"/>
      <c r="DW77" s="401"/>
      <c r="DX77" s="401"/>
      <c r="DY77" s="401"/>
      <c r="DZ77" s="401"/>
      <c r="EA77" s="401"/>
      <c r="EB77" s="401"/>
      <c r="EC77" s="401"/>
      <c r="ED77" s="401"/>
      <c r="EE77" s="401"/>
      <c r="EF77" s="401"/>
      <c r="EG77" s="401"/>
      <c r="EH77" s="401"/>
      <c r="EI77" s="401"/>
      <c r="EJ77" s="401"/>
      <c r="EK77" s="401"/>
      <c r="EL77" s="401"/>
      <c r="EM77" s="401"/>
      <c r="EN77" s="401"/>
      <c r="EO77" s="401"/>
      <c r="EP77" s="401"/>
      <c r="EQ77" s="401"/>
      <c r="ER77" s="401"/>
      <c r="ES77" s="401"/>
      <c r="ET77" s="401"/>
      <c r="EU77" s="401"/>
      <c r="EV77" s="401"/>
      <c r="EW77" s="401"/>
      <c r="EX77" s="401"/>
      <c r="EY77" s="401"/>
      <c r="EZ77" s="401"/>
      <c r="FA77" s="401"/>
      <c r="FB77" s="401"/>
      <c r="FC77" s="401"/>
      <c r="FD77" s="401"/>
      <c r="FE77" s="401"/>
      <c r="FF77" s="401"/>
      <c r="FG77" s="401"/>
      <c r="FH77" s="401"/>
      <c r="FI77" s="401"/>
      <c r="FJ77" s="401"/>
      <c r="FK77" s="401"/>
      <c r="FL77" s="401"/>
      <c r="FM77" s="401"/>
      <c r="FN77" s="401"/>
      <c r="FO77" s="401"/>
      <c r="FP77" s="401"/>
      <c r="FQ77" s="401"/>
      <c r="FR77" s="401"/>
      <c r="FS77" s="401"/>
      <c r="FT77" s="401"/>
      <c r="FU77" s="401"/>
      <c r="FV77" s="401"/>
      <c r="FW77" s="401"/>
      <c r="FX77" s="401"/>
      <c r="FY77" s="401"/>
      <c r="FZ77" s="401"/>
      <c r="GA77" s="401"/>
      <c r="GB77" s="401"/>
      <c r="GC77" s="401"/>
      <c r="GD77" s="401"/>
      <c r="GE77" s="401"/>
      <c r="GF77" s="401"/>
      <c r="GG77" s="401"/>
      <c r="GH77" s="401"/>
      <c r="GI77" s="401"/>
      <c r="GJ77" s="401"/>
      <c r="GK77" s="401"/>
      <c r="GL77" s="401"/>
      <c r="GM77" s="401"/>
      <c r="GN77" s="401"/>
      <c r="GO77" s="401"/>
      <c r="GP77" s="401"/>
      <c r="GQ77" s="401"/>
      <c r="GR77" s="401"/>
      <c r="GS77" s="401"/>
      <c r="GT77" s="401"/>
      <c r="GU77" s="401"/>
      <c r="GV77" s="401"/>
      <c r="GW77" s="428"/>
      <c r="GX77" s="368" t="s">
        <v>625</v>
      </c>
      <c r="GY77" s="368"/>
      <c r="GZ77" s="369"/>
      <c r="HA77" s="369"/>
      <c r="HB77" s="369"/>
      <c r="HC77" s="369"/>
      <c r="HD77" s="369"/>
      <c r="HE77" s="369"/>
      <c r="HF77" s="369"/>
      <c r="HG77" s="369"/>
      <c r="HH77" s="369"/>
      <c r="HI77" s="369"/>
      <c r="HJ77" s="369"/>
      <c r="HK77" s="369"/>
      <c r="HL77" s="369"/>
      <c r="HM77" s="430"/>
      <c r="HN77" s="430"/>
      <c r="HO77" s="430"/>
      <c r="HP77" s="430"/>
      <c r="HQ77" s="430"/>
      <c r="HR77" s="430"/>
      <c r="HS77" s="430"/>
      <c r="HT77" s="430"/>
      <c r="HU77" s="430"/>
      <c r="HV77" s="430"/>
      <c r="HW77" s="430"/>
      <c r="HX77" s="430"/>
      <c r="HY77" s="430"/>
      <c r="HZ77" s="430"/>
      <c r="IA77" s="430"/>
      <c r="IB77" s="430"/>
      <c r="IC77" s="430"/>
      <c r="ID77" s="430"/>
      <c r="IE77" s="401"/>
      <c r="IF77" s="401"/>
      <c r="IG77" s="401"/>
      <c r="IH77" s="401"/>
      <c r="II77" s="401"/>
      <c r="IJ77" s="401"/>
      <c r="IK77" s="401"/>
      <c r="IL77" s="401"/>
      <c r="IM77" s="401"/>
      <c r="IN77" s="401"/>
      <c r="IO77" s="401"/>
      <c r="IP77" s="401"/>
      <c r="IQ77" s="401"/>
      <c r="IR77" s="401"/>
      <c r="IS77" s="401"/>
      <c r="IT77" s="401"/>
      <c r="IU77" s="401"/>
      <c r="IV77" s="401"/>
      <c r="IW77" s="401"/>
      <c r="IX77" s="401"/>
      <c r="IY77" s="401"/>
      <c r="IZ77" s="401"/>
      <c r="JA77" s="401"/>
      <c r="JB77" s="401"/>
      <c r="JC77" s="401"/>
      <c r="JD77" s="401"/>
      <c r="JE77" s="401"/>
      <c r="JF77" s="401"/>
      <c r="JG77" s="401"/>
      <c r="JH77" s="401"/>
      <c r="JI77" s="401"/>
      <c r="JJ77" s="401"/>
      <c r="JK77" s="401"/>
      <c r="JL77" s="401"/>
      <c r="JM77" s="401"/>
      <c r="JN77" s="401"/>
      <c r="JO77" s="401"/>
      <c r="JP77" s="401"/>
      <c r="JQ77" s="401"/>
      <c r="JR77" s="401"/>
      <c r="JS77" s="401"/>
      <c r="JT77" s="401"/>
      <c r="JU77" s="401"/>
      <c r="JV77" s="401"/>
      <c r="JW77" s="401"/>
      <c r="JX77" s="401"/>
      <c r="JY77" s="401"/>
      <c r="JZ77" s="401"/>
      <c r="KA77" s="401"/>
      <c r="KB77" s="401"/>
      <c r="KC77" s="401"/>
      <c r="KD77" s="401"/>
      <c r="KE77" s="401"/>
      <c r="KF77" s="401"/>
      <c r="KG77" s="434"/>
      <c r="KH77" s="401"/>
      <c r="KI77" s="401"/>
      <c r="KJ77" s="401"/>
      <c r="KK77" s="401"/>
      <c r="KL77" s="401"/>
      <c r="KM77" s="401"/>
      <c r="KN77" s="401"/>
      <c r="KO77" s="401"/>
      <c r="KP77" s="401"/>
      <c r="KQ77" s="401"/>
      <c r="KR77" s="401"/>
      <c r="KS77" s="401"/>
      <c r="KT77" s="436"/>
      <c r="KU77" s="436"/>
      <c r="KV77" s="436"/>
      <c r="KW77" s="436"/>
      <c r="KX77" s="436"/>
      <c r="KY77" s="436"/>
    </row>
    <row r="78" spans="4:311">
      <c r="D78" s="401"/>
      <c r="E78" s="401"/>
      <c r="F78" s="401"/>
      <c r="G78" s="401"/>
      <c r="H78" s="401"/>
      <c r="I78" s="402"/>
      <c r="J78" s="403"/>
      <c r="K78" s="404"/>
      <c r="L78" s="405"/>
      <c r="M78" s="405"/>
      <c r="N78" s="405"/>
      <c r="O78" s="405"/>
      <c r="P78" s="405"/>
      <c r="Q78" s="405"/>
      <c r="R78" s="405"/>
      <c r="S78" s="405"/>
      <c r="T78" s="416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  <c r="AT78" s="401"/>
      <c r="AU78" s="401"/>
      <c r="AV78" s="401"/>
      <c r="AW78" s="401"/>
      <c r="AX78" s="401"/>
      <c r="AY78" s="401"/>
      <c r="AZ78" s="401"/>
      <c r="BA78" s="401"/>
      <c r="BB78" s="401"/>
      <c r="BC78" s="401"/>
      <c r="BD78" s="401"/>
      <c r="BE78" s="401"/>
      <c r="BF78" s="401"/>
      <c r="BG78" s="401"/>
      <c r="BH78" s="401"/>
      <c r="BI78" s="401"/>
      <c r="BJ78" s="401"/>
      <c r="BK78" s="401"/>
      <c r="BL78" s="401"/>
      <c r="BM78" s="401"/>
      <c r="BN78" s="401"/>
      <c r="BO78" s="401"/>
      <c r="BP78" s="401"/>
      <c r="BQ78" s="401"/>
      <c r="BR78" s="401"/>
      <c r="BS78" s="401"/>
      <c r="BT78" s="401"/>
      <c r="BU78" s="401"/>
      <c r="BV78" s="401"/>
      <c r="BW78" s="401"/>
      <c r="BX78" s="401"/>
      <c r="BY78" s="401"/>
      <c r="BZ78" s="401"/>
      <c r="CA78" s="401"/>
      <c r="CB78" s="401"/>
      <c r="CC78" s="401"/>
      <c r="CD78" s="401"/>
      <c r="CE78" s="401"/>
      <c r="CF78" s="401"/>
      <c r="CG78" s="401"/>
      <c r="CH78" s="401"/>
      <c r="CI78" s="401"/>
      <c r="CJ78" s="401"/>
      <c r="CK78" s="401"/>
      <c r="CL78" s="401"/>
      <c r="CM78" s="401"/>
      <c r="CN78" s="401"/>
      <c r="CO78" s="401"/>
      <c r="CP78" s="401"/>
      <c r="CQ78" s="401"/>
      <c r="CR78" s="401"/>
      <c r="CS78" s="401"/>
      <c r="CT78" s="401"/>
      <c r="CU78" s="401"/>
      <c r="CV78" s="401"/>
      <c r="CW78" s="401"/>
      <c r="CX78" s="401"/>
      <c r="CY78" s="401"/>
      <c r="CZ78" s="401"/>
      <c r="DA78" s="401"/>
      <c r="DB78" s="401"/>
      <c r="DC78" s="401"/>
      <c r="DD78" s="401"/>
      <c r="DE78" s="401"/>
      <c r="DF78" s="401"/>
      <c r="DG78" s="401"/>
      <c r="DH78" s="401"/>
      <c r="DI78" s="401"/>
      <c r="DJ78" s="401"/>
      <c r="DK78" s="401"/>
      <c r="DL78" s="401"/>
      <c r="DM78" s="401"/>
      <c r="DN78" s="401"/>
      <c r="DO78" s="401"/>
      <c r="DP78" s="401"/>
      <c r="DQ78" s="401"/>
      <c r="DR78" s="401"/>
      <c r="DS78" s="401"/>
      <c r="DT78" s="401"/>
      <c r="DU78" s="401"/>
      <c r="DV78" s="401"/>
      <c r="DW78" s="401"/>
      <c r="DX78" s="401"/>
      <c r="DY78" s="401"/>
      <c r="DZ78" s="401"/>
      <c r="EA78" s="401"/>
      <c r="EB78" s="401"/>
      <c r="EC78" s="401"/>
      <c r="ED78" s="401"/>
      <c r="EE78" s="401"/>
      <c r="EF78" s="401"/>
      <c r="EG78" s="401"/>
      <c r="EH78" s="401"/>
      <c r="EI78" s="401"/>
      <c r="EJ78" s="401"/>
      <c r="EK78" s="401"/>
      <c r="EL78" s="401"/>
      <c r="EM78" s="401"/>
      <c r="EN78" s="401"/>
      <c r="EO78" s="401"/>
      <c r="EP78" s="401"/>
      <c r="EQ78" s="401"/>
      <c r="ER78" s="401"/>
      <c r="ES78" s="401"/>
      <c r="ET78" s="401"/>
      <c r="EU78" s="401"/>
      <c r="EV78" s="401"/>
      <c r="EW78" s="401"/>
      <c r="EX78" s="401"/>
      <c r="EY78" s="401"/>
      <c r="EZ78" s="401"/>
      <c r="FA78" s="401"/>
      <c r="FB78" s="401"/>
      <c r="FC78" s="401"/>
      <c r="FD78" s="401"/>
      <c r="FE78" s="401"/>
      <c r="FF78" s="401"/>
      <c r="FG78" s="401"/>
      <c r="FH78" s="401"/>
      <c r="FI78" s="401"/>
      <c r="FJ78" s="401"/>
      <c r="FK78" s="401"/>
      <c r="FL78" s="401"/>
      <c r="FM78" s="401"/>
      <c r="FN78" s="401"/>
      <c r="FO78" s="401"/>
      <c r="FP78" s="401"/>
      <c r="FQ78" s="401"/>
      <c r="FR78" s="401"/>
      <c r="FS78" s="401"/>
      <c r="FT78" s="401"/>
      <c r="FU78" s="401"/>
      <c r="FV78" s="401"/>
      <c r="FW78" s="401"/>
      <c r="FX78" s="401"/>
      <c r="FY78" s="401"/>
      <c r="FZ78" s="401"/>
      <c r="GA78" s="401"/>
      <c r="GB78" s="401"/>
      <c r="GC78" s="401"/>
      <c r="GD78" s="401"/>
      <c r="GE78" s="401"/>
      <c r="GF78" s="401"/>
      <c r="GG78" s="401"/>
      <c r="GH78" s="401"/>
      <c r="GI78" s="401"/>
      <c r="GJ78" s="401"/>
      <c r="GK78" s="401"/>
      <c r="GL78" s="401"/>
      <c r="GM78" s="401"/>
      <c r="GN78" s="401"/>
      <c r="GO78" s="401"/>
      <c r="GP78" s="401"/>
      <c r="GQ78" s="401"/>
      <c r="GR78" s="401"/>
      <c r="GS78" s="401"/>
      <c r="GT78" s="401"/>
      <c r="GU78" s="401"/>
      <c r="GV78" s="401"/>
      <c r="GW78" s="428"/>
      <c r="GX78" s="368" t="s">
        <v>530</v>
      </c>
      <c r="GY78" s="368"/>
      <c r="GZ78" s="369"/>
      <c r="HA78" s="369"/>
      <c r="HB78" s="369"/>
      <c r="HC78" s="369"/>
      <c r="HD78" s="369"/>
      <c r="HE78" s="369"/>
      <c r="HF78" s="369"/>
      <c r="HG78" s="369"/>
      <c r="HH78" s="369"/>
      <c r="HI78" s="369"/>
      <c r="HJ78" s="369"/>
      <c r="HK78" s="369"/>
      <c r="HL78" s="369"/>
      <c r="HM78" s="430"/>
      <c r="HN78" s="430"/>
      <c r="HO78" s="430"/>
      <c r="HP78" s="430"/>
      <c r="HQ78" s="430"/>
      <c r="HR78" s="430"/>
      <c r="HS78" s="430"/>
      <c r="HT78" s="430"/>
      <c r="HU78" s="430"/>
      <c r="HV78" s="430"/>
      <c r="HW78" s="430"/>
      <c r="HX78" s="430"/>
      <c r="HY78" s="430"/>
      <c r="HZ78" s="430"/>
      <c r="IA78" s="430"/>
      <c r="IB78" s="430"/>
      <c r="IC78" s="430"/>
      <c r="ID78" s="430"/>
      <c r="IE78" s="401"/>
      <c r="IF78" s="401"/>
      <c r="IG78" s="401"/>
      <c r="IH78" s="401"/>
      <c r="II78" s="401"/>
      <c r="IJ78" s="401"/>
      <c r="IK78" s="401"/>
      <c r="IL78" s="401"/>
      <c r="IM78" s="401"/>
      <c r="IN78" s="401"/>
      <c r="IO78" s="401"/>
      <c r="IP78" s="401"/>
      <c r="IQ78" s="401"/>
      <c r="IR78" s="401"/>
      <c r="IS78" s="401"/>
      <c r="IT78" s="401"/>
      <c r="IU78" s="401"/>
      <c r="IV78" s="401"/>
      <c r="IW78" s="401"/>
      <c r="IX78" s="401"/>
      <c r="IY78" s="401"/>
      <c r="IZ78" s="401"/>
      <c r="JA78" s="401"/>
      <c r="JB78" s="401"/>
      <c r="JC78" s="401"/>
      <c r="JD78" s="401"/>
      <c r="JE78" s="401"/>
      <c r="JF78" s="401"/>
      <c r="JG78" s="401"/>
      <c r="JH78" s="401"/>
      <c r="JI78" s="401"/>
      <c r="JJ78" s="401"/>
      <c r="JK78" s="401"/>
      <c r="JL78" s="401"/>
      <c r="JM78" s="401"/>
      <c r="JN78" s="401"/>
      <c r="JO78" s="401"/>
      <c r="JP78" s="401"/>
      <c r="JQ78" s="401"/>
      <c r="JR78" s="401"/>
      <c r="JS78" s="401"/>
      <c r="JT78" s="401"/>
      <c r="JU78" s="401"/>
      <c r="JV78" s="401"/>
      <c r="JW78" s="401"/>
      <c r="JX78" s="401"/>
      <c r="JY78" s="401"/>
      <c r="JZ78" s="401"/>
      <c r="KA78" s="401"/>
      <c r="KB78" s="401"/>
      <c r="KC78" s="401"/>
      <c r="KD78" s="401"/>
      <c r="KE78" s="401"/>
      <c r="KF78" s="401"/>
      <c r="KG78" s="434"/>
      <c r="KH78" s="401"/>
      <c r="KI78" s="401"/>
      <c r="KJ78" s="401"/>
      <c r="KK78" s="401"/>
      <c r="KL78" s="401"/>
      <c r="KM78" s="401"/>
      <c r="KN78" s="401"/>
      <c r="KO78" s="401"/>
      <c r="KP78" s="401"/>
      <c r="KQ78" s="401"/>
      <c r="KR78" s="401"/>
      <c r="KS78" s="401"/>
      <c r="KT78" s="436"/>
      <c r="KU78" s="436"/>
      <c r="KV78" s="436"/>
      <c r="KW78" s="436"/>
      <c r="KX78" s="436"/>
      <c r="KY78" s="436"/>
    </row>
    <row r="79" spans="4:311">
      <c r="D79" s="401"/>
      <c r="E79" s="401"/>
      <c r="F79" s="401"/>
      <c r="G79" s="401"/>
      <c r="H79" s="401"/>
      <c r="I79" s="406"/>
      <c r="J79" s="407"/>
      <c r="K79" s="408"/>
      <c r="L79" s="408"/>
      <c r="M79" s="408"/>
      <c r="N79" s="408"/>
      <c r="O79" s="408"/>
      <c r="P79" s="408"/>
      <c r="Q79" s="408"/>
      <c r="R79" s="408"/>
      <c r="S79" s="408"/>
      <c r="T79" s="419"/>
      <c r="U79" s="420"/>
      <c r="V79" s="420"/>
      <c r="W79" s="420"/>
      <c r="X79" s="420"/>
      <c r="Y79" s="420"/>
      <c r="Z79" s="420"/>
      <c r="AA79" s="420"/>
      <c r="AB79" s="420"/>
      <c r="AC79" s="420"/>
      <c r="AD79" s="420"/>
      <c r="AE79" s="420"/>
      <c r="AF79" s="420"/>
      <c r="AG79" s="420"/>
      <c r="AH79" s="420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1"/>
      <c r="BG79" s="401"/>
      <c r="BH79" s="401"/>
      <c r="BI79" s="401"/>
      <c r="BJ79" s="401"/>
      <c r="BK79" s="401"/>
      <c r="BL79" s="401"/>
      <c r="BM79" s="401"/>
      <c r="BN79" s="401"/>
      <c r="BO79" s="401"/>
      <c r="BP79" s="401"/>
      <c r="BQ79" s="401"/>
      <c r="BR79" s="401"/>
      <c r="BS79" s="401"/>
      <c r="BT79" s="401"/>
      <c r="BU79" s="401"/>
      <c r="BV79" s="401"/>
      <c r="BW79" s="401"/>
      <c r="BX79" s="401"/>
      <c r="BY79" s="401"/>
      <c r="BZ79" s="401"/>
      <c r="CA79" s="401"/>
      <c r="CB79" s="401"/>
      <c r="CC79" s="401"/>
      <c r="CD79" s="401"/>
      <c r="CE79" s="401"/>
      <c r="CF79" s="401"/>
      <c r="CG79" s="401"/>
      <c r="CH79" s="401"/>
      <c r="CI79" s="401"/>
      <c r="CJ79" s="401"/>
      <c r="CK79" s="401"/>
      <c r="CL79" s="401"/>
      <c r="CM79" s="401"/>
      <c r="CN79" s="401"/>
      <c r="CO79" s="401"/>
      <c r="CP79" s="401"/>
      <c r="CQ79" s="401"/>
      <c r="CR79" s="401"/>
      <c r="CS79" s="401"/>
      <c r="CT79" s="401"/>
      <c r="CU79" s="401"/>
      <c r="CV79" s="401"/>
      <c r="CW79" s="401"/>
      <c r="CX79" s="401"/>
      <c r="CY79" s="401"/>
      <c r="CZ79" s="401"/>
      <c r="DA79" s="401"/>
      <c r="DB79" s="401"/>
      <c r="DC79" s="401"/>
      <c r="DD79" s="401"/>
      <c r="DE79" s="401"/>
      <c r="DF79" s="401"/>
      <c r="DG79" s="401"/>
      <c r="DH79" s="401"/>
      <c r="DI79" s="401"/>
      <c r="DJ79" s="401"/>
      <c r="DK79" s="401"/>
      <c r="DL79" s="401"/>
      <c r="DM79" s="401"/>
      <c r="DN79" s="401"/>
      <c r="DO79" s="401"/>
      <c r="DP79" s="401"/>
      <c r="DQ79" s="401"/>
      <c r="DR79" s="401"/>
      <c r="DS79" s="401"/>
      <c r="DT79" s="401"/>
      <c r="DU79" s="401"/>
      <c r="DV79" s="401"/>
      <c r="DW79" s="401"/>
      <c r="DX79" s="401"/>
      <c r="DY79" s="401"/>
      <c r="DZ79" s="401"/>
      <c r="EA79" s="401"/>
      <c r="EB79" s="401"/>
      <c r="EC79" s="401"/>
      <c r="ED79" s="401"/>
      <c r="EE79" s="401"/>
      <c r="EF79" s="401"/>
      <c r="EG79" s="401"/>
      <c r="EH79" s="401"/>
      <c r="EI79" s="401"/>
      <c r="EJ79" s="401"/>
      <c r="EK79" s="401"/>
      <c r="EL79" s="401"/>
      <c r="EM79" s="401"/>
      <c r="EN79" s="401"/>
      <c r="EO79" s="401"/>
      <c r="EP79" s="401"/>
      <c r="EQ79" s="401"/>
      <c r="ER79" s="401"/>
      <c r="ES79" s="401"/>
      <c r="ET79" s="401"/>
      <c r="EU79" s="401"/>
      <c r="EV79" s="401"/>
      <c r="EW79" s="401"/>
      <c r="EX79" s="401"/>
      <c r="EY79" s="401"/>
      <c r="EZ79" s="401"/>
      <c r="FA79" s="401"/>
      <c r="FB79" s="401"/>
      <c r="FC79" s="401"/>
      <c r="FD79" s="401"/>
      <c r="FE79" s="401"/>
      <c r="FF79" s="401"/>
      <c r="FG79" s="401"/>
      <c r="FH79" s="401"/>
      <c r="FI79" s="401"/>
      <c r="FJ79" s="401"/>
      <c r="FK79" s="401"/>
      <c r="FL79" s="401"/>
      <c r="FM79" s="401"/>
      <c r="FN79" s="401"/>
      <c r="FO79" s="401"/>
      <c r="FP79" s="401"/>
      <c r="FQ79" s="401"/>
      <c r="FR79" s="401"/>
      <c r="FS79" s="401"/>
      <c r="FT79" s="401"/>
      <c r="FU79" s="401"/>
      <c r="FV79" s="401"/>
      <c r="FW79" s="401"/>
      <c r="FX79" s="401"/>
      <c r="FY79" s="401"/>
      <c r="FZ79" s="401"/>
      <c r="GA79" s="401"/>
      <c r="GB79" s="401"/>
      <c r="GC79" s="401"/>
      <c r="GD79" s="401"/>
      <c r="GE79" s="401"/>
      <c r="GF79" s="401"/>
      <c r="GG79" s="401"/>
      <c r="GH79" s="401"/>
      <c r="GI79" s="401"/>
      <c r="GJ79" s="401"/>
      <c r="GK79" s="401"/>
      <c r="GL79" s="401"/>
      <c r="GM79" s="401"/>
      <c r="GN79" s="401"/>
      <c r="GO79" s="401"/>
      <c r="GP79" s="401"/>
      <c r="GQ79" s="401"/>
      <c r="GR79" s="401"/>
      <c r="GS79" s="401"/>
      <c r="GT79" s="401"/>
      <c r="GU79" s="401"/>
      <c r="GV79" s="401"/>
      <c r="GW79" s="428"/>
      <c r="GX79" s="368" t="s">
        <v>552</v>
      </c>
      <c r="GY79" s="368"/>
      <c r="GZ79" s="369"/>
      <c r="HA79" s="369"/>
      <c r="HB79" s="369"/>
      <c r="HC79" s="369"/>
      <c r="HD79" s="369"/>
      <c r="HE79" s="369"/>
      <c r="HF79" s="369"/>
      <c r="HG79" s="369"/>
      <c r="HH79" s="369"/>
      <c r="HI79" s="369"/>
      <c r="HJ79" s="369"/>
      <c r="HK79" s="369"/>
      <c r="HL79" s="369"/>
      <c r="HM79" s="430"/>
      <c r="HN79" s="430"/>
      <c r="HO79" s="430"/>
      <c r="HP79" s="430"/>
      <c r="HQ79" s="430"/>
      <c r="HR79" s="430"/>
      <c r="HS79" s="430"/>
      <c r="HT79" s="430"/>
      <c r="HU79" s="430"/>
      <c r="HV79" s="430"/>
      <c r="HW79" s="430"/>
      <c r="HX79" s="430"/>
      <c r="HY79" s="430"/>
      <c r="HZ79" s="430"/>
      <c r="IA79" s="430"/>
      <c r="IB79" s="430"/>
      <c r="IC79" s="430"/>
      <c r="ID79" s="430"/>
      <c r="IE79" s="401"/>
      <c r="IF79" s="401"/>
      <c r="IG79" s="401"/>
      <c r="IH79" s="401"/>
      <c r="II79" s="401"/>
      <c r="IJ79" s="401"/>
      <c r="IK79" s="401"/>
      <c r="IL79" s="401"/>
      <c r="IM79" s="401"/>
      <c r="IN79" s="401"/>
      <c r="IO79" s="401"/>
      <c r="IP79" s="401"/>
      <c r="IQ79" s="401"/>
      <c r="IR79" s="401"/>
      <c r="IS79" s="401"/>
      <c r="IT79" s="401"/>
      <c r="IU79" s="401"/>
      <c r="IV79" s="401"/>
      <c r="IW79" s="401"/>
      <c r="IX79" s="401"/>
      <c r="IY79" s="401"/>
      <c r="IZ79" s="401"/>
      <c r="JA79" s="401"/>
      <c r="JB79" s="401"/>
      <c r="JC79" s="401"/>
      <c r="JD79" s="401"/>
      <c r="JE79" s="401"/>
      <c r="JF79" s="401"/>
      <c r="JG79" s="401"/>
      <c r="JH79" s="401"/>
      <c r="JI79" s="401"/>
      <c r="JJ79" s="401"/>
      <c r="JK79" s="401"/>
      <c r="JL79" s="401"/>
      <c r="JM79" s="401"/>
      <c r="JN79" s="401"/>
      <c r="JO79" s="401"/>
      <c r="JP79" s="401"/>
      <c r="JQ79" s="401"/>
      <c r="JR79" s="401"/>
      <c r="JS79" s="401"/>
      <c r="JT79" s="401"/>
      <c r="JU79" s="401"/>
      <c r="JV79" s="401"/>
      <c r="JW79" s="401"/>
      <c r="JX79" s="401"/>
      <c r="JY79" s="401"/>
      <c r="JZ79" s="401"/>
      <c r="KA79" s="401"/>
      <c r="KB79" s="401"/>
      <c r="KC79" s="401"/>
      <c r="KD79" s="401"/>
      <c r="KE79" s="401"/>
      <c r="KF79" s="401"/>
      <c r="KG79" s="434"/>
      <c r="KH79" s="401"/>
      <c r="KI79" s="401"/>
      <c r="KJ79" s="401"/>
      <c r="KK79" s="401"/>
      <c r="KL79" s="401"/>
      <c r="KM79" s="401"/>
      <c r="KN79" s="401"/>
      <c r="KO79" s="401"/>
      <c r="KP79" s="401"/>
      <c r="KQ79" s="401"/>
      <c r="KR79" s="401"/>
      <c r="KS79" s="401"/>
      <c r="KT79" s="436"/>
      <c r="KU79" s="436"/>
      <c r="KV79" s="436"/>
      <c r="KW79" s="436"/>
      <c r="KX79" s="436"/>
      <c r="KY79" s="436"/>
    </row>
    <row r="80" spans="4:311">
      <c r="D80" s="401"/>
      <c r="E80" s="401"/>
      <c r="F80" s="401"/>
      <c r="G80" s="401"/>
      <c r="H80" s="401"/>
      <c r="I80" s="409"/>
      <c r="J80" s="410"/>
      <c r="K80" s="411"/>
      <c r="L80" s="411"/>
      <c r="M80" s="411"/>
      <c r="N80" s="411"/>
      <c r="O80" s="411"/>
      <c r="P80" s="411"/>
      <c r="Q80" s="411"/>
      <c r="R80" s="411"/>
      <c r="S80" s="411"/>
      <c r="T80" s="421"/>
      <c r="U80" s="420"/>
      <c r="V80" s="420"/>
      <c r="W80" s="420"/>
      <c r="X80" s="420"/>
      <c r="Y80" s="420"/>
      <c r="Z80" s="420"/>
      <c r="AA80" s="420"/>
      <c r="AB80" s="420"/>
      <c r="AC80" s="420"/>
      <c r="AD80" s="420"/>
      <c r="AE80" s="420"/>
      <c r="AF80" s="420"/>
      <c r="AG80" s="420"/>
      <c r="AH80" s="420"/>
      <c r="AI80" s="401"/>
      <c r="AJ80" s="401"/>
      <c r="AK80" s="401"/>
      <c r="AL80" s="401"/>
      <c r="AM80" s="401"/>
      <c r="AN80" s="401"/>
      <c r="AO80" s="401"/>
      <c r="AP80" s="401"/>
      <c r="AQ80" s="401"/>
      <c r="AR80" s="401"/>
      <c r="AS80" s="401"/>
      <c r="AT80" s="401"/>
      <c r="AU80" s="401"/>
      <c r="AV80" s="401"/>
      <c r="AW80" s="401"/>
      <c r="AX80" s="401"/>
      <c r="AY80" s="401"/>
      <c r="AZ80" s="401"/>
      <c r="BA80" s="401"/>
      <c r="BB80" s="401"/>
      <c r="BC80" s="401"/>
      <c r="BD80" s="401"/>
      <c r="BE80" s="401"/>
      <c r="BF80" s="401"/>
      <c r="BG80" s="401"/>
      <c r="BH80" s="401"/>
      <c r="BI80" s="401"/>
      <c r="BJ80" s="401"/>
      <c r="BK80" s="401"/>
      <c r="BL80" s="401"/>
      <c r="BM80" s="401"/>
      <c r="BN80" s="401"/>
      <c r="BO80" s="401"/>
      <c r="BP80" s="401"/>
      <c r="BQ80" s="401"/>
      <c r="BR80" s="401"/>
      <c r="BS80" s="401"/>
      <c r="BT80" s="401"/>
      <c r="BU80" s="401"/>
      <c r="BV80" s="401"/>
      <c r="BW80" s="401"/>
      <c r="BX80" s="401"/>
      <c r="BY80" s="401"/>
      <c r="BZ80" s="401"/>
      <c r="CA80" s="401"/>
      <c r="CB80" s="401"/>
      <c r="CC80" s="401"/>
      <c r="CD80" s="401"/>
      <c r="CE80" s="401"/>
      <c r="CF80" s="401"/>
      <c r="CG80" s="401"/>
      <c r="CH80" s="401"/>
      <c r="CI80" s="401"/>
      <c r="CJ80" s="401"/>
      <c r="CK80" s="401"/>
      <c r="CL80" s="401"/>
      <c r="CM80" s="401"/>
      <c r="CN80" s="401"/>
      <c r="CO80" s="401"/>
      <c r="CP80" s="401"/>
      <c r="CQ80" s="401"/>
      <c r="CR80" s="401"/>
      <c r="CS80" s="401"/>
      <c r="CT80" s="401"/>
      <c r="CU80" s="401"/>
      <c r="CV80" s="401"/>
      <c r="CW80" s="401"/>
      <c r="CX80" s="401"/>
      <c r="CY80" s="401"/>
      <c r="CZ80" s="401"/>
      <c r="DA80" s="401"/>
      <c r="DB80" s="401"/>
      <c r="DC80" s="401"/>
      <c r="DD80" s="401"/>
      <c r="DE80" s="401"/>
      <c r="DF80" s="401"/>
      <c r="DG80" s="401"/>
      <c r="DH80" s="401"/>
      <c r="DI80" s="401"/>
      <c r="DJ80" s="401"/>
      <c r="DK80" s="401"/>
      <c r="DL80" s="401"/>
      <c r="DM80" s="401"/>
      <c r="DN80" s="401"/>
      <c r="DO80" s="401"/>
      <c r="DP80" s="401"/>
      <c r="DQ80" s="401"/>
      <c r="DR80" s="401"/>
      <c r="DS80" s="401"/>
      <c r="DT80" s="401"/>
      <c r="DU80" s="401"/>
      <c r="DV80" s="401"/>
      <c r="DW80" s="401"/>
      <c r="DX80" s="401"/>
      <c r="DY80" s="401"/>
      <c r="DZ80" s="401"/>
      <c r="EA80" s="401"/>
      <c r="EB80" s="401"/>
      <c r="EC80" s="401"/>
      <c r="ED80" s="401"/>
      <c r="EE80" s="401"/>
      <c r="EF80" s="401"/>
      <c r="EG80" s="401"/>
      <c r="EH80" s="401"/>
      <c r="EI80" s="401"/>
      <c r="EJ80" s="401"/>
      <c r="EK80" s="401"/>
      <c r="EL80" s="401"/>
      <c r="EM80" s="401"/>
      <c r="EN80" s="401"/>
      <c r="EO80" s="401"/>
      <c r="EP80" s="401"/>
      <c r="EQ80" s="401"/>
      <c r="ER80" s="401"/>
      <c r="ES80" s="401"/>
      <c r="ET80" s="401"/>
      <c r="EU80" s="401"/>
      <c r="EV80" s="401"/>
      <c r="EW80" s="401"/>
      <c r="EX80" s="401"/>
      <c r="EY80" s="401"/>
      <c r="EZ80" s="401"/>
      <c r="FA80" s="401"/>
      <c r="FB80" s="401"/>
      <c r="FC80" s="401"/>
      <c r="FD80" s="401"/>
      <c r="FE80" s="401"/>
      <c r="FF80" s="401"/>
      <c r="FG80" s="401"/>
      <c r="FH80" s="401"/>
      <c r="FI80" s="401"/>
      <c r="FJ80" s="401"/>
      <c r="FK80" s="401"/>
      <c r="FL80" s="401"/>
      <c r="FM80" s="401"/>
      <c r="FN80" s="401"/>
      <c r="FO80" s="401"/>
      <c r="FP80" s="401"/>
      <c r="FQ80" s="401"/>
      <c r="FR80" s="401"/>
      <c r="FS80" s="401"/>
      <c r="FT80" s="401"/>
      <c r="FU80" s="401"/>
      <c r="FV80" s="401"/>
      <c r="FW80" s="401"/>
      <c r="FX80" s="401"/>
      <c r="FY80" s="401"/>
      <c r="FZ80" s="401"/>
      <c r="GA80" s="401"/>
      <c r="GB80" s="401"/>
      <c r="GC80" s="401"/>
      <c r="GD80" s="401"/>
      <c r="GE80" s="401"/>
      <c r="GF80" s="401"/>
      <c r="GG80" s="401"/>
      <c r="GH80" s="401"/>
      <c r="GI80" s="401"/>
      <c r="GJ80" s="401"/>
      <c r="GK80" s="401"/>
      <c r="GL80" s="401"/>
      <c r="GM80" s="401"/>
      <c r="GN80" s="401"/>
      <c r="GO80" s="401"/>
      <c r="GP80" s="401"/>
      <c r="GQ80" s="401"/>
      <c r="GR80" s="401"/>
      <c r="GS80" s="401"/>
      <c r="GT80" s="401"/>
      <c r="GU80" s="401"/>
      <c r="GV80" s="401"/>
      <c r="GW80" s="428"/>
      <c r="GX80" s="368" t="s">
        <v>485</v>
      </c>
      <c r="GY80" s="368"/>
      <c r="GZ80" s="369"/>
      <c r="HA80" s="369"/>
      <c r="HB80" s="369"/>
      <c r="HC80" s="369"/>
      <c r="HD80" s="369"/>
      <c r="HE80" s="369"/>
      <c r="HF80" s="369"/>
      <c r="HG80" s="369"/>
      <c r="HH80" s="369"/>
      <c r="HI80" s="369"/>
      <c r="HJ80" s="369"/>
      <c r="HK80" s="369"/>
      <c r="HL80" s="369"/>
      <c r="HM80" s="430"/>
      <c r="HN80" s="430"/>
      <c r="HO80" s="430"/>
      <c r="HP80" s="430"/>
      <c r="HQ80" s="430"/>
      <c r="HR80" s="430"/>
      <c r="HS80" s="430"/>
      <c r="HT80" s="430"/>
      <c r="HU80" s="430"/>
      <c r="HV80" s="430"/>
      <c r="HW80" s="430"/>
      <c r="HX80" s="430"/>
      <c r="HY80" s="430"/>
      <c r="HZ80" s="430"/>
      <c r="IA80" s="430"/>
      <c r="IB80" s="430"/>
      <c r="IC80" s="430"/>
      <c r="ID80" s="430"/>
      <c r="IE80" s="401"/>
      <c r="IF80" s="401"/>
      <c r="IG80" s="401"/>
      <c r="IH80" s="401"/>
      <c r="II80" s="401"/>
      <c r="IJ80" s="401"/>
      <c r="IK80" s="401"/>
      <c r="IL80" s="401"/>
      <c r="IM80" s="401"/>
      <c r="IN80" s="401"/>
      <c r="IO80" s="401"/>
      <c r="IP80" s="401"/>
      <c r="IQ80" s="401"/>
      <c r="IR80" s="401"/>
      <c r="IS80" s="401"/>
      <c r="IT80" s="401"/>
      <c r="IU80" s="401"/>
      <c r="IV80" s="401"/>
      <c r="IW80" s="401"/>
      <c r="IX80" s="401"/>
      <c r="IY80" s="401"/>
      <c r="IZ80" s="401"/>
      <c r="JA80" s="401"/>
      <c r="JB80" s="401"/>
      <c r="JC80" s="401"/>
      <c r="JD80" s="401"/>
      <c r="JE80" s="401"/>
      <c r="JF80" s="401"/>
      <c r="JG80" s="401"/>
      <c r="JH80" s="401"/>
      <c r="JI80" s="401"/>
      <c r="JJ80" s="401"/>
      <c r="JK80" s="401"/>
      <c r="JL80" s="401"/>
      <c r="JM80" s="401"/>
      <c r="JN80" s="401"/>
      <c r="JO80" s="401"/>
      <c r="JP80" s="401"/>
      <c r="JQ80" s="401"/>
      <c r="JR80" s="401"/>
      <c r="JS80" s="401"/>
      <c r="JT80" s="401"/>
      <c r="JU80" s="401"/>
      <c r="JV80" s="401"/>
      <c r="JW80" s="401"/>
      <c r="JX80" s="401"/>
      <c r="JY80" s="401"/>
      <c r="JZ80" s="401"/>
      <c r="KA80" s="401"/>
      <c r="KB80" s="401"/>
      <c r="KC80" s="401"/>
      <c r="KD80" s="401"/>
      <c r="KE80" s="401"/>
      <c r="KF80" s="401"/>
      <c r="KG80" s="434"/>
      <c r="KH80" s="401"/>
      <c r="KI80" s="401"/>
      <c r="KJ80" s="401"/>
      <c r="KK80" s="401"/>
      <c r="KL80" s="401"/>
      <c r="KM80" s="401"/>
      <c r="KN80" s="401"/>
      <c r="KO80" s="401"/>
      <c r="KP80" s="401"/>
      <c r="KQ80" s="401"/>
      <c r="KR80" s="401"/>
      <c r="KS80" s="401"/>
      <c r="KT80" s="436"/>
      <c r="KU80" s="436"/>
      <c r="KV80" s="436"/>
      <c r="KW80" s="436"/>
      <c r="KX80" s="436"/>
      <c r="KY80" s="436"/>
    </row>
    <row r="81" spans="4:311">
      <c r="D81" s="401"/>
      <c r="E81" s="401"/>
      <c r="F81" s="401"/>
      <c r="G81" s="401"/>
      <c r="H81" s="401"/>
      <c r="I81" s="402"/>
      <c r="J81" s="403"/>
      <c r="K81" s="405"/>
      <c r="L81" s="405"/>
      <c r="M81" s="405"/>
      <c r="N81" s="405"/>
      <c r="O81" s="405"/>
      <c r="P81" s="405"/>
      <c r="Q81" s="405"/>
      <c r="R81" s="405"/>
      <c r="S81" s="405"/>
      <c r="T81" s="416"/>
      <c r="U81" s="417"/>
      <c r="V81" s="417"/>
      <c r="W81" s="417"/>
      <c r="X81" s="417"/>
      <c r="Y81" s="417"/>
      <c r="Z81" s="417"/>
      <c r="AA81" s="417"/>
      <c r="AB81" s="417"/>
      <c r="AC81" s="417"/>
      <c r="AD81" s="417"/>
      <c r="AE81" s="417"/>
      <c r="AF81" s="417"/>
      <c r="AG81" s="417"/>
      <c r="AH81" s="417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  <c r="BD81" s="401"/>
      <c r="BE81" s="401"/>
      <c r="BF81" s="401"/>
      <c r="BG81" s="401"/>
      <c r="BH81" s="401"/>
      <c r="BI81" s="401"/>
      <c r="BJ81" s="401"/>
      <c r="BK81" s="401"/>
      <c r="BL81" s="401"/>
      <c r="BM81" s="401"/>
      <c r="BN81" s="401"/>
      <c r="BO81" s="401"/>
      <c r="BP81" s="401"/>
      <c r="BQ81" s="401"/>
      <c r="BR81" s="401"/>
      <c r="BS81" s="401"/>
      <c r="BT81" s="401"/>
      <c r="BU81" s="401"/>
      <c r="BV81" s="401"/>
      <c r="BW81" s="401"/>
      <c r="BX81" s="401"/>
      <c r="BY81" s="401"/>
      <c r="BZ81" s="401"/>
      <c r="CA81" s="401"/>
      <c r="CB81" s="401"/>
      <c r="CC81" s="401"/>
      <c r="CD81" s="401"/>
      <c r="CE81" s="401"/>
      <c r="CF81" s="401"/>
      <c r="CG81" s="401"/>
      <c r="CH81" s="401"/>
      <c r="CI81" s="401"/>
      <c r="CJ81" s="401"/>
      <c r="CK81" s="401"/>
      <c r="CL81" s="401"/>
      <c r="CM81" s="401"/>
      <c r="CN81" s="401"/>
      <c r="CO81" s="401"/>
      <c r="CP81" s="401"/>
      <c r="CQ81" s="401"/>
      <c r="CR81" s="401"/>
      <c r="CS81" s="401"/>
      <c r="CT81" s="401"/>
      <c r="CU81" s="401"/>
      <c r="CV81" s="401"/>
      <c r="CW81" s="401"/>
      <c r="CX81" s="401"/>
      <c r="CY81" s="401"/>
      <c r="CZ81" s="401"/>
      <c r="DA81" s="401"/>
      <c r="DB81" s="401"/>
      <c r="DC81" s="401"/>
      <c r="DD81" s="401"/>
      <c r="DE81" s="401"/>
      <c r="DF81" s="401"/>
      <c r="DG81" s="401"/>
      <c r="DH81" s="401"/>
      <c r="DI81" s="401"/>
      <c r="DJ81" s="401"/>
      <c r="DK81" s="401"/>
      <c r="DL81" s="401"/>
      <c r="DM81" s="401"/>
      <c r="DN81" s="401"/>
      <c r="DO81" s="401"/>
      <c r="DP81" s="401"/>
      <c r="DQ81" s="401"/>
      <c r="DR81" s="401"/>
      <c r="DS81" s="401"/>
      <c r="DT81" s="401"/>
      <c r="DU81" s="401"/>
      <c r="DV81" s="401"/>
      <c r="DW81" s="401"/>
      <c r="DX81" s="401"/>
      <c r="DY81" s="401"/>
      <c r="DZ81" s="401"/>
      <c r="EA81" s="401"/>
      <c r="EB81" s="401"/>
      <c r="EC81" s="401"/>
      <c r="ED81" s="401"/>
      <c r="EE81" s="401"/>
      <c r="EF81" s="401"/>
      <c r="EG81" s="401"/>
      <c r="EH81" s="401"/>
      <c r="EI81" s="401"/>
      <c r="EJ81" s="401"/>
      <c r="EK81" s="401"/>
      <c r="EL81" s="401"/>
      <c r="EM81" s="401"/>
      <c r="EN81" s="401"/>
      <c r="EO81" s="401"/>
      <c r="EP81" s="401"/>
      <c r="EQ81" s="401"/>
      <c r="ER81" s="401"/>
      <c r="ES81" s="401"/>
      <c r="ET81" s="401"/>
      <c r="EU81" s="401"/>
      <c r="EV81" s="401"/>
      <c r="EW81" s="401"/>
      <c r="EX81" s="401"/>
      <c r="EY81" s="401"/>
      <c r="EZ81" s="401"/>
      <c r="FA81" s="401"/>
      <c r="FB81" s="401"/>
      <c r="FC81" s="401"/>
      <c r="FD81" s="401"/>
      <c r="FE81" s="401"/>
      <c r="FF81" s="401"/>
      <c r="FG81" s="401"/>
      <c r="FH81" s="401"/>
      <c r="FI81" s="401"/>
      <c r="FJ81" s="401"/>
      <c r="FK81" s="401"/>
      <c r="FL81" s="401"/>
      <c r="FM81" s="401"/>
      <c r="FN81" s="401"/>
      <c r="FO81" s="401"/>
      <c r="FP81" s="401"/>
      <c r="FQ81" s="401"/>
      <c r="FR81" s="401"/>
      <c r="FS81" s="401"/>
      <c r="FT81" s="401"/>
      <c r="FU81" s="401"/>
      <c r="FV81" s="401"/>
      <c r="FW81" s="401"/>
      <c r="FX81" s="401"/>
      <c r="FY81" s="401"/>
      <c r="FZ81" s="401"/>
      <c r="GA81" s="401"/>
      <c r="GB81" s="401"/>
      <c r="GC81" s="401"/>
      <c r="GD81" s="401"/>
      <c r="GE81" s="401"/>
      <c r="GF81" s="401"/>
      <c r="GG81" s="401"/>
      <c r="GH81" s="401"/>
      <c r="GI81" s="401"/>
      <c r="GJ81" s="401"/>
      <c r="GK81" s="401"/>
      <c r="GL81" s="401"/>
      <c r="GM81" s="401"/>
      <c r="GN81" s="401"/>
      <c r="GO81" s="401"/>
      <c r="GP81" s="401"/>
      <c r="GQ81" s="401"/>
      <c r="GR81" s="401"/>
      <c r="GS81" s="401"/>
      <c r="GT81" s="401"/>
      <c r="GU81" s="401"/>
      <c r="GV81" s="401"/>
      <c r="GW81" s="428"/>
      <c r="GX81" s="368" t="s">
        <v>626</v>
      </c>
      <c r="GY81" s="368"/>
      <c r="GZ81" s="369"/>
      <c r="HA81" s="369"/>
      <c r="HB81" s="369"/>
      <c r="HC81" s="369"/>
      <c r="HD81" s="369"/>
      <c r="HE81" s="369"/>
      <c r="HF81" s="369"/>
      <c r="HG81" s="369"/>
      <c r="HH81" s="369"/>
      <c r="HI81" s="369"/>
      <c r="HJ81" s="369"/>
      <c r="HK81" s="369"/>
      <c r="HL81" s="369"/>
      <c r="HM81" s="430"/>
      <c r="HN81" s="430"/>
      <c r="HO81" s="430"/>
      <c r="HP81" s="430"/>
      <c r="HQ81" s="430"/>
      <c r="HR81" s="430"/>
      <c r="HS81" s="430"/>
      <c r="HT81" s="430"/>
      <c r="HU81" s="430"/>
      <c r="HV81" s="430"/>
      <c r="HW81" s="430"/>
      <c r="HX81" s="430"/>
      <c r="HY81" s="430"/>
      <c r="HZ81" s="430"/>
      <c r="IA81" s="430"/>
      <c r="IB81" s="430"/>
      <c r="IC81" s="430"/>
      <c r="ID81" s="430"/>
      <c r="IE81" s="401"/>
      <c r="IH81" s="401"/>
      <c r="II81" s="401"/>
      <c r="IJ81" s="401"/>
      <c r="IK81" s="401"/>
      <c r="IL81" s="401"/>
      <c r="IM81" s="401"/>
      <c r="IN81" s="401"/>
      <c r="IO81" s="401"/>
      <c r="IP81" s="401"/>
      <c r="IQ81" s="401"/>
      <c r="IR81" s="401"/>
      <c r="IS81" s="401"/>
      <c r="IT81" s="401"/>
      <c r="IU81" s="401"/>
      <c r="IV81" s="401"/>
      <c r="IW81" s="401"/>
      <c r="IX81" s="401"/>
      <c r="IY81" s="401"/>
      <c r="IZ81" s="401"/>
      <c r="JA81" s="401"/>
      <c r="JB81" s="401"/>
      <c r="JC81" s="401"/>
      <c r="JD81" s="401"/>
      <c r="JE81" s="401"/>
      <c r="JF81" s="401"/>
      <c r="JG81" s="401"/>
      <c r="JH81" s="401"/>
      <c r="JI81" s="401"/>
      <c r="JJ81" s="401"/>
      <c r="JK81" s="401"/>
      <c r="JL81" s="401"/>
      <c r="JM81" s="401"/>
      <c r="JN81" s="401"/>
      <c r="JO81" s="401"/>
      <c r="JP81" s="401"/>
      <c r="JQ81" s="401"/>
      <c r="JR81" s="401"/>
      <c r="JS81" s="401"/>
      <c r="JT81" s="401"/>
      <c r="JU81" s="401"/>
      <c r="JV81" s="401"/>
      <c r="JW81" s="401"/>
      <c r="JX81" s="401"/>
      <c r="JY81" s="401"/>
      <c r="JZ81" s="401"/>
      <c r="KA81" s="401"/>
      <c r="KB81" s="401"/>
      <c r="KC81" s="401"/>
      <c r="KD81" s="401"/>
      <c r="KE81" s="401"/>
      <c r="KF81" s="401"/>
      <c r="KG81" s="434"/>
      <c r="KH81" s="401"/>
      <c r="KI81" s="401"/>
      <c r="KJ81" s="401"/>
      <c r="KK81" s="401"/>
      <c r="KL81" s="401"/>
      <c r="KM81" s="401"/>
      <c r="KN81" s="401"/>
      <c r="KO81" s="401"/>
      <c r="KP81" s="401"/>
      <c r="KQ81" s="401"/>
      <c r="KR81" s="401"/>
      <c r="KS81" s="401"/>
      <c r="KT81" s="436"/>
      <c r="KU81" s="436"/>
      <c r="KV81" s="436"/>
      <c r="KW81" s="436"/>
      <c r="KX81" s="436"/>
      <c r="KY81" s="436"/>
    </row>
    <row r="82" spans="4:311">
      <c r="D82" s="401"/>
      <c r="E82" s="401"/>
      <c r="F82" s="401"/>
      <c r="G82" s="401"/>
      <c r="H82" s="401"/>
      <c r="I82" s="402"/>
      <c r="J82" s="403"/>
      <c r="K82" s="405"/>
      <c r="L82" s="405"/>
      <c r="M82" s="405"/>
      <c r="N82" s="405"/>
      <c r="O82" s="405"/>
      <c r="P82" s="405"/>
      <c r="Q82" s="405"/>
      <c r="R82" s="405"/>
      <c r="S82" s="405"/>
      <c r="T82" s="416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1"/>
      <c r="BG82" s="401"/>
      <c r="BH82" s="401"/>
      <c r="BI82" s="401"/>
      <c r="BJ82" s="401"/>
      <c r="BK82" s="401"/>
      <c r="BL82" s="401"/>
      <c r="BM82" s="401"/>
      <c r="BN82" s="401"/>
      <c r="BO82" s="401"/>
      <c r="BP82" s="401"/>
      <c r="BQ82" s="401"/>
      <c r="BR82" s="401"/>
      <c r="BS82" s="401"/>
      <c r="BT82" s="401"/>
      <c r="BU82" s="401"/>
      <c r="BV82" s="401"/>
      <c r="BW82" s="401"/>
      <c r="BX82" s="401"/>
      <c r="BY82" s="401"/>
      <c r="BZ82" s="401"/>
      <c r="CA82" s="401"/>
      <c r="CB82" s="401"/>
      <c r="CC82" s="401"/>
      <c r="CD82" s="401"/>
      <c r="CE82" s="401"/>
      <c r="CF82" s="401"/>
      <c r="CG82" s="401"/>
      <c r="CH82" s="401"/>
      <c r="CI82" s="401"/>
      <c r="CJ82" s="401"/>
      <c r="CK82" s="401"/>
      <c r="CL82" s="401"/>
      <c r="CM82" s="401"/>
      <c r="CN82" s="401"/>
      <c r="CO82" s="401"/>
      <c r="CP82" s="401"/>
      <c r="CQ82" s="401"/>
      <c r="CR82" s="401"/>
      <c r="CS82" s="401"/>
      <c r="CT82" s="401"/>
      <c r="CU82" s="401"/>
      <c r="CV82" s="401"/>
      <c r="CW82" s="401"/>
      <c r="CX82" s="401"/>
      <c r="CY82" s="401"/>
      <c r="CZ82" s="401"/>
      <c r="DA82" s="401"/>
      <c r="DB82" s="401"/>
      <c r="DC82" s="401"/>
      <c r="DD82" s="401"/>
      <c r="DE82" s="401"/>
      <c r="DF82" s="401"/>
      <c r="DG82" s="401"/>
      <c r="DH82" s="401"/>
      <c r="DI82" s="401"/>
      <c r="DJ82" s="401"/>
      <c r="DK82" s="401"/>
      <c r="DL82" s="401"/>
      <c r="DM82" s="401"/>
      <c r="DN82" s="401"/>
      <c r="DO82" s="401"/>
      <c r="DP82" s="401"/>
      <c r="DQ82" s="401"/>
      <c r="DR82" s="401"/>
      <c r="DS82" s="401"/>
      <c r="DT82" s="401"/>
      <c r="DU82" s="401"/>
      <c r="DV82" s="401"/>
      <c r="DW82" s="401"/>
      <c r="DX82" s="401"/>
      <c r="DY82" s="401"/>
      <c r="DZ82" s="401"/>
      <c r="EA82" s="401"/>
      <c r="EB82" s="401"/>
      <c r="EC82" s="401"/>
      <c r="ED82" s="401"/>
      <c r="EE82" s="401"/>
      <c r="EF82" s="401"/>
      <c r="EG82" s="401"/>
      <c r="EH82" s="401"/>
      <c r="EI82" s="401"/>
      <c r="EJ82" s="401"/>
      <c r="EK82" s="401"/>
      <c r="EL82" s="401"/>
      <c r="EM82" s="401"/>
      <c r="EN82" s="401"/>
      <c r="EO82" s="401"/>
      <c r="EP82" s="401"/>
      <c r="EQ82" s="401"/>
      <c r="ER82" s="401"/>
      <c r="ES82" s="401"/>
      <c r="ET82" s="401"/>
      <c r="EU82" s="401"/>
      <c r="EV82" s="401"/>
      <c r="EW82" s="401"/>
      <c r="EX82" s="401"/>
      <c r="EY82" s="401"/>
      <c r="EZ82" s="401"/>
      <c r="FA82" s="401"/>
      <c r="FB82" s="401"/>
      <c r="FC82" s="401"/>
      <c r="FD82" s="401"/>
      <c r="FE82" s="401"/>
      <c r="FF82" s="401"/>
      <c r="FG82" s="401"/>
      <c r="FH82" s="401"/>
      <c r="FI82" s="401"/>
      <c r="FJ82" s="401"/>
      <c r="FK82" s="401"/>
      <c r="FL82" s="401"/>
      <c r="FM82" s="401"/>
      <c r="FN82" s="401"/>
      <c r="FO82" s="401"/>
      <c r="FP82" s="401"/>
      <c r="FQ82" s="401"/>
      <c r="FR82" s="401"/>
      <c r="FS82" s="401"/>
      <c r="FT82" s="401"/>
      <c r="FU82" s="401"/>
      <c r="FV82" s="401"/>
      <c r="FW82" s="401"/>
      <c r="FX82" s="401"/>
      <c r="FY82" s="401"/>
      <c r="FZ82" s="401"/>
      <c r="GA82" s="401"/>
      <c r="GB82" s="401"/>
      <c r="GC82" s="401"/>
      <c r="GD82" s="401"/>
      <c r="GE82" s="401"/>
      <c r="GF82" s="401"/>
      <c r="GG82" s="401"/>
      <c r="GH82" s="401"/>
      <c r="GI82" s="401"/>
      <c r="GJ82" s="401"/>
      <c r="GK82" s="401"/>
      <c r="GL82" s="401"/>
      <c r="GM82" s="401"/>
      <c r="GN82" s="401"/>
      <c r="GO82" s="401"/>
      <c r="GP82" s="401"/>
      <c r="GQ82" s="401"/>
      <c r="GR82" s="401"/>
      <c r="GS82" s="401"/>
      <c r="GT82" s="401"/>
      <c r="GU82" s="401"/>
      <c r="GV82" s="401"/>
      <c r="GW82" s="428"/>
      <c r="GX82" s="368" t="s">
        <v>580</v>
      </c>
      <c r="GY82" s="368"/>
      <c r="GZ82" s="369"/>
      <c r="HA82" s="369"/>
      <c r="HB82" s="369"/>
      <c r="HC82" s="369"/>
      <c r="HD82" s="369"/>
      <c r="HE82" s="369"/>
      <c r="HF82" s="369"/>
      <c r="HG82" s="369"/>
      <c r="HH82" s="369"/>
      <c r="HI82" s="369"/>
      <c r="HJ82" s="369"/>
      <c r="HK82" s="369"/>
      <c r="HL82" s="369"/>
      <c r="HM82" s="430"/>
      <c r="HN82" s="430"/>
      <c r="HO82" s="430"/>
      <c r="HP82" s="430"/>
      <c r="HQ82" s="430"/>
      <c r="HR82" s="430"/>
      <c r="HS82" s="430"/>
      <c r="HT82" s="430"/>
      <c r="HU82" s="430"/>
      <c r="HV82" s="430"/>
      <c r="HW82" s="430"/>
      <c r="HX82" s="430"/>
      <c r="HY82" s="430"/>
      <c r="HZ82" s="430"/>
      <c r="IA82" s="430"/>
      <c r="IB82" s="430"/>
      <c r="IC82" s="430"/>
      <c r="ID82" s="430"/>
      <c r="IE82" s="401"/>
      <c r="IH82" s="401"/>
      <c r="II82" s="401"/>
      <c r="IJ82" s="401"/>
      <c r="IK82" s="401"/>
      <c r="IL82" s="401"/>
      <c r="IM82" s="401"/>
      <c r="IN82" s="401"/>
      <c r="IO82" s="401"/>
      <c r="IP82" s="401"/>
      <c r="IQ82" s="401"/>
      <c r="IR82" s="401"/>
      <c r="IS82" s="401"/>
      <c r="IT82" s="401"/>
      <c r="IU82" s="401"/>
      <c r="IV82" s="401"/>
      <c r="IW82" s="401"/>
      <c r="IX82" s="401"/>
      <c r="IY82" s="401"/>
      <c r="IZ82" s="401"/>
      <c r="JA82" s="401"/>
      <c r="JB82" s="401"/>
      <c r="JC82" s="401"/>
      <c r="JD82" s="401"/>
      <c r="JE82" s="401"/>
      <c r="JF82" s="401"/>
      <c r="JG82" s="401"/>
      <c r="JH82" s="401"/>
      <c r="JI82" s="401"/>
      <c r="JJ82" s="401"/>
      <c r="JK82" s="401"/>
      <c r="JL82" s="401"/>
      <c r="JM82" s="401"/>
      <c r="JN82" s="401"/>
      <c r="JO82" s="401"/>
      <c r="JP82" s="401"/>
      <c r="JQ82" s="401"/>
      <c r="JR82" s="401"/>
      <c r="JS82" s="401"/>
      <c r="JT82" s="401"/>
      <c r="JU82" s="401"/>
      <c r="JV82" s="401"/>
      <c r="JW82" s="401"/>
      <c r="JX82" s="401"/>
      <c r="JY82" s="401"/>
      <c r="JZ82" s="401"/>
      <c r="KA82" s="401"/>
      <c r="KB82" s="401"/>
      <c r="KC82" s="401"/>
      <c r="KD82" s="401"/>
      <c r="KE82" s="401"/>
      <c r="KF82" s="401"/>
      <c r="KG82" s="434"/>
      <c r="KH82" s="401"/>
      <c r="KI82" s="401"/>
      <c r="KJ82" s="401"/>
      <c r="KK82" s="401"/>
      <c r="KL82" s="401"/>
      <c r="KM82" s="401"/>
      <c r="KN82" s="401"/>
      <c r="KO82" s="401"/>
      <c r="KP82" s="401"/>
      <c r="KQ82" s="401"/>
      <c r="KR82" s="401"/>
      <c r="KS82" s="401"/>
      <c r="KT82" s="436"/>
      <c r="KU82" s="436"/>
      <c r="KV82" s="436"/>
      <c r="KW82" s="436"/>
      <c r="KX82" s="436"/>
      <c r="KY82" s="436"/>
    </row>
    <row r="83" ht="17.4" customHeight="1" spans="4:311">
      <c r="D83" s="401"/>
      <c r="E83" s="401"/>
      <c r="F83" s="401"/>
      <c r="G83" s="401"/>
      <c r="H83" s="401"/>
      <c r="I83" s="402"/>
      <c r="J83" s="403"/>
      <c r="K83" s="405"/>
      <c r="L83" s="405"/>
      <c r="M83" s="405"/>
      <c r="N83" s="405"/>
      <c r="O83" s="405"/>
      <c r="P83" s="405"/>
      <c r="Q83" s="405"/>
      <c r="R83" s="405"/>
      <c r="S83" s="405"/>
      <c r="T83" s="416"/>
      <c r="U83" s="417"/>
      <c r="V83" s="417"/>
      <c r="W83" s="417"/>
      <c r="X83" s="417"/>
      <c r="Y83" s="417"/>
      <c r="Z83" s="417"/>
      <c r="AA83" s="417"/>
      <c r="AB83" s="417"/>
      <c r="AC83" s="417"/>
      <c r="AD83" s="417"/>
      <c r="AE83" s="417"/>
      <c r="AF83" s="417"/>
      <c r="AG83" s="417"/>
      <c r="AH83" s="417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  <c r="BD83" s="401"/>
      <c r="BE83" s="401"/>
      <c r="BF83" s="401"/>
      <c r="BG83" s="401"/>
      <c r="BH83" s="401"/>
      <c r="BI83" s="401"/>
      <c r="BJ83" s="401"/>
      <c r="BK83" s="401"/>
      <c r="BL83" s="401"/>
      <c r="BM83" s="401"/>
      <c r="BN83" s="401"/>
      <c r="BO83" s="401"/>
      <c r="BP83" s="401"/>
      <c r="BQ83" s="401"/>
      <c r="BR83" s="401"/>
      <c r="BS83" s="401"/>
      <c r="BT83" s="401"/>
      <c r="BU83" s="401"/>
      <c r="BV83" s="401"/>
      <c r="BW83" s="401"/>
      <c r="BX83" s="401"/>
      <c r="BY83" s="401"/>
      <c r="BZ83" s="401"/>
      <c r="CA83" s="401"/>
      <c r="CB83" s="401"/>
      <c r="CC83" s="401"/>
      <c r="CD83" s="401"/>
      <c r="CE83" s="401"/>
      <c r="CF83" s="401"/>
      <c r="CG83" s="401"/>
      <c r="CH83" s="401"/>
      <c r="CI83" s="401"/>
      <c r="CJ83" s="401"/>
      <c r="CK83" s="401"/>
      <c r="CL83" s="401"/>
      <c r="CM83" s="401"/>
      <c r="CN83" s="401"/>
      <c r="CO83" s="401"/>
      <c r="CP83" s="401"/>
      <c r="CQ83" s="401"/>
      <c r="CR83" s="401"/>
      <c r="CS83" s="401"/>
      <c r="CT83" s="401"/>
      <c r="CU83" s="401"/>
      <c r="CV83" s="401"/>
      <c r="CW83" s="401"/>
      <c r="CX83" s="401"/>
      <c r="CY83" s="401"/>
      <c r="CZ83" s="401"/>
      <c r="DA83" s="401"/>
      <c r="DB83" s="401"/>
      <c r="DC83" s="401"/>
      <c r="DD83" s="401"/>
      <c r="DE83" s="401"/>
      <c r="DF83" s="401"/>
      <c r="DG83" s="401"/>
      <c r="DH83" s="401"/>
      <c r="DI83" s="401"/>
      <c r="DJ83" s="401"/>
      <c r="DK83" s="401"/>
      <c r="DL83" s="401"/>
      <c r="DM83" s="401"/>
      <c r="DN83" s="401"/>
      <c r="DO83" s="401"/>
      <c r="DP83" s="401"/>
      <c r="DQ83" s="401"/>
      <c r="DR83" s="401"/>
      <c r="DS83" s="401"/>
      <c r="DT83" s="401"/>
      <c r="DU83" s="401"/>
      <c r="DV83" s="401"/>
      <c r="DW83" s="401"/>
      <c r="DX83" s="401"/>
      <c r="DY83" s="401"/>
      <c r="DZ83" s="401"/>
      <c r="EA83" s="401"/>
      <c r="EB83" s="401"/>
      <c r="EC83" s="401"/>
      <c r="ED83" s="401"/>
      <c r="EE83" s="401"/>
      <c r="EF83" s="401"/>
      <c r="EG83" s="401"/>
      <c r="EH83" s="401"/>
      <c r="EI83" s="401"/>
      <c r="EJ83" s="401"/>
      <c r="EK83" s="401"/>
      <c r="EL83" s="401"/>
      <c r="EM83" s="401"/>
      <c r="EN83" s="401"/>
      <c r="EO83" s="401"/>
      <c r="EP83" s="401"/>
      <c r="EQ83" s="401"/>
      <c r="ER83" s="401"/>
      <c r="ES83" s="401"/>
      <c r="ET83" s="401"/>
      <c r="EU83" s="401"/>
      <c r="EV83" s="401"/>
      <c r="EW83" s="401"/>
      <c r="EX83" s="401"/>
      <c r="EY83" s="401"/>
      <c r="EZ83" s="401"/>
      <c r="FA83" s="401"/>
      <c r="FB83" s="401"/>
      <c r="FC83" s="401"/>
      <c r="FD83" s="401"/>
      <c r="FE83" s="401"/>
      <c r="FF83" s="401"/>
      <c r="FG83" s="401"/>
      <c r="FH83" s="401"/>
      <c r="FI83" s="401"/>
      <c r="FJ83" s="401"/>
      <c r="FK83" s="401"/>
      <c r="FL83" s="401"/>
      <c r="FM83" s="401"/>
      <c r="FN83" s="401"/>
      <c r="FO83" s="401"/>
      <c r="FP83" s="401"/>
      <c r="FQ83" s="401"/>
      <c r="FR83" s="401"/>
      <c r="FS83" s="401"/>
      <c r="FT83" s="401"/>
      <c r="FU83" s="401"/>
      <c r="FV83" s="401"/>
      <c r="FW83" s="401"/>
      <c r="FX83" s="401"/>
      <c r="FY83" s="401"/>
      <c r="FZ83" s="401"/>
      <c r="GA83" s="401"/>
      <c r="GB83" s="401"/>
      <c r="GC83" s="401"/>
      <c r="GD83" s="401"/>
      <c r="GE83" s="401"/>
      <c r="GF83" s="401"/>
      <c r="GG83" s="401"/>
      <c r="GH83" s="401"/>
      <c r="GI83" s="401"/>
      <c r="GJ83" s="401"/>
      <c r="GK83" s="401"/>
      <c r="GL83" s="401"/>
      <c r="GM83" s="401"/>
      <c r="GN83" s="401"/>
      <c r="GO83" s="401"/>
      <c r="GP83" s="401"/>
      <c r="GQ83" s="401"/>
      <c r="GR83" s="401"/>
      <c r="GS83" s="401"/>
      <c r="GT83" s="401"/>
      <c r="GU83" s="401"/>
      <c r="GV83" s="401"/>
      <c r="GW83" s="428"/>
      <c r="GX83" s="368" t="s">
        <v>540</v>
      </c>
      <c r="GY83" s="368"/>
      <c r="GZ83" s="369"/>
      <c r="HA83" s="369"/>
      <c r="HB83" s="369"/>
      <c r="HC83" s="369"/>
      <c r="HD83" s="369"/>
      <c r="HE83" s="369"/>
      <c r="HF83" s="369"/>
      <c r="HG83" s="369"/>
      <c r="HH83" s="369"/>
      <c r="HI83" s="369"/>
      <c r="HJ83" s="369"/>
      <c r="HK83" s="369"/>
      <c r="HL83" s="369"/>
      <c r="HM83" s="430"/>
      <c r="HN83" s="430"/>
      <c r="HO83" s="430"/>
      <c r="HP83" s="430"/>
      <c r="HQ83" s="430"/>
      <c r="HR83" s="430"/>
      <c r="HS83" s="430"/>
      <c r="HT83" s="430"/>
      <c r="HU83" s="430"/>
      <c r="HV83" s="430"/>
      <c r="HW83" s="430"/>
      <c r="HX83" s="430"/>
      <c r="HY83" s="430"/>
      <c r="HZ83" s="430"/>
      <c r="IA83" s="430"/>
      <c r="IB83" s="430"/>
      <c r="IC83" s="430"/>
      <c r="ID83" s="430"/>
      <c r="IE83" s="401"/>
      <c r="IH83" s="401"/>
      <c r="II83" s="401"/>
      <c r="IJ83" s="401"/>
      <c r="IK83" s="401"/>
      <c r="IL83" s="401"/>
      <c r="IM83" s="401"/>
      <c r="IN83" s="401"/>
      <c r="IO83" s="401"/>
      <c r="IP83" s="401"/>
      <c r="IQ83" s="401"/>
      <c r="IR83" s="401"/>
      <c r="IS83" s="401"/>
      <c r="IT83" s="401"/>
      <c r="IU83" s="401"/>
      <c r="IV83" s="401"/>
      <c r="IW83" s="401"/>
      <c r="IX83" s="401"/>
      <c r="IY83" s="401"/>
      <c r="IZ83" s="401"/>
      <c r="JA83" s="401"/>
      <c r="JB83" s="401"/>
      <c r="JC83" s="401"/>
      <c r="JD83" s="401"/>
      <c r="JE83" s="401"/>
      <c r="JF83" s="401"/>
      <c r="JG83" s="401"/>
      <c r="JH83" s="401"/>
      <c r="JI83" s="401"/>
      <c r="JJ83" s="401"/>
      <c r="JK83" s="401"/>
      <c r="JL83" s="401"/>
      <c r="JM83" s="401"/>
      <c r="JN83" s="401"/>
      <c r="JO83" s="401"/>
      <c r="JP83" s="401"/>
      <c r="JQ83" s="401"/>
      <c r="JR83" s="401"/>
      <c r="JS83" s="401"/>
      <c r="JT83" s="401"/>
      <c r="JU83" s="401"/>
      <c r="JV83" s="401"/>
      <c r="JW83" s="401"/>
      <c r="JX83" s="401"/>
      <c r="JY83" s="401"/>
      <c r="JZ83" s="401"/>
      <c r="KA83" s="401"/>
      <c r="KB83" s="401"/>
      <c r="KC83" s="401"/>
      <c r="KD83" s="401"/>
      <c r="KE83" s="401"/>
      <c r="KF83" s="401"/>
      <c r="KG83" s="434"/>
      <c r="KH83" s="401"/>
      <c r="KI83" s="401"/>
      <c r="KJ83" s="401"/>
      <c r="KK83" s="401"/>
      <c r="KL83" s="401"/>
      <c r="KM83" s="401"/>
      <c r="KN83" s="401"/>
      <c r="KO83" s="401"/>
      <c r="KP83" s="401"/>
      <c r="KQ83" s="401"/>
      <c r="KR83" s="401"/>
      <c r="KS83" s="401"/>
      <c r="KT83" s="436"/>
      <c r="KU83" s="436"/>
      <c r="KV83" s="436"/>
      <c r="KW83" s="436"/>
      <c r="KX83" s="436"/>
      <c r="KY83" s="436"/>
    </row>
    <row r="84" spans="3:311">
      <c r="C84" s="299"/>
      <c r="D84" s="401"/>
      <c r="E84" s="401"/>
      <c r="F84" s="401"/>
      <c r="G84" s="401"/>
      <c r="H84" s="401"/>
      <c r="I84" s="402"/>
      <c r="J84" s="412"/>
      <c r="K84" s="413"/>
      <c r="L84" s="413"/>
      <c r="M84" s="413"/>
      <c r="N84" s="413"/>
      <c r="O84" s="413"/>
      <c r="P84" s="413"/>
      <c r="Q84" s="413"/>
      <c r="R84" s="413"/>
      <c r="S84" s="413"/>
      <c r="T84" s="422"/>
      <c r="U84" s="417"/>
      <c r="V84" s="417"/>
      <c r="W84" s="417"/>
      <c r="X84" s="417"/>
      <c r="Y84" s="417"/>
      <c r="Z84" s="417"/>
      <c r="AA84" s="417"/>
      <c r="AB84" s="417"/>
      <c r="AC84" s="417"/>
      <c r="AD84" s="417"/>
      <c r="AE84" s="417"/>
      <c r="AF84" s="417"/>
      <c r="AG84" s="417"/>
      <c r="AH84" s="417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  <c r="BD84" s="401"/>
      <c r="BE84" s="401"/>
      <c r="BF84" s="401"/>
      <c r="BG84" s="401"/>
      <c r="BH84" s="401"/>
      <c r="BI84" s="401"/>
      <c r="BJ84" s="401"/>
      <c r="BK84" s="401"/>
      <c r="BL84" s="401"/>
      <c r="BM84" s="401"/>
      <c r="BN84" s="401"/>
      <c r="BO84" s="401"/>
      <c r="BP84" s="401"/>
      <c r="BQ84" s="401"/>
      <c r="BR84" s="401"/>
      <c r="BS84" s="401"/>
      <c r="BT84" s="401"/>
      <c r="BU84" s="401"/>
      <c r="BV84" s="401"/>
      <c r="BW84" s="401"/>
      <c r="BX84" s="401"/>
      <c r="BY84" s="401"/>
      <c r="BZ84" s="401"/>
      <c r="CA84" s="401"/>
      <c r="CB84" s="401"/>
      <c r="CC84" s="401"/>
      <c r="CD84" s="401"/>
      <c r="CE84" s="401"/>
      <c r="CF84" s="401"/>
      <c r="CG84" s="401"/>
      <c r="CH84" s="401"/>
      <c r="CI84" s="401"/>
      <c r="CJ84" s="401"/>
      <c r="CK84" s="401"/>
      <c r="CL84" s="401"/>
      <c r="CM84" s="401"/>
      <c r="CN84" s="401"/>
      <c r="CO84" s="401"/>
      <c r="CP84" s="401"/>
      <c r="CQ84" s="401"/>
      <c r="CR84" s="401"/>
      <c r="CS84" s="401"/>
      <c r="CT84" s="401"/>
      <c r="CU84" s="401"/>
      <c r="CV84" s="401"/>
      <c r="CW84" s="401"/>
      <c r="CX84" s="401"/>
      <c r="CY84" s="401"/>
      <c r="CZ84" s="401"/>
      <c r="DA84" s="401"/>
      <c r="DB84" s="401"/>
      <c r="DC84" s="401"/>
      <c r="DD84" s="401"/>
      <c r="DE84" s="401"/>
      <c r="DF84" s="401"/>
      <c r="DG84" s="401"/>
      <c r="DH84" s="401"/>
      <c r="DI84" s="401"/>
      <c r="DJ84" s="401"/>
      <c r="DK84" s="401"/>
      <c r="DL84" s="401"/>
      <c r="DM84" s="401"/>
      <c r="DN84" s="401"/>
      <c r="DO84" s="401"/>
      <c r="DP84" s="401"/>
      <c r="DQ84" s="401"/>
      <c r="DR84" s="401"/>
      <c r="DS84" s="401"/>
      <c r="DT84" s="401"/>
      <c r="DU84" s="401"/>
      <c r="DV84" s="401"/>
      <c r="DW84" s="401"/>
      <c r="DX84" s="401"/>
      <c r="DY84" s="401"/>
      <c r="DZ84" s="401"/>
      <c r="EA84" s="401"/>
      <c r="EB84" s="401"/>
      <c r="EC84" s="401"/>
      <c r="ED84" s="401"/>
      <c r="EE84" s="401"/>
      <c r="EF84" s="401"/>
      <c r="EG84" s="401"/>
      <c r="EH84" s="401"/>
      <c r="EI84" s="401"/>
      <c r="EJ84" s="401"/>
      <c r="EK84" s="401"/>
      <c r="EL84" s="401"/>
      <c r="EM84" s="401"/>
      <c r="EN84" s="401"/>
      <c r="EO84" s="401"/>
      <c r="EP84" s="401"/>
      <c r="EQ84" s="401"/>
      <c r="ER84" s="401"/>
      <c r="ES84" s="401"/>
      <c r="ET84" s="401"/>
      <c r="EU84" s="401"/>
      <c r="EV84" s="401"/>
      <c r="EW84" s="401"/>
      <c r="EX84" s="401"/>
      <c r="EY84" s="401"/>
      <c r="EZ84" s="401"/>
      <c r="FA84" s="401"/>
      <c r="FB84" s="401"/>
      <c r="FC84" s="401"/>
      <c r="FD84" s="401"/>
      <c r="FE84" s="401"/>
      <c r="FF84" s="401"/>
      <c r="FG84" s="401"/>
      <c r="FH84" s="401"/>
      <c r="FI84" s="401"/>
      <c r="FJ84" s="401"/>
      <c r="FK84" s="401"/>
      <c r="FL84" s="401"/>
      <c r="FM84" s="401"/>
      <c r="FN84" s="401"/>
      <c r="FO84" s="401"/>
      <c r="FP84" s="401"/>
      <c r="FQ84" s="401"/>
      <c r="FR84" s="401"/>
      <c r="FS84" s="401"/>
      <c r="FT84" s="401"/>
      <c r="FU84" s="401"/>
      <c r="FV84" s="401"/>
      <c r="FW84" s="401"/>
      <c r="FX84" s="401"/>
      <c r="FY84" s="401"/>
      <c r="FZ84" s="401"/>
      <c r="GA84" s="401"/>
      <c r="GB84" s="401"/>
      <c r="GC84" s="401"/>
      <c r="GD84" s="401"/>
      <c r="GE84" s="401"/>
      <c r="GF84" s="401"/>
      <c r="GG84" s="401"/>
      <c r="GH84" s="401"/>
      <c r="GI84" s="401"/>
      <c r="GJ84" s="401"/>
      <c r="GK84" s="401"/>
      <c r="GL84" s="401"/>
      <c r="GM84" s="401"/>
      <c r="GN84" s="401"/>
      <c r="GO84" s="401"/>
      <c r="GP84" s="401"/>
      <c r="GQ84" s="401"/>
      <c r="GR84" s="401"/>
      <c r="GS84" s="401"/>
      <c r="GT84" s="401"/>
      <c r="GU84" s="401"/>
      <c r="GV84" s="401"/>
      <c r="GW84" s="428"/>
      <c r="GX84" s="368" t="s">
        <v>513</v>
      </c>
      <c r="GY84" s="368"/>
      <c r="GZ84" s="369"/>
      <c r="HA84" s="369"/>
      <c r="HB84" s="369"/>
      <c r="HC84" s="369"/>
      <c r="HD84" s="369"/>
      <c r="HE84" s="369"/>
      <c r="HF84" s="369"/>
      <c r="HG84" s="369"/>
      <c r="HH84" s="369"/>
      <c r="HI84" s="369"/>
      <c r="HJ84" s="369"/>
      <c r="HK84" s="369"/>
      <c r="HL84" s="369"/>
      <c r="HM84" s="430"/>
      <c r="HN84" s="430"/>
      <c r="HO84" s="430"/>
      <c r="HP84" s="430"/>
      <c r="HQ84" s="430"/>
      <c r="HR84" s="430"/>
      <c r="HS84" s="430"/>
      <c r="HT84" s="430"/>
      <c r="HU84" s="430"/>
      <c r="HV84" s="430"/>
      <c r="HW84" s="430"/>
      <c r="HX84" s="430"/>
      <c r="HY84" s="430"/>
      <c r="HZ84" s="430"/>
      <c r="IA84" s="430"/>
      <c r="IB84" s="430"/>
      <c r="IC84" s="430"/>
      <c r="ID84" s="430"/>
      <c r="IE84" s="401"/>
      <c r="JM84" s="401"/>
      <c r="JN84" s="401"/>
      <c r="JO84" s="401"/>
      <c r="JP84" s="401"/>
      <c r="JQ84" s="401"/>
      <c r="JR84" s="401"/>
      <c r="JS84" s="401"/>
      <c r="JT84" s="401"/>
      <c r="JU84" s="401"/>
      <c r="JV84" s="401"/>
      <c r="JW84" s="401"/>
      <c r="JX84" s="401"/>
      <c r="JY84" s="401"/>
      <c r="JZ84" s="401"/>
      <c r="KA84" s="401"/>
      <c r="KB84" s="401"/>
      <c r="KC84" s="401"/>
      <c r="KD84" s="401"/>
      <c r="KE84" s="401"/>
      <c r="KF84" s="401"/>
      <c r="KG84" s="434"/>
      <c r="KH84" s="401"/>
      <c r="KI84" s="401"/>
      <c r="KJ84" s="401"/>
      <c r="KK84" s="401"/>
      <c r="KL84" s="401"/>
      <c r="KM84" s="401"/>
      <c r="KN84" s="401"/>
      <c r="KO84" s="401"/>
      <c r="KP84" s="401"/>
      <c r="KQ84" s="401"/>
      <c r="KR84" s="401"/>
      <c r="KS84" s="401"/>
      <c r="KT84" s="436"/>
      <c r="KU84" s="436"/>
      <c r="KV84" s="436"/>
      <c r="KW84" s="436"/>
      <c r="KX84" s="436"/>
      <c r="KY84" s="436"/>
    </row>
    <row r="85" spans="4:311">
      <c r="D85" s="401"/>
      <c r="E85" s="401"/>
      <c r="F85" s="401"/>
      <c r="G85" s="401"/>
      <c r="H85" s="401"/>
      <c r="I85" s="414"/>
      <c r="J85" s="415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  <c r="AI85" s="401"/>
      <c r="AJ85" s="401"/>
      <c r="AK85" s="401"/>
      <c r="AL85" s="401"/>
      <c r="AM85" s="401"/>
      <c r="AN85" s="401"/>
      <c r="AO85" s="401"/>
      <c r="AP85" s="401"/>
      <c r="AQ85" s="401"/>
      <c r="AR85" s="401"/>
      <c r="AS85" s="401"/>
      <c r="AT85" s="401"/>
      <c r="AU85" s="401"/>
      <c r="AV85" s="401"/>
      <c r="AW85" s="401"/>
      <c r="AX85" s="401"/>
      <c r="AY85" s="401"/>
      <c r="AZ85" s="401"/>
      <c r="BA85" s="401"/>
      <c r="BB85" s="401"/>
      <c r="BC85" s="401"/>
      <c r="BD85" s="401"/>
      <c r="BE85" s="401"/>
      <c r="BF85" s="401"/>
      <c r="BG85" s="401"/>
      <c r="BH85" s="401"/>
      <c r="BI85" s="401"/>
      <c r="BJ85" s="401"/>
      <c r="BK85" s="401"/>
      <c r="BL85" s="401"/>
      <c r="BM85" s="401"/>
      <c r="BN85" s="401"/>
      <c r="BO85" s="401"/>
      <c r="BP85" s="401"/>
      <c r="BQ85" s="401"/>
      <c r="BR85" s="401"/>
      <c r="BS85" s="401"/>
      <c r="BT85" s="401"/>
      <c r="BU85" s="401"/>
      <c r="BV85" s="401"/>
      <c r="BW85" s="401"/>
      <c r="BX85" s="401"/>
      <c r="BY85" s="401"/>
      <c r="BZ85" s="401"/>
      <c r="CA85" s="401"/>
      <c r="CB85" s="401"/>
      <c r="CC85" s="401"/>
      <c r="CD85" s="401"/>
      <c r="CE85" s="401"/>
      <c r="CF85" s="401"/>
      <c r="CG85" s="401"/>
      <c r="CH85" s="401"/>
      <c r="CI85" s="401"/>
      <c r="CJ85" s="401"/>
      <c r="CK85" s="401"/>
      <c r="CL85" s="401"/>
      <c r="CM85" s="401"/>
      <c r="CN85" s="401"/>
      <c r="CO85" s="401"/>
      <c r="CP85" s="401"/>
      <c r="CQ85" s="401"/>
      <c r="CR85" s="401"/>
      <c r="CS85" s="401"/>
      <c r="CT85" s="401"/>
      <c r="CU85" s="401"/>
      <c r="CV85" s="401"/>
      <c r="CW85" s="401"/>
      <c r="CX85" s="401"/>
      <c r="CY85" s="401"/>
      <c r="CZ85" s="401"/>
      <c r="DA85" s="401"/>
      <c r="DB85" s="401"/>
      <c r="DC85" s="401"/>
      <c r="DD85" s="401"/>
      <c r="DE85" s="401"/>
      <c r="DF85" s="401"/>
      <c r="DG85" s="401"/>
      <c r="DH85" s="401"/>
      <c r="DI85" s="401"/>
      <c r="DJ85" s="401"/>
      <c r="DK85" s="401"/>
      <c r="DL85" s="401"/>
      <c r="DM85" s="401"/>
      <c r="DN85" s="401"/>
      <c r="DO85" s="401"/>
      <c r="DP85" s="401"/>
      <c r="DQ85" s="401"/>
      <c r="DR85" s="401"/>
      <c r="DS85" s="401"/>
      <c r="DT85" s="401"/>
      <c r="DU85" s="401"/>
      <c r="DV85" s="401"/>
      <c r="DW85" s="401"/>
      <c r="DX85" s="401"/>
      <c r="DY85" s="401"/>
      <c r="DZ85" s="401"/>
      <c r="EA85" s="401"/>
      <c r="EB85" s="401"/>
      <c r="EC85" s="401"/>
      <c r="ED85" s="401"/>
      <c r="EE85" s="401"/>
      <c r="EF85" s="401"/>
      <c r="EG85" s="401"/>
      <c r="EH85" s="401"/>
      <c r="EI85" s="401"/>
      <c r="EJ85" s="401"/>
      <c r="EK85" s="401"/>
      <c r="EL85" s="401"/>
      <c r="EM85" s="401"/>
      <c r="EN85" s="401"/>
      <c r="EO85" s="401"/>
      <c r="EP85" s="401"/>
      <c r="EQ85" s="401"/>
      <c r="ER85" s="401"/>
      <c r="ES85" s="401"/>
      <c r="ET85" s="401"/>
      <c r="EU85" s="401"/>
      <c r="EV85" s="401"/>
      <c r="EW85" s="401"/>
      <c r="EX85" s="401"/>
      <c r="EY85" s="401"/>
      <c r="EZ85" s="401"/>
      <c r="FA85" s="401"/>
      <c r="FB85" s="401"/>
      <c r="FC85" s="401"/>
      <c r="FD85" s="401"/>
      <c r="FE85" s="401"/>
      <c r="FF85" s="401"/>
      <c r="FG85" s="401"/>
      <c r="FH85" s="401"/>
      <c r="FI85" s="401"/>
      <c r="FJ85" s="401"/>
      <c r="FK85" s="401"/>
      <c r="FL85" s="401"/>
      <c r="FM85" s="401"/>
      <c r="FN85" s="401"/>
      <c r="FO85" s="401"/>
      <c r="FP85" s="401"/>
      <c r="FQ85" s="401"/>
      <c r="FR85" s="401"/>
      <c r="FS85" s="401"/>
      <c r="FT85" s="401"/>
      <c r="FU85" s="401"/>
      <c r="FV85" s="401"/>
      <c r="FW85" s="401"/>
      <c r="FX85" s="401"/>
      <c r="FY85" s="401"/>
      <c r="FZ85" s="401"/>
      <c r="GA85" s="401"/>
      <c r="GB85" s="401"/>
      <c r="GC85" s="401"/>
      <c r="GD85" s="401"/>
      <c r="GE85" s="401"/>
      <c r="GF85" s="401"/>
      <c r="GG85" s="401"/>
      <c r="GH85" s="401"/>
      <c r="GI85" s="401"/>
      <c r="GJ85" s="401"/>
      <c r="GK85" s="401"/>
      <c r="GL85" s="401"/>
      <c r="GM85" s="401"/>
      <c r="GN85" s="401"/>
      <c r="GO85" s="401"/>
      <c r="GP85" s="401"/>
      <c r="GQ85" s="401"/>
      <c r="GR85" s="401"/>
      <c r="GS85" s="401"/>
      <c r="GT85" s="401"/>
      <c r="GU85" s="401"/>
      <c r="GV85" s="401"/>
      <c r="GW85" s="428"/>
      <c r="GX85" s="368" t="s">
        <v>564</v>
      </c>
      <c r="GY85" s="368"/>
      <c r="GZ85" s="369"/>
      <c r="HA85" s="369"/>
      <c r="HB85" s="369"/>
      <c r="HC85" s="369"/>
      <c r="HD85" s="369"/>
      <c r="HE85" s="369"/>
      <c r="HF85" s="369"/>
      <c r="HG85" s="369"/>
      <c r="HH85" s="369"/>
      <c r="HI85" s="369"/>
      <c r="HJ85" s="369"/>
      <c r="HK85" s="369"/>
      <c r="HL85" s="369"/>
      <c r="HM85" s="430"/>
      <c r="HN85" s="430"/>
      <c r="HO85" s="430"/>
      <c r="HP85" s="430"/>
      <c r="HQ85" s="430"/>
      <c r="HR85" s="430"/>
      <c r="HS85" s="430"/>
      <c r="HT85" s="430"/>
      <c r="HU85" s="430"/>
      <c r="HV85" s="430"/>
      <c r="HW85" s="430"/>
      <c r="HX85" s="430"/>
      <c r="HY85" s="430"/>
      <c r="HZ85" s="430"/>
      <c r="IA85" s="430"/>
      <c r="IB85" s="430"/>
      <c r="IC85" s="430"/>
      <c r="ID85" s="430"/>
      <c r="IE85" s="401"/>
      <c r="JM85" s="401"/>
      <c r="JN85" s="401"/>
      <c r="JO85" s="401"/>
      <c r="JP85" s="401"/>
      <c r="JQ85" s="401"/>
      <c r="JR85" s="401"/>
      <c r="JS85" s="401"/>
      <c r="JT85" s="401"/>
      <c r="JU85" s="401"/>
      <c r="JV85" s="401"/>
      <c r="JW85" s="401"/>
      <c r="JX85" s="401"/>
      <c r="JY85" s="401"/>
      <c r="JZ85" s="401"/>
      <c r="KA85" s="401"/>
      <c r="KB85" s="401"/>
      <c r="KC85" s="401"/>
      <c r="KD85" s="401"/>
      <c r="KE85" s="401"/>
      <c r="KF85" s="401"/>
      <c r="KG85" s="434"/>
      <c r="KH85" s="401"/>
      <c r="KI85" s="401"/>
      <c r="KJ85" s="401"/>
      <c r="KK85" s="401"/>
      <c r="KL85" s="401"/>
      <c r="KM85" s="401"/>
      <c r="KN85" s="401"/>
      <c r="KO85" s="401"/>
      <c r="KP85" s="401"/>
      <c r="KQ85" s="401"/>
      <c r="KR85" s="401"/>
      <c r="KS85" s="401"/>
      <c r="KT85" s="436"/>
      <c r="KU85" s="436"/>
      <c r="KV85" s="436"/>
      <c r="KW85" s="436"/>
      <c r="KX85" s="436"/>
      <c r="KY85" s="436"/>
    </row>
    <row r="86" spans="4:311"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  <c r="AI86" s="401"/>
      <c r="AJ86" s="401"/>
      <c r="AK86" s="401"/>
      <c r="AL86" s="401"/>
      <c r="AM86" s="401"/>
      <c r="AN86" s="401"/>
      <c r="AO86" s="401"/>
      <c r="AP86" s="401"/>
      <c r="AQ86" s="401"/>
      <c r="AR86" s="401"/>
      <c r="AS86" s="401"/>
      <c r="AT86" s="401"/>
      <c r="AU86" s="401"/>
      <c r="AV86" s="401"/>
      <c r="AW86" s="401"/>
      <c r="AX86" s="401"/>
      <c r="AY86" s="401"/>
      <c r="AZ86" s="401"/>
      <c r="BA86" s="401"/>
      <c r="BB86" s="401"/>
      <c r="BC86" s="401"/>
      <c r="BD86" s="401"/>
      <c r="BE86" s="401"/>
      <c r="BF86" s="401"/>
      <c r="BG86" s="401"/>
      <c r="BH86" s="401"/>
      <c r="BI86" s="401"/>
      <c r="BJ86" s="401"/>
      <c r="BK86" s="401"/>
      <c r="BL86" s="401"/>
      <c r="BM86" s="401"/>
      <c r="BN86" s="401"/>
      <c r="BO86" s="401"/>
      <c r="BP86" s="401"/>
      <c r="BQ86" s="401"/>
      <c r="BR86" s="401"/>
      <c r="BS86" s="401"/>
      <c r="BT86" s="401"/>
      <c r="BU86" s="401"/>
      <c r="BV86" s="401"/>
      <c r="BW86" s="401"/>
      <c r="BX86" s="401"/>
      <c r="BY86" s="401"/>
      <c r="BZ86" s="401"/>
      <c r="CA86" s="401"/>
      <c r="CB86" s="401"/>
      <c r="CC86" s="401"/>
      <c r="CD86" s="401"/>
      <c r="CE86" s="401"/>
      <c r="CF86" s="401"/>
      <c r="CG86" s="401"/>
      <c r="CH86" s="401"/>
      <c r="CI86" s="401"/>
      <c r="CJ86" s="401"/>
      <c r="CK86" s="401"/>
      <c r="CL86" s="401"/>
      <c r="CM86" s="401"/>
      <c r="CN86" s="401"/>
      <c r="CO86" s="401"/>
      <c r="CP86" s="401"/>
      <c r="CQ86" s="401"/>
      <c r="CR86" s="401"/>
      <c r="CS86" s="401"/>
      <c r="CT86" s="401"/>
      <c r="CU86" s="401"/>
      <c r="CV86" s="401"/>
      <c r="CW86" s="401"/>
      <c r="CX86" s="401"/>
      <c r="CY86" s="401"/>
      <c r="CZ86" s="401"/>
      <c r="DA86" s="401"/>
      <c r="DB86" s="401"/>
      <c r="DC86" s="401"/>
      <c r="DD86" s="401"/>
      <c r="DE86" s="401"/>
      <c r="DF86" s="401"/>
      <c r="DG86" s="401"/>
      <c r="DH86" s="401"/>
      <c r="DI86" s="401"/>
      <c r="DJ86" s="401"/>
      <c r="DK86" s="401"/>
      <c r="DL86" s="401"/>
      <c r="DM86" s="401"/>
      <c r="DN86" s="401"/>
      <c r="DO86" s="401"/>
      <c r="DP86" s="401"/>
      <c r="DQ86" s="401"/>
      <c r="DR86" s="401"/>
      <c r="DS86" s="401"/>
      <c r="DT86" s="401"/>
      <c r="DU86" s="401"/>
      <c r="DV86" s="401"/>
      <c r="DW86" s="401"/>
      <c r="DX86" s="401"/>
      <c r="DY86" s="401"/>
      <c r="DZ86" s="401"/>
      <c r="EA86" s="401"/>
      <c r="EB86" s="401"/>
      <c r="EC86" s="401"/>
      <c r="ED86" s="401"/>
      <c r="EE86" s="401"/>
      <c r="EF86" s="401"/>
      <c r="EG86" s="401"/>
      <c r="EH86" s="401"/>
      <c r="EI86" s="401"/>
      <c r="EJ86" s="401"/>
      <c r="EK86" s="401"/>
      <c r="EL86" s="401"/>
      <c r="EM86" s="401"/>
      <c r="EN86" s="401"/>
      <c r="EO86" s="401"/>
      <c r="EP86" s="401"/>
      <c r="EQ86" s="401"/>
      <c r="ER86" s="401"/>
      <c r="ES86" s="401"/>
      <c r="ET86" s="401"/>
      <c r="EU86" s="401"/>
      <c r="EV86" s="401"/>
      <c r="EW86" s="401"/>
      <c r="EX86" s="401"/>
      <c r="EY86" s="401"/>
      <c r="EZ86" s="401"/>
      <c r="FA86" s="401"/>
      <c r="FB86" s="401"/>
      <c r="FC86" s="401"/>
      <c r="FD86" s="401"/>
      <c r="FE86" s="401"/>
      <c r="FF86" s="401"/>
      <c r="FG86" s="401"/>
      <c r="FH86" s="401"/>
      <c r="FI86" s="401"/>
      <c r="FJ86" s="401"/>
      <c r="FK86" s="401"/>
      <c r="FL86" s="401"/>
      <c r="FM86" s="401"/>
      <c r="FN86" s="401"/>
      <c r="FO86" s="401"/>
      <c r="FP86" s="401"/>
      <c r="FQ86" s="401"/>
      <c r="FR86" s="401"/>
      <c r="FS86" s="401"/>
      <c r="FT86" s="401"/>
      <c r="FU86" s="401"/>
      <c r="FV86" s="401"/>
      <c r="FW86" s="401"/>
      <c r="FX86" s="401"/>
      <c r="FY86" s="401"/>
      <c r="FZ86" s="401"/>
      <c r="GA86" s="401"/>
      <c r="GB86" s="401"/>
      <c r="GC86" s="401"/>
      <c r="GD86" s="401"/>
      <c r="GE86" s="401"/>
      <c r="GF86" s="401"/>
      <c r="GG86" s="401"/>
      <c r="GH86" s="401"/>
      <c r="GI86" s="401"/>
      <c r="GJ86" s="401"/>
      <c r="GK86" s="401"/>
      <c r="GL86" s="401"/>
      <c r="GM86" s="401"/>
      <c r="GN86" s="401"/>
      <c r="GO86" s="401"/>
      <c r="GP86" s="401"/>
      <c r="GQ86" s="401"/>
      <c r="GR86" s="401"/>
      <c r="GS86" s="401"/>
      <c r="GT86" s="401"/>
      <c r="GU86" s="401"/>
      <c r="GV86" s="401"/>
      <c r="GW86" s="428"/>
      <c r="GX86" s="368" t="s">
        <v>586</v>
      </c>
      <c r="GY86" s="368"/>
      <c r="GZ86" s="369"/>
      <c r="HA86" s="369"/>
      <c r="HB86" s="369"/>
      <c r="HC86" s="369"/>
      <c r="HD86" s="369"/>
      <c r="HE86" s="369"/>
      <c r="HF86" s="369"/>
      <c r="HG86" s="369"/>
      <c r="HH86" s="369"/>
      <c r="HI86" s="369"/>
      <c r="HJ86" s="369"/>
      <c r="HK86" s="369"/>
      <c r="HL86" s="369"/>
      <c r="HM86" s="430"/>
      <c r="HN86" s="430"/>
      <c r="HO86" s="430"/>
      <c r="HP86" s="430"/>
      <c r="HQ86" s="430"/>
      <c r="HR86" s="430"/>
      <c r="HS86" s="430"/>
      <c r="HT86" s="430"/>
      <c r="HU86" s="430"/>
      <c r="HV86" s="430"/>
      <c r="HW86" s="430"/>
      <c r="HX86" s="430"/>
      <c r="HY86" s="430"/>
      <c r="HZ86" s="430"/>
      <c r="IA86" s="430"/>
      <c r="IB86" s="430"/>
      <c r="IC86" s="430"/>
      <c r="ID86" s="430"/>
      <c r="IE86" s="401"/>
      <c r="JM86" s="401"/>
      <c r="JN86" s="401"/>
      <c r="JO86" s="401"/>
      <c r="JP86" s="401"/>
      <c r="JQ86" s="401"/>
      <c r="JR86" s="401"/>
      <c r="JS86" s="401"/>
      <c r="JT86" s="401"/>
      <c r="JU86" s="401"/>
      <c r="JV86" s="401"/>
      <c r="JW86" s="401"/>
      <c r="JX86" s="401"/>
      <c r="JY86" s="401"/>
      <c r="JZ86" s="401"/>
      <c r="KA86" s="401"/>
      <c r="KB86" s="401"/>
      <c r="KC86" s="401"/>
      <c r="KD86" s="401"/>
      <c r="KE86" s="401"/>
      <c r="KF86" s="401"/>
      <c r="KG86" s="434"/>
      <c r="KH86" s="401"/>
      <c r="KI86" s="401"/>
      <c r="KJ86" s="401"/>
      <c r="KK86" s="401"/>
      <c r="KL86" s="401"/>
      <c r="KM86" s="401"/>
      <c r="KN86" s="401"/>
      <c r="KO86" s="401"/>
      <c r="KP86" s="401"/>
      <c r="KQ86" s="401"/>
      <c r="KR86" s="401"/>
      <c r="KS86" s="401"/>
      <c r="KT86" s="436"/>
      <c r="KU86" s="436"/>
      <c r="KV86" s="436"/>
      <c r="KW86" s="436"/>
      <c r="KX86" s="436"/>
      <c r="KY86" s="436"/>
    </row>
    <row r="87" spans="4:311"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  <c r="AI87" s="401"/>
      <c r="AJ87" s="401"/>
      <c r="AK87" s="401"/>
      <c r="AL87" s="401"/>
      <c r="AM87" s="401"/>
      <c r="AN87" s="401"/>
      <c r="AO87" s="401"/>
      <c r="AP87" s="401"/>
      <c r="AQ87" s="401"/>
      <c r="AR87" s="401"/>
      <c r="AS87" s="401"/>
      <c r="AT87" s="401"/>
      <c r="AU87" s="401"/>
      <c r="AV87" s="401"/>
      <c r="AW87" s="401"/>
      <c r="AX87" s="401"/>
      <c r="AY87" s="401"/>
      <c r="AZ87" s="401"/>
      <c r="BA87" s="401"/>
      <c r="BB87" s="401"/>
      <c r="BC87" s="401"/>
      <c r="BD87" s="401"/>
      <c r="BE87" s="401"/>
      <c r="BF87" s="401"/>
      <c r="BG87" s="401"/>
      <c r="BH87" s="401"/>
      <c r="BI87" s="401"/>
      <c r="BJ87" s="401"/>
      <c r="BK87" s="401"/>
      <c r="BL87" s="401"/>
      <c r="BM87" s="401"/>
      <c r="BN87" s="401"/>
      <c r="BO87" s="401"/>
      <c r="BP87" s="401"/>
      <c r="BQ87" s="401"/>
      <c r="BR87" s="401"/>
      <c r="BS87" s="401"/>
      <c r="BT87" s="401"/>
      <c r="BU87" s="401"/>
      <c r="BV87" s="401"/>
      <c r="BW87" s="401"/>
      <c r="BX87" s="401"/>
      <c r="BY87" s="401"/>
      <c r="BZ87" s="401"/>
      <c r="CA87" s="401"/>
      <c r="CB87" s="401"/>
      <c r="CC87" s="401"/>
      <c r="CD87" s="401"/>
      <c r="CE87" s="401"/>
      <c r="CF87" s="401"/>
      <c r="CG87" s="401"/>
      <c r="CH87" s="401"/>
      <c r="CI87" s="401"/>
      <c r="CJ87" s="401"/>
      <c r="CK87" s="401"/>
      <c r="CL87" s="401"/>
      <c r="CM87" s="401"/>
      <c r="CN87" s="401"/>
      <c r="CO87" s="401"/>
      <c r="CP87" s="401"/>
      <c r="CQ87" s="401"/>
      <c r="CR87" s="401"/>
      <c r="CS87" s="401"/>
      <c r="CT87" s="401"/>
      <c r="CU87" s="401"/>
      <c r="CV87" s="401"/>
      <c r="CW87" s="401"/>
      <c r="CX87" s="401"/>
      <c r="CY87" s="401"/>
      <c r="CZ87" s="401"/>
      <c r="DA87" s="401"/>
      <c r="DB87" s="401"/>
      <c r="DC87" s="401"/>
      <c r="DD87" s="401"/>
      <c r="DE87" s="401"/>
      <c r="DF87" s="401"/>
      <c r="DG87" s="401"/>
      <c r="DH87" s="401"/>
      <c r="DI87" s="401"/>
      <c r="DJ87" s="401"/>
      <c r="DK87" s="401"/>
      <c r="DL87" s="401"/>
      <c r="DM87" s="401"/>
      <c r="DN87" s="401"/>
      <c r="DO87" s="401"/>
      <c r="DP87" s="401"/>
      <c r="DQ87" s="401"/>
      <c r="DR87" s="401"/>
      <c r="DS87" s="401"/>
      <c r="DT87" s="401"/>
      <c r="DU87" s="401"/>
      <c r="DV87" s="401"/>
      <c r="DW87" s="401"/>
      <c r="DX87" s="401"/>
      <c r="DY87" s="401"/>
      <c r="DZ87" s="401"/>
      <c r="EA87" s="401"/>
      <c r="EB87" s="401"/>
      <c r="EC87" s="401"/>
      <c r="ED87" s="401"/>
      <c r="EE87" s="401"/>
      <c r="EF87" s="401"/>
      <c r="EG87" s="401"/>
      <c r="EH87" s="401"/>
      <c r="EI87" s="401"/>
      <c r="EJ87" s="401"/>
      <c r="EK87" s="401"/>
      <c r="EL87" s="401"/>
      <c r="EM87" s="401"/>
      <c r="EN87" s="401"/>
      <c r="EO87" s="401"/>
      <c r="EP87" s="401"/>
      <c r="EQ87" s="401"/>
      <c r="ER87" s="401"/>
      <c r="ES87" s="401"/>
      <c r="ET87" s="401"/>
      <c r="EU87" s="401"/>
      <c r="EV87" s="401"/>
      <c r="EW87" s="401"/>
      <c r="EX87" s="401"/>
      <c r="EY87" s="401"/>
      <c r="EZ87" s="401"/>
      <c r="FA87" s="401"/>
      <c r="FB87" s="401"/>
      <c r="FC87" s="401"/>
      <c r="FD87" s="401"/>
      <c r="FE87" s="401"/>
      <c r="FF87" s="401"/>
      <c r="FG87" s="401"/>
      <c r="FH87" s="401"/>
      <c r="FI87" s="401"/>
      <c r="FJ87" s="401"/>
      <c r="FK87" s="401"/>
      <c r="FL87" s="401"/>
      <c r="FM87" s="401"/>
      <c r="FN87" s="401"/>
      <c r="FO87" s="401"/>
      <c r="FP87" s="401"/>
      <c r="FQ87" s="401"/>
      <c r="FR87" s="401"/>
      <c r="FS87" s="401"/>
      <c r="FT87" s="401"/>
      <c r="FU87" s="401"/>
      <c r="FV87" s="401"/>
      <c r="FW87" s="401"/>
      <c r="FX87" s="401"/>
      <c r="FY87" s="401"/>
      <c r="FZ87" s="401"/>
      <c r="GA87" s="401"/>
      <c r="GB87" s="401"/>
      <c r="GC87" s="401"/>
      <c r="GD87" s="401"/>
      <c r="GE87" s="401"/>
      <c r="GF87" s="401"/>
      <c r="GG87" s="401"/>
      <c r="GH87" s="401"/>
      <c r="GI87" s="401"/>
      <c r="GJ87" s="401"/>
      <c r="GK87" s="401"/>
      <c r="GL87" s="401"/>
      <c r="GM87" s="401"/>
      <c r="GN87" s="401"/>
      <c r="GO87" s="401"/>
      <c r="GP87" s="401"/>
      <c r="GQ87" s="401"/>
      <c r="GR87" s="401"/>
      <c r="GS87" s="401"/>
      <c r="GT87" s="401"/>
      <c r="GU87" s="401"/>
      <c r="GV87" s="401"/>
      <c r="GW87" s="428"/>
      <c r="GX87" s="368" t="s">
        <v>499</v>
      </c>
      <c r="GY87" s="368"/>
      <c r="GZ87" s="369"/>
      <c r="HA87" s="369"/>
      <c r="HB87" s="369"/>
      <c r="HC87" s="369"/>
      <c r="HD87" s="369"/>
      <c r="HE87" s="369"/>
      <c r="HF87" s="369"/>
      <c r="HG87" s="369"/>
      <c r="HH87" s="369"/>
      <c r="HI87" s="369"/>
      <c r="HJ87" s="369"/>
      <c r="HK87" s="369"/>
      <c r="HL87" s="369"/>
      <c r="HM87" s="430"/>
      <c r="HN87" s="430"/>
      <c r="HO87" s="430"/>
      <c r="HP87" s="430"/>
      <c r="HQ87" s="430"/>
      <c r="HR87" s="430"/>
      <c r="HS87" s="430"/>
      <c r="HT87" s="430"/>
      <c r="HU87" s="430"/>
      <c r="HV87" s="430"/>
      <c r="HW87" s="430"/>
      <c r="HX87" s="430"/>
      <c r="HY87" s="430"/>
      <c r="HZ87" s="430"/>
      <c r="IA87" s="430"/>
      <c r="IB87" s="430"/>
      <c r="IC87" s="430"/>
      <c r="ID87" s="430"/>
      <c r="IE87" s="401"/>
      <c r="JM87" s="401"/>
      <c r="JN87" s="401"/>
      <c r="JO87" s="401"/>
      <c r="JP87" s="401"/>
      <c r="JQ87" s="401"/>
      <c r="JR87" s="401"/>
      <c r="JS87" s="401"/>
      <c r="JT87" s="401"/>
      <c r="JU87" s="401"/>
      <c r="JV87" s="401"/>
      <c r="JW87" s="401"/>
      <c r="JX87" s="401"/>
      <c r="JY87" s="401"/>
      <c r="JZ87" s="401"/>
      <c r="KA87" s="401"/>
      <c r="KB87" s="401"/>
      <c r="KC87" s="401"/>
      <c r="KD87" s="401"/>
      <c r="KE87" s="401"/>
      <c r="KF87" s="401"/>
      <c r="KG87" s="434"/>
      <c r="KH87" s="401"/>
      <c r="KI87" s="401"/>
      <c r="KJ87" s="401"/>
      <c r="KK87" s="401"/>
      <c r="KL87" s="401"/>
      <c r="KM87" s="401"/>
      <c r="KN87" s="401"/>
      <c r="KO87" s="401"/>
      <c r="KP87" s="401"/>
      <c r="KQ87" s="401"/>
      <c r="KR87" s="401"/>
      <c r="KS87" s="401"/>
      <c r="KT87" s="436"/>
      <c r="KU87" s="436"/>
      <c r="KV87" s="436"/>
      <c r="KW87" s="436"/>
      <c r="KX87" s="436"/>
      <c r="KY87" s="436"/>
    </row>
    <row r="88" spans="4:311"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  <c r="AI88" s="401"/>
      <c r="AJ88" s="401"/>
      <c r="AK88" s="401"/>
      <c r="AL88" s="401"/>
      <c r="AM88" s="401"/>
      <c r="AN88" s="401"/>
      <c r="AO88" s="401"/>
      <c r="AP88" s="401"/>
      <c r="AQ88" s="401"/>
      <c r="AR88" s="401"/>
      <c r="AS88" s="401"/>
      <c r="AT88" s="401"/>
      <c r="AU88" s="401"/>
      <c r="AV88" s="401"/>
      <c r="AW88" s="401"/>
      <c r="AX88" s="401"/>
      <c r="AY88" s="401"/>
      <c r="AZ88" s="401"/>
      <c r="BA88" s="401"/>
      <c r="BB88" s="401"/>
      <c r="BC88" s="401"/>
      <c r="BD88" s="401"/>
      <c r="BE88" s="401"/>
      <c r="BF88" s="401"/>
      <c r="BG88" s="401"/>
      <c r="BH88" s="401"/>
      <c r="BI88" s="401"/>
      <c r="BJ88" s="401"/>
      <c r="BK88" s="401"/>
      <c r="BL88" s="401"/>
      <c r="BM88" s="401"/>
      <c r="BN88" s="401"/>
      <c r="BO88" s="401"/>
      <c r="BP88" s="401"/>
      <c r="BQ88" s="401"/>
      <c r="BR88" s="401"/>
      <c r="BS88" s="401"/>
      <c r="BT88" s="401"/>
      <c r="BU88" s="401"/>
      <c r="BV88" s="401"/>
      <c r="BW88" s="401"/>
      <c r="BX88" s="401"/>
      <c r="BY88" s="401"/>
      <c r="BZ88" s="401"/>
      <c r="CA88" s="401"/>
      <c r="CB88" s="401"/>
      <c r="CC88" s="401"/>
      <c r="CD88" s="401"/>
      <c r="CE88" s="401"/>
      <c r="CF88" s="401"/>
      <c r="CG88" s="401"/>
      <c r="CH88" s="401"/>
      <c r="CI88" s="401"/>
      <c r="CJ88" s="401"/>
      <c r="CK88" s="401"/>
      <c r="CL88" s="401"/>
      <c r="CM88" s="401"/>
      <c r="CN88" s="401"/>
      <c r="CO88" s="401"/>
      <c r="CP88" s="401"/>
      <c r="CQ88" s="401"/>
      <c r="CR88" s="401"/>
      <c r="CS88" s="401"/>
      <c r="CT88" s="401"/>
      <c r="CU88" s="401"/>
      <c r="CV88" s="401"/>
      <c r="CW88" s="401"/>
      <c r="CX88" s="401"/>
      <c r="CY88" s="401"/>
      <c r="CZ88" s="401"/>
      <c r="DA88" s="401"/>
      <c r="DB88" s="401"/>
      <c r="DC88" s="401"/>
      <c r="DD88" s="401"/>
      <c r="DE88" s="401"/>
      <c r="DF88" s="401"/>
      <c r="DG88" s="401"/>
      <c r="DH88" s="401"/>
      <c r="DI88" s="401"/>
      <c r="DJ88" s="401"/>
      <c r="DK88" s="401"/>
      <c r="DL88" s="401"/>
      <c r="DM88" s="401"/>
      <c r="DN88" s="401"/>
      <c r="DO88" s="401"/>
      <c r="DP88" s="401"/>
      <c r="DQ88" s="401"/>
      <c r="DR88" s="401"/>
      <c r="DS88" s="401"/>
      <c r="DT88" s="401"/>
      <c r="DU88" s="401"/>
      <c r="DV88" s="401"/>
      <c r="DW88" s="401"/>
      <c r="DX88" s="401"/>
      <c r="DY88" s="401"/>
      <c r="DZ88" s="401"/>
      <c r="EA88" s="401"/>
      <c r="EB88" s="401"/>
      <c r="EC88" s="401"/>
      <c r="ED88" s="401"/>
      <c r="EE88" s="401"/>
      <c r="EF88" s="401"/>
      <c r="EG88" s="401"/>
      <c r="EH88" s="401"/>
      <c r="EI88" s="401"/>
      <c r="EJ88" s="401"/>
      <c r="EK88" s="401"/>
      <c r="EL88" s="401"/>
      <c r="EM88" s="401"/>
      <c r="EN88" s="401"/>
      <c r="EO88" s="401"/>
      <c r="EP88" s="401"/>
      <c r="EQ88" s="401"/>
      <c r="ER88" s="401"/>
      <c r="ES88" s="401"/>
      <c r="ET88" s="401"/>
      <c r="EU88" s="401"/>
      <c r="EV88" s="401"/>
      <c r="EW88" s="401"/>
      <c r="EX88" s="401"/>
      <c r="EY88" s="401"/>
      <c r="EZ88" s="401"/>
      <c r="FA88" s="401"/>
      <c r="FB88" s="401"/>
      <c r="FC88" s="401"/>
      <c r="FD88" s="401"/>
      <c r="FE88" s="401"/>
      <c r="FF88" s="401"/>
      <c r="FG88" s="401"/>
      <c r="FH88" s="401"/>
      <c r="FI88" s="401"/>
      <c r="FJ88" s="401"/>
      <c r="FK88" s="401"/>
      <c r="FL88" s="401"/>
      <c r="FM88" s="401"/>
      <c r="FN88" s="401"/>
      <c r="FO88" s="401"/>
      <c r="FP88" s="401"/>
      <c r="FQ88" s="401"/>
      <c r="FR88" s="401"/>
      <c r="FS88" s="401"/>
      <c r="FT88" s="401"/>
      <c r="FU88" s="401"/>
      <c r="FV88" s="401"/>
      <c r="FW88" s="401"/>
      <c r="FX88" s="401"/>
      <c r="FY88" s="401"/>
      <c r="FZ88" s="401"/>
      <c r="GA88" s="401"/>
      <c r="GB88" s="401"/>
      <c r="GC88" s="401"/>
      <c r="GD88" s="401"/>
      <c r="GE88" s="401"/>
      <c r="GF88" s="401"/>
      <c r="GG88" s="401"/>
      <c r="GH88" s="401"/>
      <c r="GI88" s="401"/>
      <c r="GJ88" s="401"/>
      <c r="GK88" s="401"/>
      <c r="GL88" s="401"/>
      <c r="GM88" s="401"/>
      <c r="GN88" s="401"/>
      <c r="GO88" s="401"/>
      <c r="GP88" s="401"/>
      <c r="GQ88" s="401"/>
      <c r="GR88" s="401"/>
      <c r="GS88" s="401"/>
      <c r="GT88" s="401"/>
      <c r="GU88" s="401"/>
      <c r="GV88" s="401"/>
      <c r="GW88" s="428"/>
      <c r="GX88" s="368" t="s">
        <v>505</v>
      </c>
      <c r="GY88" s="368"/>
      <c r="GZ88" s="369"/>
      <c r="HA88" s="369"/>
      <c r="HB88" s="369"/>
      <c r="HC88" s="369"/>
      <c r="HD88" s="369"/>
      <c r="HE88" s="369"/>
      <c r="HF88" s="369"/>
      <c r="HG88" s="369"/>
      <c r="HH88" s="369"/>
      <c r="HI88" s="369"/>
      <c r="HJ88" s="369"/>
      <c r="HK88" s="369"/>
      <c r="HL88" s="369"/>
      <c r="HM88" s="430"/>
      <c r="HN88" s="430"/>
      <c r="HO88" s="430"/>
      <c r="HP88" s="430"/>
      <c r="HQ88" s="430"/>
      <c r="HR88" s="430"/>
      <c r="HS88" s="430"/>
      <c r="HT88" s="430"/>
      <c r="HU88" s="430"/>
      <c r="HV88" s="430"/>
      <c r="HW88" s="430"/>
      <c r="HX88" s="430"/>
      <c r="HY88" s="430"/>
      <c r="HZ88" s="430"/>
      <c r="IA88" s="430"/>
      <c r="IB88" s="430"/>
      <c r="IC88" s="430"/>
      <c r="ID88" s="430"/>
      <c r="IE88" s="401"/>
      <c r="JM88" s="401"/>
      <c r="JN88" s="401"/>
      <c r="JO88" s="401"/>
      <c r="JP88" s="401"/>
      <c r="JQ88" s="401"/>
      <c r="JR88" s="401"/>
      <c r="JS88" s="401"/>
      <c r="JT88" s="401"/>
      <c r="JU88" s="401"/>
      <c r="JV88" s="401"/>
      <c r="JW88" s="401"/>
      <c r="JX88" s="401"/>
      <c r="JY88" s="401"/>
      <c r="JZ88" s="401"/>
      <c r="KA88" s="401"/>
      <c r="KB88" s="401"/>
      <c r="KC88" s="401"/>
      <c r="KD88" s="401"/>
      <c r="KE88" s="401"/>
      <c r="KF88" s="401"/>
      <c r="KG88" s="434"/>
      <c r="KH88" s="401"/>
      <c r="KI88" s="401"/>
      <c r="KJ88" s="401"/>
      <c r="KK88" s="401"/>
      <c r="KL88" s="401"/>
      <c r="KM88" s="401"/>
      <c r="KN88" s="401"/>
      <c r="KO88" s="401"/>
      <c r="KP88" s="401"/>
      <c r="KQ88" s="401"/>
      <c r="KR88" s="401"/>
      <c r="KS88" s="401"/>
      <c r="KT88" s="436"/>
      <c r="KU88" s="436"/>
      <c r="KV88" s="436"/>
      <c r="KW88" s="436"/>
      <c r="KX88" s="436"/>
      <c r="KY88" s="436"/>
    </row>
    <row r="89" spans="4:311"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  <c r="AI89" s="401"/>
      <c r="AJ89" s="401"/>
      <c r="AK89" s="401"/>
      <c r="AL89" s="401"/>
      <c r="AM89" s="401"/>
      <c r="AN89" s="401"/>
      <c r="AO89" s="401"/>
      <c r="AP89" s="401"/>
      <c r="AQ89" s="401"/>
      <c r="AR89" s="401"/>
      <c r="AS89" s="401"/>
      <c r="AT89" s="401"/>
      <c r="AU89" s="401"/>
      <c r="AV89" s="401"/>
      <c r="AW89" s="401"/>
      <c r="AX89" s="401"/>
      <c r="AY89" s="401"/>
      <c r="AZ89" s="401"/>
      <c r="BA89" s="401"/>
      <c r="BB89" s="401"/>
      <c r="BC89" s="401"/>
      <c r="BD89" s="401"/>
      <c r="BE89" s="401"/>
      <c r="BF89" s="401"/>
      <c r="BG89" s="401"/>
      <c r="BH89" s="401"/>
      <c r="BI89" s="401"/>
      <c r="BJ89" s="401"/>
      <c r="BK89" s="401"/>
      <c r="BL89" s="401"/>
      <c r="BM89" s="401"/>
      <c r="BN89" s="401"/>
      <c r="BO89" s="401"/>
      <c r="BP89" s="401"/>
      <c r="BQ89" s="401"/>
      <c r="BR89" s="401"/>
      <c r="BS89" s="401"/>
      <c r="BT89" s="401"/>
      <c r="BU89" s="401"/>
      <c r="BV89" s="401"/>
      <c r="BW89" s="401"/>
      <c r="BX89" s="401"/>
      <c r="BY89" s="401"/>
      <c r="BZ89" s="401"/>
      <c r="CA89" s="401"/>
      <c r="CB89" s="401"/>
      <c r="CC89" s="401"/>
      <c r="CD89" s="401"/>
      <c r="CE89" s="401"/>
      <c r="CF89" s="401"/>
      <c r="CG89" s="401"/>
      <c r="CH89" s="401"/>
      <c r="CI89" s="401"/>
      <c r="CJ89" s="401"/>
      <c r="CK89" s="401"/>
      <c r="CL89" s="401"/>
      <c r="CM89" s="401"/>
      <c r="CN89" s="401"/>
      <c r="CO89" s="401"/>
      <c r="CP89" s="401"/>
      <c r="CQ89" s="401"/>
      <c r="CR89" s="401"/>
      <c r="CS89" s="401"/>
      <c r="CT89" s="401"/>
      <c r="CU89" s="401"/>
      <c r="CV89" s="401"/>
      <c r="CW89" s="401"/>
      <c r="CX89" s="401"/>
      <c r="CY89" s="401"/>
      <c r="CZ89" s="401"/>
      <c r="DA89" s="401"/>
      <c r="DB89" s="401"/>
      <c r="DC89" s="401"/>
      <c r="DD89" s="401"/>
      <c r="DE89" s="401"/>
      <c r="DF89" s="401"/>
      <c r="DG89" s="401"/>
      <c r="DH89" s="401"/>
      <c r="DI89" s="401"/>
      <c r="DJ89" s="401"/>
      <c r="DK89" s="401"/>
      <c r="DL89" s="401"/>
      <c r="DM89" s="401"/>
      <c r="DN89" s="401"/>
      <c r="DO89" s="401"/>
      <c r="DP89" s="401"/>
      <c r="DQ89" s="401"/>
      <c r="DR89" s="401"/>
      <c r="DS89" s="401"/>
      <c r="DT89" s="401"/>
      <c r="DU89" s="401"/>
      <c r="DV89" s="401"/>
      <c r="DW89" s="401"/>
      <c r="DX89" s="401"/>
      <c r="DY89" s="401"/>
      <c r="DZ89" s="401"/>
      <c r="EA89" s="401"/>
      <c r="EB89" s="401"/>
      <c r="EC89" s="401"/>
      <c r="ED89" s="401"/>
      <c r="EE89" s="401"/>
      <c r="EF89" s="401"/>
      <c r="EG89" s="401"/>
      <c r="EH89" s="401"/>
      <c r="EI89" s="401"/>
      <c r="EJ89" s="401"/>
      <c r="EK89" s="401"/>
      <c r="EL89" s="401"/>
      <c r="EM89" s="401"/>
      <c r="EN89" s="401"/>
      <c r="EO89" s="401"/>
      <c r="EP89" s="401"/>
      <c r="EQ89" s="401"/>
      <c r="ER89" s="401"/>
      <c r="ES89" s="401"/>
      <c r="ET89" s="401"/>
      <c r="EU89" s="401"/>
      <c r="EV89" s="401"/>
      <c r="EW89" s="401"/>
      <c r="EX89" s="401"/>
      <c r="EY89" s="401"/>
      <c r="EZ89" s="401"/>
      <c r="FA89" s="401"/>
      <c r="FB89" s="401"/>
      <c r="FC89" s="401"/>
      <c r="FD89" s="401"/>
      <c r="FE89" s="401"/>
      <c r="FF89" s="401"/>
      <c r="FG89" s="401"/>
      <c r="FH89" s="401"/>
      <c r="FI89" s="401"/>
      <c r="FJ89" s="401"/>
      <c r="FK89" s="401"/>
      <c r="FL89" s="401"/>
      <c r="FM89" s="401"/>
      <c r="FN89" s="401"/>
      <c r="FO89" s="401"/>
      <c r="FP89" s="401"/>
      <c r="FQ89" s="401"/>
      <c r="FR89" s="401"/>
      <c r="FS89" s="401"/>
      <c r="FT89" s="401"/>
      <c r="FU89" s="401"/>
      <c r="FV89" s="401"/>
      <c r="FW89" s="401"/>
      <c r="FX89" s="401"/>
      <c r="FY89" s="401"/>
      <c r="FZ89" s="401"/>
      <c r="GA89" s="401"/>
      <c r="GB89" s="401"/>
      <c r="GC89" s="401"/>
      <c r="GD89" s="401"/>
      <c r="GE89" s="401"/>
      <c r="GF89" s="401"/>
      <c r="GG89" s="401"/>
      <c r="GH89" s="401"/>
      <c r="GI89" s="401"/>
      <c r="GJ89" s="401"/>
      <c r="GK89" s="401"/>
      <c r="GL89" s="401"/>
      <c r="GM89" s="401"/>
      <c r="GN89" s="401"/>
      <c r="GO89" s="401"/>
      <c r="GP89" s="401"/>
      <c r="GQ89" s="401"/>
      <c r="GR89" s="401"/>
      <c r="GS89" s="401"/>
      <c r="GT89" s="401"/>
      <c r="GU89" s="401"/>
      <c r="GV89" s="401"/>
      <c r="GW89" s="428"/>
      <c r="GX89" s="368" t="s">
        <v>517</v>
      </c>
      <c r="GY89" s="368"/>
      <c r="GZ89" s="369"/>
      <c r="HA89" s="369"/>
      <c r="HB89" s="369"/>
      <c r="HC89" s="369"/>
      <c r="HD89" s="369"/>
      <c r="HE89" s="369"/>
      <c r="HF89" s="369"/>
      <c r="HG89" s="369"/>
      <c r="HH89" s="369"/>
      <c r="HI89" s="369"/>
      <c r="HJ89" s="369"/>
      <c r="HK89" s="369"/>
      <c r="HL89" s="369"/>
      <c r="HM89" s="430"/>
      <c r="HN89" s="430"/>
      <c r="HO89" s="430"/>
      <c r="HP89" s="430"/>
      <c r="HQ89" s="430"/>
      <c r="HR89" s="430"/>
      <c r="HS89" s="430"/>
      <c r="HT89" s="430"/>
      <c r="HU89" s="430"/>
      <c r="HV89" s="430"/>
      <c r="HW89" s="430"/>
      <c r="HX89" s="430"/>
      <c r="HY89" s="430"/>
      <c r="HZ89" s="430"/>
      <c r="IA89" s="430"/>
      <c r="IB89" s="430"/>
      <c r="IC89" s="430"/>
      <c r="ID89" s="430"/>
      <c r="IE89" s="401"/>
      <c r="JM89" s="401"/>
      <c r="JN89" s="401"/>
      <c r="JO89" s="401"/>
      <c r="JP89" s="401"/>
      <c r="JQ89" s="401"/>
      <c r="JR89" s="401"/>
      <c r="JS89" s="401"/>
      <c r="JT89" s="401"/>
      <c r="JU89" s="401"/>
      <c r="JV89" s="401"/>
      <c r="JW89" s="401"/>
      <c r="JX89" s="401"/>
      <c r="JY89" s="401"/>
      <c r="JZ89" s="401"/>
      <c r="KA89" s="401"/>
      <c r="KB89" s="401"/>
      <c r="KC89" s="401"/>
      <c r="KD89" s="401"/>
      <c r="KE89" s="401"/>
      <c r="KF89" s="401"/>
      <c r="KG89" s="434"/>
      <c r="KH89" s="401"/>
      <c r="KI89" s="401"/>
      <c r="KJ89" s="401"/>
      <c r="KK89" s="401"/>
      <c r="KL89" s="401"/>
      <c r="KM89" s="401"/>
      <c r="KN89" s="401"/>
      <c r="KO89" s="401"/>
      <c r="KP89" s="401"/>
      <c r="KQ89" s="401"/>
      <c r="KR89" s="401"/>
      <c r="KS89" s="401"/>
      <c r="KT89" s="436"/>
      <c r="KU89" s="436"/>
      <c r="KV89" s="436"/>
      <c r="KW89" s="436"/>
      <c r="KX89" s="436"/>
      <c r="KY89" s="436"/>
    </row>
    <row r="90" spans="4:311"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  <c r="AI90" s="401"/>
      <c r="AJ90" s="401"/>
      <c r="AK90" s="401"/>
      <c r="AL90" s="401"/>
      <c r="AM90" s="401"/>
      <c r="AN90" s="401"/>
      <c r="AO90" s="401"/>
      <c r="AP90" s="401"/>
      <c r="AQ90" s="401"/>
      <c r="AR90" s="401"/>
      <c r="AS90" s="401"/>
      <c r="AT90" s="401"/>
      <c r="AU90" s="401"/>
      <c r="AV90" s="401"/>
      <c r="AW90" s="401"/>
      <c r="AX90" s="401"/>
      <c r="AY90" s="401"/>
      <c r="AZ90" s="401"/>
      <c r="BA90" s="401"/>
      <c r="BB90" s="401"/>
      <c r="BC90" s="401"/>
      <c r="BD90" s="401"/>
      <c r="BE90" s="401"/>
      <c r="BF90" s="401"/>
      <c r="BG90" s="401"/>
      <c r="BH90" s="401"/>
      <c r="BI90" s="401"/>
      <c r="BJ90" s="401"/>
      <c r="BK90" s="401"/>
      <c r="BL90" s="401"/>
      <c r="BM90" s="401"/>
      <c r="BN90" s="401"/>
      <c r="BO90" s="401"/>
      <c r="BP90" s="401"/>
      <c r="BQ90" s="401"/>
      <c r="BR90" s="401"/>
      <c r="BS90" s="401"/>
      <c r="BT90" s="401"/>
      <c r="BU90" s="401"/>
      <c r="BV90" s="401"/>
      <c r="BW90" s="401"/>
      <c r="BX90" s="401"/>
      <c r="BY90" s="401"/>
      <c r="BZ90" s="401"/>
      <c r="CA90" s="401"/>
      <c r="CB90" s="401"/>
      <c r="CC90" s="401"/>
      <c r="CD90" s="401"/>
      <c r="CE90" s="401"/>
      <c r="CF90" s="401"/>
      <c r="CG90" s="401"/>
      <c r="CH90" s="401"/>
      <c r="CI90" s="401"/>
      <c r="CJ90" s="401"/>
      <c r="CK90" s="401"/>
      <c r="CL90" s="401"/>
      <c r="CM90" s="401"/>
      <c r="CN90" s="401"/>
      <c r="CO90" s="401"/>
      <c r="CP90" s="401"/>
      <c r="CQ90" s="401"/>
      <c r="CR90" s="401"/>
      <c r="CS90" s="401"/>
      <c r="CT90" s="401"/>
      <c r="CU90" s="401"/>
      <c r="CV90" s="401"/>
      <c r="CW90" s="401"/>
      <c r="CX90" s="401"/>
      <c r="CY90" s="401"/>
      <c r="CZ90" s="401"/>
      <c r="DA90" s="401"/>
      <c r="DB90" s="401"/>
      <c r="DC90" s="401"/>
      <c r="DD90" s="401"/>
      <c r="DE90" s="401"/>
      <c r="DF90" s="401"/>
      <c r="DG90" s="401"/>
      <c r="DH90" s="401"/>
      <c r="DI90" s="401"/>
      <c r="DJ90" s="401"/>
      <c r="DK90" s="401"/>
      <c r="DL90" s="401"/>
      <c r="DM90" s="401"/>
      <c r="DN90" s="401"/>
      <c r="DO90" s="401"/>
      <c r="DP90" s="401"/>
      <c r="DQ90" s="401"/>
      <c r="DR90" s="401"/>
      <c r="DS90" s="401"/>
      <c r="DT90" s="401"/>
      <c r="DU90" s="401"/>
      <c r="DV90" s="401"/>
      <c r="DW90" s="401"/>
      <c r="DX90" s="401"/>
      <c r="DY90" s="401"/>
      <c r="DZ90" s="401"/>
      <c r="EA90" s="401"/>
      <c r="EB90" s="401"/>
      <c r="EC90" s="401"/>
      <c r="ED90" s="401"/>
      <c r="EE90" s="401"/>
      <c r="EF90" s="401"/>
      <c r="EG90" s="401"/>
      <c r="EH90" s="401"/>
      <c r="EI90" s="401"/>
      <c r="EJ90" s="401"/>
      <c r="EK90" s="401"/>
      <c r="EL90" s="401"/>
      <c r="EM90" s="401"/>
      <c r="EN90" s="401"/>
      <c r="EO90" s="401"/>
      <c r="EP90" s="401"/>
      <c r="EQ90" s="401"/>
      <c r="ER90" s="401"/>
      <c r="ES90" s="401"/>
      <c r="ET90" s="401"/>
      <c r="EU90" s="401"/>
      <c r="EV90" s="401"/>
      <c r="EW90" s="401"/>
      <c r="EX90" s="401"/>
      <c r="EY90" s="401"/>
      <c r="EZ90" s="401"/>
      <c r="FA90" s="401"/>
      <c r="FB90" s="401"/>
      <c r="FC90" s="401"/>
      <c r="FD90" s="401"/>
      <c r="FE90" s="401"/>
      <c r="FF90" s="401"/>
      <c r="FG90" s="401"/>
      <c r="FH90" s="401"/>
      <c r="FI90" s="401"/>
      <c r="FJ90" s="401"/>
      <c r="FK90" s="401"/>
      <c r="FL90" s="401"/>
      <c r="FM90" s="401"/>
      <c r="FN90" s="401"/>
      <c r="FO90" s="401"/>
      <c r="FP90" s="401"/>
      <c r="FQ90" s="401"/>
      <c r="FR90" s="401"/>
      <c r="FS90" s="401"/>
      <c r="FT90" s="401"/>
      <c r="FU90" s="401"/>
      <c r="FV90" s="401"/>
      <c r="FW90" s="401"/>
      <c r="FX90" s="401"/>
      <c r="FY90" s="401"/>
      <c r="FZ90" s="401"/>
      <c r="GA90" s="401"/>
      <c r="GB90" s="401"/>
      <c r="GC90" s="401"/>
      <c r="GD90" s="401"/>
      <c r="GE90" s="401"/>
      <c r="GF90" s="401"/>
      <c r="GG90" s="401"/>
      <c r="GH90" s="401"/>
      <c r="GI90" s="401"/>
      <c r="GJ90" s="401"/>
      <c r="GK90" s="401"/>
      <c r="GL90" s="401"/>
      <c r="GM90" s="401"/>
      <c r="GN90" s="401"/>
      <c r="GO90" s="401"/>
      <c r="GP90" s="401"/>
      <c r="GQ90" s="401"/>
      <c r="GR90" s="401"/>
      <c r="GS90" s="401"/>
      <c r="GT90" s="401"/>
      <c r="GU90" s="401"/>
      <c r="GV90" s="401"/>
      <c r="GW90" s="428"/>
      <c r="GX90" s="368" t="s">
        <v>622</v>
      </c>
      <c r="GY90" s="368"/>
      <c r="GZ90" s="369"/>
      <c r="HA90" s="369"/>
      <c r="HB90" s="369"/>
      <c r="HC90" s="369"/>
      <c r="HD90" s="369"/>
      <c r="HE90" s="369"/>
      <c r="HF90" s="369"/>
      <c r="HG90" s="369"/>
      <c r="HH90" s="369"/>
      <c r="HI90" s="369"/>
      <c r="HJ90" s="369"/>
      <c r="HK90" s="369"/>
      <c r="HL90" s="369"/>
      <c r="HM90" s="430"/>
      <c r="HN90" s="430"/>
      <c r="HO90" s="430"/>
      <c r="HP90" s="430"/>
      <c r="HQ90" s="430"/>
      <c r="HR90" s="430"/>
      <c r="HS90" s="430"/>
      <c r="HT90" s="430"/>
      <c r="HU90" s="430"/>
      <c r="HV90" s="430"/>
      <c r="HW90" s="430"/>
      <c r="HX90" s="430"/>
      <c r="HY90" s="430"/>
      <c r="HZ90" s="430"/>
      <c r="IA90" s="430"/>
      <c r="IB90" s="430"/>
      <c r="IC90" s="430"/>
      <c r="ID90" s="430"/>
      <c r="IE90" s="401"/>
      <c r="JM90" s="401"/>
      <c r="JN90" s="401"/>
      <c r="JO90" s="401"/>
      <c r="JP90" s="401"/>
      <c r="JQ90" s="401"/>
      <c r="JR90" s="401"/>
      <c r="JS90" s="401"/>
      <c r="JT90" s="401"/>
      <c r="JU90" s="401"/>
      <c r="JV90" s="401"/>
      <c r="JW90" s="401"/>
      <c r="JX90" s="401"/>
      <c r="JY90" s="401"/>
      <c r="JZ90" s="401"/>
      <c r="KA90" s="401"/>
      <c r="KB90" s="401"/>
      <c r="KC90" s="401"/>
      <c r="KD90" s="401"/>
      <c r="KE90" s="401"/>
      <c r="KF90" s="401"/>
      <c r="KG90" s="434"/>
      <c r="KH90" s="401"/>
      <c r="KI90" s="401"/>
      <c r="KJ90" s="401"/>
      <c r="KK90" s="401"/>
      <c r="KL90" s="401"/>
      <c r="KM90" s="401"/>
      <c r="KN90" s="401"/>
      <c r="KO90" s="401"/>
      <c r="KP90" s="401"/>
      <c r="KQ90" s="401"/>
      <c r="KR90" s="401"/>
      <c r="KS90" s="401"/>
      <c r="KT90" s="436"/>
      <c r="KU90" s="436"/>
      <c r="KV90" s="436"/>
      <c r="KW90" s="436"/>
      <c r="KX90" s="436"/>
      <c r="KY90" s="436"/>
    </row>
    <row r="91" spans="4:311"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  <c r="AI91" s="401"/>
      <c r="AJ91" s="401"/>
      <c r="AK91" s="401"/>
      <c r="AL91" s="401"/>
      <c r="AM91" s="401"/>
      <c r="AN91" s="401"/>
      <c r="AO91" s="401"/>
      <c r="AP91" s="401"/>
      <c r="AQ91" s="401"/>
      <c r="AR91" s="401"/>
      <c r="AS91" s="401"/>
      <c r="AT91" s="401"/>
      <c r="AU91" s="401"/>
      <c r="AV91" s="401"/>
      <c r="AW91" s="401"/>
      <c r="AX91" s="401"/>
      <c r="AY91" s="401"/>
      <c r="AZ91" s="401"/>
      <c r="BA91" s="401"/>
      <c r="BB91" s="401"/>
      <c r="BC91" s="401"/>
      <c r="BD91" s="401"/>
      <c r="BE91" s="401"/>
      <c r="BF91" s="401"/>
      <c r="BG91" s="401"/>
      <c r="BH91" s="401"/>
      <c r="BI91" s="401"/>
      <c r="BJ91" s="401"/>
      <c r="BK91" s="401"/>
      <c r="BL91" s="401"/>
      <c r="BM91" s="401"/>
      <c r="BN91" s="401"/>
      <c r="BO91" s="401"/>
      <c r="BP91" s="401"/>
      <c r="BQ91" s="401"/>
      <c r="BR91" s="401"/>
      <c r="BS91" s="401"/>
      <c r="BT91" s="401"/>
      <c r="BU91" s="401"/>
      <c r="BV91" s="401"/>
      <c r="BW91" s="401"/>
      <c r="BX91" s="401"/>
      <c r="BY91" s="401"/>
      <c r="BZ91" s="401"/>
      <c r="CA91" s="401"/>
      <c r="CB91" s="401"/>
      <c r="CC91" s="401"/>
      <c r="CD91" s="401"/>
      <c r="CE91" s="401"/>
      <c r="CF91" s="401"/>
      <c r="CG91" s="401"/>
      <c r="CH91" s="401"/>
      <c r="CI91" s="401"/>
      <c r="CJ91" s="401"/>
      <c r="CK91" s="401"/>
      <c r="CL91" s="401"/>
      <c r="CM91" s="401"/>
      <c r="CN91" s="401"/>
      <c r="CO91" s="401"/>
      <c r="CP91" s="401"/>
      <c r="CQ91" s="401"/>
      <c r="CR91" s="401"/>
      <c r="CS91" s="401"/>
      <c r="CT91" s="401"/>
      <c r="CU91" s="401"/>
      <c r="CV91" s="401"/>
      <c r="CW91" s="401"/>
      <c r="CX91" s="401"/>
      <c r="CY91" s="401"/>
      <c r="CZ91" s="401"/>
      <c r="DA91" s="401"/>
      <c r="DB91" s="401"/>
      <c r="DC91" s="401"/>
      <c r="DD91" s="401"/>
      <c r="DE91" s="401"/>
      <c r="DF91" s="401"/>
      <c r="DG91" s="401"/>
      <c r="DH91" s="401"/>
      <c r="DI91" s="401"/>
      <c r="DJ91" s="401"/>
      <c r="DK91" s="401"/>
      <c r="DL91" s="401"/>
      <c r="DM91" s="401"/>
      <c r="DN91" s="401"/>
      <c r="DO91" s="401"/>
      <c r="DP91" s="401"/>
      <c r="DQ91" s="401"/>
      <c r="DR91" s="401"/>
      <c r="DS91" s="401"/>
      <c r="DT91" s="401"/>
      <c r="DU91" s="401"/>
      <c r="DV91" s="401"/>
      <c r="DW91" s="401"/>
      <c r="DX91" s="401"/>
      <c r="DY91" s="401"/>
      <c r="DZ91" s="401"/>
      <c r="EA91" s="401"/>
      <c r="EB91" s="401"/>
      <c r="EC91" s="401"/>
      <c r="ED91" s="401"/>
      <c r="EE91" s="401"/>
      <c r="EF91" s="401"/>
      <c r="EG91" s="401"/>
      <c r="EH91" s="401"/>
      <c r="EI91" s="401"/>
      <c r="EJ91" s="401"/>
      <c r="EK91" s="401"/>
      <c r="EL91" s="401"/>
      <c r="EM91" s="401"/>
      <c r="EN91" s="401"/>
      <c r="EO91" s="401"/>
      <c r="EP91" s="401"/>
      <c r="EQ91" s="401"/>
      <c r="ER91" s="401"/>
      <c r="ES91" s="401"/>
      <c r="ET91" s="401"/>
      <c r="EU91" s="401"/>
      <c r="EV91" s="401"/>
      <c r="EW91" s="401"/>
      <c r="EX91" s="401"/>
      <c r="EY91" s="401"/>
      <c r="EZ91" s="401"/>
      <c r="FA91" s="401"/>
      <c r="FB91" s="401"/>
      <c r="FC91" s="401"/>
      <c r="FD91" s="401"/>
      <c r="FE91" s="401"/>
      <c r="FF91" s="401"/>
      <c r="FG91" s="401"/>
      <c r="FH91" s="401"/>
      <c r="FI91" s="401"/>
      <c r="FJ91" s="401"/>
      <c r="FK91" s="401"/>
      <c r="FL91" s="401"/>
      <c r="FM91" s="401"/>
      <c r="FN91" s="401"/>
      <c r="FO91" s="401"/>
      <c r="FP91" s="401"/>
      <c r="FQ91" s="401"/>
      <c r="FR91" s="401"/>
      <c r="FS91" s="401"/>
      <c r="FT91" s="401"/>
      <c r="FU91" s="401"/>
      <c r="FV91" s="401"/>
      <c r="FW91" s="401"/>
      <c r="FX91" s="401"/>
      <c r="FY91" s="401"/>
      <c r="FZ91" s="401"/>
      <c r="GA91" s="401"/>
      <c r="GB91" s="401"/>
      <c r="GC91" s="401"/>
      <c r="GD91" s="401"/>
      <c r="GE91" s="401"/>
      <c r="GF91" s="401"/>
      <c r="GG91" s="401"/>
      <c r="GH91" s="401"/>
      <c r="GI91" s="401"/>
      <c r="GJ91" s="401"/>
      <c r="GK91" s="401"/>
      <c r="GL91" s="401"/>
      <c r="GM91" s="401"/>
      <c r="GN91" s="401"/>
      <c r="GO91" s="401"/>
      <c r="GP91" s="401"/>
      <c r="GQ91" s="401"/>
      <c r="GR91" s="401"/>
      <c r="GS91" s="401"/>
      <c r="GT91" s="401"/>
      <c r="GU91" s="401"/>
      <c r="GV91" s="401"/>
      <c r="GW91" s="428"/>
      <c r="GX91" s="368" t="s">
        <v>627</v>
      </c>
      <c r="GY91" s="368"/>
      <c r="GZ91" s="369"/>
      <c r="HA91" s="369"/>
      <c r="HB91" s="369"/>
      <c r="HC91" s="369"/>
      <c r="HD91" s="369"/>
      <c r="HE91" s="369"/>
      <c r="HF91" s="369"/>
      <c r="HG91" s="369"/>
      <c r="HH91" s="369"/>
      <c r="HI91" s="369"/>
      <c r="HJ91" s="369"/>
      <c r="HK91" s="369"/>
      <c r="HL91" s="369"/>
      <c r="HM91" s="430"/>
      <c r="HN91" s="430"/>
      <c r="HO91" s="430"/>
      <c r="HP91" s="430"/>
      <c r="HQ91" s="430"/>
      <c r="HR91" s="430"/>
      <c r="HS91" s="430"/>
      <c r="HT91" s="430"/>
      <c r="HU91" s="430"/>
      <c r="HV91" s="430"/>
      <c r="HW91" s="430"/>
      <c r="HX91" s="430"/>
      <c r="HY91" s="430"/>
      <c r="HZ91" s="430"/>
      <c r="IA91" s="430"/>
      <c r="IB91" s="430"/>
      <c r="IC91" s="430"/>
      <c r="ID91" s="430"/>
      <c r="IE91" s="401"/>
      <c r="JM91" s="401"/>
      <c r="JN91" s="401"/>
      <c r="JO91" s="401"/>
      <c r="JP91" s="401"/>
      <c r="JQ91" s="401"/>
      <c r="JR91" s="401"/>
      <c r="JS91" s="401"/>
      <c r="JT91" s="401"/>
      <c r="JU91" s="401"/>
      <c r="JV91" s="401"/>
      <c r="JW91" s="401"/>
      <c r="JX91" s="401"/>
      <c r="JY91" s="401"/>
      <c r="JZ91" s="401"/>
      <c r="KA91" s="401"/>
      <c r="KB91" s="401"/>
      <c r="KC91" s="401"/>
      <c r="KD91" s="401"/>
      <c r="KE91" s="401"/>
      <c r="KF91" s="401"/>
      <c r="KG91" s="434"/>
      <c r="KH91" s="401"/>
      <c r="KI91" s="401"/>
      <c r="KJ91" s="401"/>
      <c r="KK91" s="401"/>
      <c r="KL91" s="401"/>
      <c r="KM91" s="401"/>
      <c r="KN91" s="401"/>
      <c r="KO91" s="401"/>
      <c r="KP91" s="401"/>
      <c r="KQ91" s="401"/>
      <c r="KR91" s="401"/>
      <c r="KS91" s="401"/>
      <c r="KT91" s="436"/>
      <c r="KU91" s="436"/>
      <c r="KV91" s="436"/>
      <c r="KW91" s="436"/>
      <c r="KX91" s="436"/>
      <c r="KY91" s="436"/>
    </row>
    <row r="92" spans="4:311"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  <c r="AI92" s="401"/>
      <c r="AJ92" s="401"/>
      <c r="AK92" s="401"/>
      <c r="AL92" s="401"/>
      <c r="AM92" s="401"/>
      <c r="AN92" s="401"/>
      <c r="AO92" s="401"/>
      <c r="AP92" s="401"/>
      <c r="AQ92" s="401"/>
      <c r="AR92" s="401"/>
      <c r="AS92" s="401"/>
      <c r="AT92" s="401"/>
      <c r="AU92" s="401"/>
      <c r="AV92" s="401"/>
      <c r="AW92" s="401"/>
      <c r="AX92" s="401"/>
      <c r="AY92" s="401"/>
      <c r="AZ92" s="401"/>
      <c r="BA92" s="401"/>
      <c r="BB92" s="401"/>
      <c r="BC92" s="401"/>
      <c r="BD92" s="401"/>
      <c r="BE92" s="401"/>
      <c r="BF92" s="401"/>
      <c r="BG92" s="401"/>
      <c r="BH92" s="401"/>
      <c r="BI92" s="401"/>
      <c r="BJ92" s="401"/>
      <c r="BK92" s="401"/>
      <c r="BL92" s="401"/>
      <c r="BM92" s="401"/>
      <c r="BN92" s="401"/>
      <c r="BO92" s="401"/>
      <c r="BP92" s="401"/>
      <c r="BQ92" s="401"/>
      <c r="BR92" s="401"/>
      <c r="BS92" s="401"/>
      <c r="BT92" s="401"/>
      <c r="BU92" s="401"/>
      <c r="BV92" s="401"/>
      <c r="BW92" s="401"/>
      <c r="BX92" s="401"/>
      <c r="BY92" s="401"/>
      <c r="BZ92" s="401"/>
      <c r="CA92" s="401"/>
      <c r="CB92" s="401"/>
      <c r="CC92" s="401"/>
      <c r="CD92" s="401"/>
      <c r="CE92" s="401"/>
      <c r="CF92" s="401"/>
      <c r="CG92" s="401"/>
      <c r="CH92" s="401"/>
      <c r="CI92" s="401"/>
      <c r="CJ92" s="401"/>
      <c r="CK92" s="401"/>
      <c r="CL92" s="401"/>
      <c r="CM92" s="401"/>
      <c r="CN92" s="401"/>
      <c r="CO92" s="401"/>
      <c r="CP92" s="401"/>
      <c r="CQ92" s="401"/>
      <c r="CR92" s="401"/>
      <c r="CS92" s="401"/>
      <c r="CT92" s="401"/>
      <c r="CU92" s="401"/>
      <c r="CV92" s="401"/>
      <c r="CW92" s="401"/>
      <c r="CX92" s="401"/>
      <c r="CY92" s="401"/>
      <c r="CZ92" s="401"/>
      <c r="DA92" s="401"/>
      <c r="DB92" s="401"/>
      <c r="DC92" s="401"/>
      <c r="DD92" s="401"/>
      <c r="DE92" s="401"/>
      <c r="DF92" s="401"/>
      <c r="DG92" s="401"/>
      <c r="DH92" s="401"/>
      <c r="DI92" s="401"/>
      <c r="DJ92" s="401"/>
      <c r="DK92" s="401"/>
      <c r="DL92" s="401"/>
      <c r="DM92" s="401"/>
      <c r="DN92" s="401"/>
      <c r="DO92" s="401"/>
      <c r="DP92" s="401"/>
      <c r="DQ92" s="401"/>
      <c r="DR92" s="401"/>
      <c r="DS92" s="401"/>
      <c r="DT92" s="401"/>
      <c r="DU92" s="401"/>
      <c r="DV92" s="401"/>
      <c r="DW92" s="401"/>
      <c r="DX92" s="401"/>
      <c r="DY92" s="401"/>
      <c r="DZ92" s="401"/>
      <c r="EA92" s="401"/>
      <c r="EB92" s="401"/>
      <c r="EC92" s="401"/>
      <c r="ED92" s="401"/>
      <c r="EE92" s="401"/>
      <c r="EF92" s="401"/>
      <c r="EG92" s="401"/>
      <c r="EH92" s="401"/>
      <c r="EI92" s="401"/>
      <c r="EJ92" s="401"/>
      <c r="EK92" s="401"/>
      <c r="EL92" s="401"/>
      <c r="EM92" s="401"/>
      <c r="EN92" s="401"/>
      <c r="EO92" s="401"/>
      <c r="EP92" s="401"/>
      <c r="EQ92" s="401"/>
      <c r="ER92" s="401"/>
      <c r="ES92" s="401"/>
      <c r="ET92" s="401"/>
      <c r="EU92" s="401"/>
      <c r="EV92" s="401"/>
      <c r="EW92" s="401"/>
      <c r="EX92" s="401"/>
      <c r="EY92" s="401"/>
      <c r="EZ92" s="401"/>
      <c r="FA92" s="401"/>
      <c r="FB92" s="401"/>
      <c r="FC92" s="401"/>
      <c r="FD92" s="401"/>
      <c r="FE92" s="401"/>
      <c r="FF92" s="401"/>
      <c r="FG92" s="401"/>
      <c r="FH92" s="401"/>
      <c r="FI92" s="401"/>
      <c r="FJ92" s="401"/>
      <c r="FK92" s="401"/>
      <c r="FL92" s="401"/>
      <c r="FM92" s="401"/>
      <c r="FN92" s="401"/>
      <c r="FO92" s="401"/>
      <c r="FP92" s="401"/>
      <c r="FQ92" s="401"/>
      <c r="FR92" s="401"/>
      <c r="FS92" s="401"/>
      <c r="FT92" s="401"/>
      <c r="FU92" s="401"/>
      <c r="FV92" s="401"/>
      <c r="FW92" s="401"/>
      <c r="FX92" s="401"/>
      <c r="FY92" s="401"/>
      <c r="FZ92" s="401"/>
      <c r="GA92" s="401"/>
      <c r="GB92" s="401"/>
      <c r="GC92" s="401"/>
      <c r="GD92" s="401"/>
      <c r="GE92" s="401"/>
      <c r="GF92" s="401"/>
      <c r="GG92" s="401"/>
      <c r="GH92" s="401"/>
      <c r="GI92" s="401"/>
      <c r="GJ92" s="401"/>
      <c r="GK92" s="401"/>
      <c r="GL92" s="401"/>
      <c r="GM92" s="401"/>
      <c r="GN92" s="401"/>
      <c r="GO92" s="401"/>
      <c r="GP92" s="401"/>
      <c r="GQ92" s="401"/>
      <c r="GR92" s="401"/>
      <c r="GS92" s="401"/>
      <c r="GT92" s="401"/>
      <c r="GU92" s="401"/>
      <c r="GV92" s="401"/>
      <c r="GW92" s="428"/>
      <c r="GX92" s="368" t="s">
        <v>571</v>
      </c>
      <c r="GY92" s="368"/>
      <c r="GZ92" s="369"/>
      <c r="HA92" s="369"/>
      <c r="HB92" s="369"/>
      <c r="HC92" s="369"/>
      <c r="HD92" s="369"/>
      <c r="HE92" s="369"/>
      <c r="HF92" s="369"/>
      <c r="HG92" s="369"/>
      <c r="HH92" s="369"/>
      <c r="HI92" s="369"/>
      <c r="HJ92" s="369"/>
      <c r="HK92" s="369"/>
      <c r="HL92" s="369"/>
      <c r="HM92" s="430"/>
      <c r="HN92" s="430"/>
      <c r="HO92" s="430"/>
      <c r="HP92" s="430"/>
      <c r="HQ92" s="430"/>
      <c r="HR92" s="430"/>
      <c r="HS92" s="430"/>
      <c r="HT92" s="430"/>
      <c r="HU92" s="430"/>
      <c r="HV92" s="430"/>
      <c r="HW92" s="430"/>
      <c r="HX92" s="430"/>
      <c r="HY92" s="430"/>
      <c r="HZ92" s="430"/>
      <c r="IA92" s="430"/>
      <c r="IB92" s="430"/>
      <c r="IC92" s="430"/>
      <c r="ID92" s="430"/>
      <c r="IE92" s="401"/>
      <c r="JM92" s="401"/>
      <c r="JN92" s="401"/>
      <c r="JO92" s="401"/>
      <c r="JP92" s="401"/>
      <c r="JQ92" s="401"/>
      <c r="JR92" s="401"/>
      <c r="JS92" s="401"/>
      <c r="JT92" s="401"/>
      <c r="JU92" s="401"/>
      <c r="JV92" s="401"/>
      <c r="JW92" s="401"/>
      <c r="JX92" s="401"/>
      <c r="JY92" s="401"/>
      <c r="JZ92" s="401"/>
      <c r="KA92" s="401"/>
      <c r="KB92" s="401"/>
      <c r="KC92" s="401"/>
      <c r="KD92" s="401"/>
      <c r="KE92" s="401"/>
      <c r="KF92" s="401"/>
      <c r="KG92" s="434"/>
      <c r="KH92" s="401"/>
      <c r="KI92" s="401"/>
      <c r="KJ92" s="401"/>
      <c r="KK92" s="401"/>
      <c r="KL92" s="401"/>
      <c r="KM92" s="401"/>
      <c r="KN92" s="401"/>
      <c r="KO92" s="401"/>
      <c r="KP92" s="401"/>
      <c r="KQ92" s="401"/>
      <c r="KR92" s="401"/>
      <c r="KS92" s="401"/>
      <c r="KT92" s="436"/>
      <c r="KU92" s="436"/>
      <c r="KV92" s="436"/>
      <c r="KW92" s="436"/>
      <c r="KX92" s="436"/>
      <c r="KY92" s="436"/>
    </row>
    <row r="93" spans="4:311"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  <c r="AI93" s="401"/>
      <c r="AJ93" s="401"/>
      <c r="AK93" s="401"/>
      <c r="AL93" s="401"/>
      <c r="AM93" s="401"/>
      <c r="AN93" s="401"/>
      <c r="AO93" s="401"/>
      <c r="AP93" s="401"/>
      <c r="AQ93" s="401"/>
      <c r="AR93" s="401"/>
      <c r="AS93" s="401"/>
      <c r="AT93" s="401"/>
      <c r="AU93" s="401"/>
      <c r="AV93" s="401"/>
      <c r="AW93" s="401"/>
      <c r="AX93" s="401"/>
      <c r="AY93" s="401"/>
      <c r="AZ93" s="401"/>
      <c r="BA93" s="401"/>
      <c r="BB93" s="401"/>
      <c r="BC93" s="401"/>
      <c r="BD93" s="401"/>
      <c r="BE93" s="401"/>
      <c r="BF93" s="401"/>
      <c r="BG93" s="401"/>
      <c r="BH93" s="401"/>
      <c r="BI93" s="401"/>
      <c r="BJ93" s="401"/>
      <c r="BK93" s="401"/>
      <c r="BL93" s="401"/>
      <c r="BM93" s="401"/>
      <c r="BN93" s="401"/>
      <c r="BO93" s="401"/>
      <c r="BP93" s="401"/>
      <c r="BQ93" s="401"/>
      <c r="BR93" s="401"/>
      <c r="BS93" s="401"/>
      <c r="BT93" s="401"/>
      <c r="BU93" s="401"/>
      <c r="BV93" s="401"/>
      <c r="BW93" s="401"/>
      <c r="BX93" s="401"/>
      <c r="BY93" s="401"/>
      <c r="BZ93" s="401"/>
      <c r="CA93" s="401"/>
      <c r="CB93" s="401"/>
      <c r="CC93" s="401"/>
      <c r="CD93" s="401"/>
      <c r="CE93" s="401"/>
      <c r="CF93" s="401"/>
      <c r="CG93" s="401"/>
      <c r="CH93" s="401"/>
      <c r="CI93" s="401"/>
      <c r="CJ93" s="401"/>
      <c r="CK93" s="401"/>
      <c r="CL93" s="401"/>
      <c r="CM93" s="401"/>
      <c r="CN93" s="401"/>
      <c r="CO93" s="401"/>
      <c r="CP93" s="401"/>
      <c r="CQ93" s="401"/>
      <c r="CR93" s="401"/>
      <c r="CS93" s="401"/>
      <c r="CT93" s="401"/>
      <c r="CU93" s="401"/>
      <c r="CV93" s="401"/>
      <c r="CW93" s="401"/>
      <c r="CX93" s="401"/>
      <c r="CY93" s="401"/>
      <c r="CZ93" s="401"/>
      <c r="DA93" s="401"/>
      <c r="DB93" s="401"/>
      <c r="DC93" s="401"/>
      <c r="DD93" s="401"/>
      <c r="DE93" s="401"/>
      <c r="DF93" s="401"/>
      <c r="DG93" s="401"/>
      <c r="DH93" s="401"/>
      <c r="DI93" s="401"/>
      <c r="DJ93" s="401"/>
      <c r="DK93" s="401"/>
      <c r="DL93" s="401"/>
      <c r="DM93" s="401"/>
      <c r="DN93" s="401"/>
      <c r="DO93" s="401"/>
      <c r="DP93" s="401"/>
      <c r="DQ93" s="401"/>
      <c r="DR93" s="401"/>
      <c r="DS93" s="401"/>
      <c r="DT93" s="401"/>
      <c r="DU93" s="401"/>
      <c r="DV93" s="401"/>
      <c r="DW93" s="401"/>
      <c r="DX93" s="401"/>
      <c r="DY93" s="401"/>
      <c r="DZ93" s="401"/>
      <c r="EA93" s="401"/>
      <c r="EB93" s="401"/>
      <c r="EC93" s="401"/>
      <c r="ED93" s="401"/>
      <c r="EE93" s="401"/>
      <c r="EF93" s="401"/>
      <c r="EG93" s="401"/>
      <c r="EH93" s="401"/>
      <c r="EI93" s="401"/>
      <c r="EJ93" s="401"/>
      <c r="EK93" s="401"/>
      <c r="EL93" s="401"/>
      <c r="EM93" s="401"/>
      <c r="EN93" s="401"/>
      <c r="EO93" s="401"/>
      <c r="EP93" s="401"/>
      <c r="EQ93" s="401"/>
      <c r="ER93" s="401"/>
      <c r="ES93" s="401"/>
      <c r="ET93" s="401"/>
      <c r="EU93" s="401"/>
      <c r="EV93" s="401"/>
      <c r="EW93" s="401"/>
      <c r="EX93" s="401"/>
      <c r="EY93" s="401"/>
      <c r="EZ93" s="401"/>
      <c r="FA93" s="401"/>
      <c r="FB93" s="401"/>
      <c r="FC93" s="401"/>
      <c r="FD93" s="401"/>
      <c r="FE93" s="401"/>
      <c r="FF93" s="401"/>
      <c r="FG93" s="401"/>
      <c r="FH93" s="401"/>
      <c r="FI93" s="401"/>
      <c r="FJ93" s="401"/>
      <c r="FK93" s="401"/>
      <c r="FL93" s="401"/>
      <c r="FM93" s="401"/>
      <c r="FN93" s="401"/>
      <c r="FO93" s="401"/>
      <c r="FP93" s="401"/>
      <c r="FQ93" s="401"/>
      <c r="FR93" s="401"/>
      <c r="FS93" s="401"/>
      <c r="FT93" s="401"/>
      <c r="FU93" s="401"/>
      <c r="FV93" s="401"/>
      <c r="FW93" s="401"/>
      <c r="FX93" s="401"/>
      <c r="FY93" s="401"/>
      <c r="FZ93" s="401"/>
      <c r="GA93" s="401"/>
      <c r="GB93" s="401"/>
      <c r="GC93" s="401"/>
      <c r="GD93" s="401"/>
      <c r="GE93" s="401"/>
      <c r="GF93" s="401"/>
      <c r="GG93" s="401"/>
      <c r="GH93" s="401"/>
      <c r="GI93" s="401"/>
      <c r="GJ93" s="401"/>
      <c r="GK93" s="401"/>
      <c r="GL93" s="401"/>
      <c r="GM93" s="401"/>
      <c r="GN93" s="401"/>
      <c r="GO93" s="401"/>
      <c r="GP93" s="401"/>
      <c r="GQ93" s="401"/>
      <c r="GR93" s="401"/>
      <c r="GS93" s="401"/>
      <c r="GT93" s="401"/>
      <c r="GU93" s="401"/>
      <c r="GV93" s="401"/>
      <c r="GW93" s="428"/>
      <c r="GX93" s="368" t="s">
        <v>477</v>
      </c>
      <c r="GY93" s="368"/>
      <c r="GZ93" s="369"/>
      <c r="HA93" s="369"/>
      <c r="HB93" s="369"/>
      <c r="HC93" s="369"/>
      <c r="HD93" s="369"/>
      <c r="HE93" s="369"/>
      <c r="HF93" s="369"/>
      <c r="HG93" s="369"/>
      <c r="HH93" s="369"/>
      <c r="HI93" s="369"/>
      <c r="HJ93" s="369"/>
      <c r="HK93" s="369"/>
      <c r="HL93" s="369"/>
      <c r="HM93" s="430"/>
      <c r="HN93" s="430"/>
      <c r="HO93" s="430"/>
      <c r="HP93" s="430"/>
      <c r="HQ93" s="430"/>
      <c r="HR93" s="430"/>
      <c r="HS93" s="430"/>
      <c r="HT93" s="430"/>
      <c r="HU93" s="430"/>
      <c r="HV93" s="430"/>
      <c r="HW93" s="430"/>
      <c r="HX93" s="430"/>
      <c r="HY93" s="430"/>
      <c r="HZ93" s="430"/>
      <c r="IA93" s="430"/>
      <c r="IB93" s="430"/>
      <c r="IC93" s="430"/>
      <c r="ID93" s="430"/>
      <c r="IE93" s="401"/>
      <c r="JM93" s="401"/>
      <c r="JN93" s="401"/>
      <c r="JO93" s="401"/>
      <c r="JP93" s="401"/>
      <c r="JQ93" s="401"/>
      <c r="JR93" s="401"/>
      <c r="JS93" s="401"/>
      <c r="JT93" s="401"/>
      <c r="JU93" s="401"/>
      <c r="JV93" s="401"/>
      <c r="JW93" s="401"/>
      <c r="JX93" s="401"/>
      <c r="JY93" s="401"/>
      <c r="JZ93" s="401"/>
      <c r="KA93" s="401"/>
      <c r="KB93" s="401"/>
      <c r="KC93" s="401"/>
      <c r="KD93" s="401"/>
      <c r="KE93" s="401"/>
      <c r="KF93" s="401"/>
      <c r="KG93" s="434"/>
      <c r="KH93" s="401"/>
      <c r="KI93" s="401"/>
      <c r="KJ93" s="401"/>
      <c r="KK93" s="401"/>
      <c r="KL93" s="401"/>
      <c r="KM93" s="401"/>
      <c r="KN93" s="401"/>
      <c r="KO93" s="401"/>
      <c r="KP93" s="401"/>
      <c r="KQ93" s="401"/>
      <c r="KR93" s="401"/>
      <c r="KS93" s="401"/>
      <c r="KT93" s="436"/>
      <c r="KU93" s="436"/>
      <c r="KV93" s="436"/>
      <c r="KW93" s="436"/>
      <c r="KX93" s="436"/>
      <c r="KY93" s="436"/>
    </row>
    <row r="94" spans="4:311"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1"/>
      <c r="AX94" s="401"/>
      <c r="AY94" s="401"/>
      <c r="AZ94" s="401"/>
      <c r="BA94" s="401"/>
      <c r="BB94" s="401"/>
      <c r="BC94" s="401"/>
      <c r="BD94" s="401"/>
      <c r="BE94" s="401"/>
      <c r="BF94" s="401"/>
      <c r="BG94" s="401"/>
      <c r="BH94" s="401"/>
      <c r="BI94" s="401"/>
      <c r="BJ94" s="401"/>
      <c r="BK94" s="401"/>
      <c r="BL94" s="401"/>
      <c r="BM94" s="401"/>
      <c r="BN94" s="401"/>
      <c r="BO94" s="401"/>
      <c r="BP94" s="401"/>
      <c r="BQ94" s="401"/>
      <c r="BR94" s="401"/>
      <c r="BS94" s="401"/>
      <c r="BT94" s="401"/>
      <c r="BU94" s="401"/>
      <c r="BV94" s="401"/>
      <c r="BW94" s="401"/>
      <c r="BX94" s="401"/>
      <c r="BY94" s="401"/>
      <c r="BZ94" s="401"/>
      <c r="CA94" s="401"/>
      <c r="CB94" s="401"/>
      <c r="CC94" s="401"/>
      <c r="CD94" s="401"/>
      <c r="CE94" s="401"/>
      <c r="CF94" s="401"/>
      <c r="CG94" s="401"/>
      <c r="CH94" s="401"/>
      <c r="CI94" s="401"/>
      <c r="CJ94" s="401"/>
      <c r="CK94" s="401"/>
      <c r="CL94" s="401"/>
      <c r="CM94" s="401"/>
      <c r="CN94" s="401"/>
      <c r="CO94" s="401"/>
      <c r="CP94" s="401"/>
      <c r="CQ94" s="401"/>
      <c r="CR94" s="401"/>
      <c r="CS94" s="401"/>
      <c r="CT94" s="401"/>
      <c r="CU94" s="401"/>
      <c r="CV94" s="401"/>
      <c r="CW94" s="401"/>
      <c r="CX94" s="401"/>
      <c r="CY94" s="401"/>
      <c r="CZ94" s="401"/>
      <c r="DA94" s="401"/>
      <c r="DB94" s="401"/>
      <c r="DC94" s="401"/>
      <c r="DD94" s="401"/>
      <c r="DE94" s="401"/>
      <c r="DF94" s="401"/>
      <c r="DG94" s="401"/>
      <c r="DH94" s="401"/>
      <c r="DI94" s="401"/>
      <c r="DJ94" s="401"/>
      <c r="DK94" s="401"/>
      <c r="DL94" s="401"/>
      <c r="DM94" s="401"/>
      <c r="DN94" s="401"/>
      <c r="DO94" s="401"/>
      <c r="DP94" s="401"/>
      <c r="DQ94" s="401"/>
      <c r="DR94" s="401"/>
      <c r="DS94" s="401"/>
      <c r="DT94" s="401"/>
      <c r="DU94" s="401"/>
      <c r="DV94" s="401"/>
      <c r="DW94" s="401"/>
      <c r="DX94" s="401"/>
      <c r="DY94" s="401"/>
      <c r="DZ94" s="401"/>
      <c r="EA94" s="401"/>
      <c r="EB94" s="401"/>
      <c r="EC94" s="401"/>
      <c r="ED94" s="401"/>
      <c r="EE94" s="401"/>
      <c r="EF94" s="401"/>
      <c r="EG94" s="401"/>
      <c r="EH94" s="401"/>
      <c r="EI94" s="401"/>
      <c r="EJ94" s="401"/>
      <c r="EK94" s="401"/>
      <c r="EL94" s="401"/>
      <c r="EM94" s="401"/>
      <c r="EN94" s="401"/>
      <c r="EO94" s="401"/>
      <c r="EP94" s="401"/>
      <c r="EQ94" s="401"/>
      <c r="ER94" s="401"/>
      <c r="ES94" s="401"/>
      <c r="ET94" s="401"/>
      <c r="EU94" s="401"/>
      <c r="EV94" s="401"/>
      <c r="EW94" s="401"/>
      <c r="EX94" s="401"/>
      <c r="EY94" s="401"/>
      <c r="EZ94" s="401"/>
      <c r="FA94" s="401"/>
      <c r="FB94" s="401"/>
      <c r="FC94" s="401"/>
      <c r="FD94" s="401"/>
      <c r="FE94" s="401"/>
      <c r="FF94" s="401"/>
      <c r="FG94" s="401"/>
      <c r="FH94" s="401"/>
      <c r="FI94" s="401"/>
      <c r="FJ94" s="401"/>
      <c r="FK94" s="401"/>
      <c r="FL94" s="401"/>
      <c r="FM94" s="401"/>
      <c r="FN94" s="401"/>
      <c r="FO94" s="401"/>
      <c r="FP94" s="401"/>
      <c r="FQ94" s="401"/>
      <c r="FR94" s="401"/>
      <c r="FS94" s="401"/>
      <c r="FT94" s="401"/>
      <c r="FU94" s="401"/>
      <c r="FV94" s="401"/>
      <c r="FW94" s="401"/>
      <c r="FX94" s="401"/>
      <c r="FY94" s="401"/>
      <c r="FZ94" s="401"/>
      <c r="GA94" s="401"/>
      <c r="GB94" s="401"/>
      <c r="GC94" s="401"/>
      <c r="GD94" s="401"/>
      <c r="GE94" s="401"/>
      <c r="GF94" s="401"/>
      <c r="GG94" s="401"/>
      <c r="GH94" s="401"/>
      <c r="GI94" s="401"/>
      <c r="GJ94" s="401"/>
      <c r="GK94" s="401"/>
      <c r="GL94" s="401"/>
      <c r="GM94" s="401"/>
      <c r="GN94" s="401"/>
      <c r="GO94" s="401"/>
      <c r="GP94" s="401"/>
      <c r="GQ94" s="401"/>
      <c r="GR94" s="401"/>
      <c r="GS94" s="401"/>
      <c r="GT94" s="401"/>
      <c r="GU94" s="401"/>
      <c r="GV94" s="401"/>
      <c r="GW94" s="428"/>
      <c r="GX94" s="368" t="s">
        <v>534</v>
      </c>
      <c r="GY94" s="368"/>
      <c r="GZ94" s="369"/>
      <c r="HA94" s="369"/>
      <c r="HB94" s="369"/>
      <c r="HC94" s="369"/>
      <c r="HD94" s="369"/>
      <c r="HE94" s="369"/>
      <c r="HF94" s="369"/>
      <c r="HG94" s="369"/>
      <c r="HH94" s="369"/>
      <c r="HI94" s="369"/>
      <c r="HJ94" s="369"/>
      <c r="HK94" s="369"/>
      <c r="HL94" s="369"/>
      <c r="HM94" s="430"/>
      <c r="HN94" s="430"/>
      <c r="HO94" s="430"/>
      <c r="HP94" s="430"/>
      <c r="HQ94" s="430"/>
      <c r="HR94" s="430"/>
      <c r="HS94" s="430"/>
      <c r="HT94" s="430"/>
      <c r="HU94" s="430"/>
      <c r="HV94" s="430"/>
      <c r="HW94" s="430"/>
      <c r="HX94" s="430"/>
      <c r="HY94" s="430"/>
      <c r="HZ94" s="430"/>
      <c r="IA94" s="430"/>
      <c r="IB94" s="430"/>
      <c r="IC94" s="430"/>
      <c r="ID94" s="430"/>
      <c r="IE94" s="401"/>
      <c r="JM94" s="401"/>
      <c r="JN94" s="401"/>
      <c r="JO94" s="401"/>
      <c r="JP94" s="401"/>
      <c r="JQ94" s="401"/>
      <c r="JR94" s="401"/>
      <c r="JS94" s="401"/>
      <c r="JT94" s="401"/>
      <c r="JU94" s="401"/>
      <c r="JV94" s="401"/>
      <c r="JW94" s="401"/>
      <c r="JX94" s="401"/>
      <c r="JY94" s="401"/>
      <c r="JZ94" s="401"/>
      <c r="KA94" s="401"/>
      <c r="KB94" s="401"/>
      <c r="KC94" s="401"/>
      <c r="KD94" s="401"/>
      <c r="KE94" s="401"/>
      <c r="KF94" s="401"/>
      <c r="KG94" s="434"/>
      <c r="KH94" s="401"/>
      <c r="KI94" s="401"/>
      <c r="KJ94" s="401"/>
      <c r="KK94" s="401"/>
      <c r="KL94" s="401"/>
      <c r="KM94" s="401"/>
      <c r="KN94" s="401"/>
      <c r="KO94" s="401"/>
      <c r="KP94" s="401"/>
      <c r="KQ94" s="401"/>
      <c r="KR94" s="401"/>
      <c r="KS94" s="401"/>
      <c r="KT94" s="436"/>
      <c r="KU94" s="436"/>
      <c r="KV94" s="436"/>
      <c r="KW94" s="436"/>
      <c r="KX94" s="436"/>
      <c r="KY94" s="436"/>
    </row>
    <row r="95" spans="4:311"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  <c r="AI95" s="401"/>
      <c r="AJ95" s="401"/>
      <c r="AK95" s="401"/>
      <c r="AL95" s="401"/>
      <c r="AM95" s="401"/>
      <c r="AN95" s="401"/>
      <c r="AO95" s="401"/>
      <c r="AP95" s="401"/>
      <c r="AQ95" s="401"/>
      <c r="AR95" s="401"/>
      <c r="AS95" s="401"/>
      <c r="AT95" s="401"/>
      <c r="AU95" s="401"/>
      <c r="AV95" s="401"/>
      <c r="AW95" s="401"/>
      <c r="AX95" s="401"/>
      <c r="AY95" s="401"/>
      <c r="AZ95" s="401"/>
      <c r="BA95" s="401"/>
      <c r="BB95" s="401"/>
      <c r="BC95" s="401"/>
      <c r="BD95" s="401"/>
      <c r="BE95" s="401"/>
      <c r="BF95" s="401"/>
      <c r="BG95" s="401"/>
      <c r="BH95" s="401"/>
      <c r="BI95" s="401"/>
      <c r="BJ95" s="401"/>
      <c r="BK95" s="401"/>
      <c r="BL95" s="401"/>
      <c r="BM95" s="401"/>
      <c r="BN95" s="401"/>
      <c r="BO95" s="401"/>
      <c r="BP95" s="401"/>
      <c r="BQ95" s="401"/>
      <c r="BR95" s="401"/>
      <c r="BS95" s="401"/>
      <c r="BT95" s="401"/>
      <c r="BU95" s="401"/>
      <c r="BV95" s="401"/>
      <c r="BW95" s="401"/>
      <c r="BX95" s="401"/>
      <c r="BY95" s="401"/>
      <c r="BZ95" s="401"/>
      <c r="CA95" s="401"/>
      <c r="CB95" s="401"/>
      <c r="CC95" s="401"/>
      <c r="CD95" s="401"/>
      <c r="CE95" s="401"/>
      <c r="CF95" s="401"/>
      <c r="CG95" s="401"/>
      <c r="CH95" s="401"/>
      <c r="CI95" s="401"/>
      <c r="CJ95" s="401"/>
      <c r="CK95" s="401"/>
      <c r="CL95" s="401"/>
      <c r="CM95" s="401"/>
      <c r="CN95" s="401"/>
      <c r="CO95" s="401"/>
      <c r="CP95" s="401"/>
      <c r="CQ95" s="401"/>
      <c r="CR95" s="401"/>
      <c r="CS95" s="401"/>
      <c r="CT95" s="401"/>
      <c r="CU95" s="401"/>
      <c r="CV95" s="401"/>
      <c r="CW95" s="401"/>
      <c r="CX95" s="401"/>
      <c r="CY95" s="401"/>
      <c r="CZ95" s="401"/>
      <c r="DA95" s="401"/>
      <c r="DB95" s="401"/>
      <c r="DC95" s="401"/>
      <c r="DD95" s="401"/>
      <c r="DE95" s="401"/>
      <c r="DF95" s="401"/>
      <c r="DG95" s="401"/>
      <c r="DH95" s="401"/>
      <c r="DI95" s="401"/>
      <c r="DJ95" s="401"/>
      <c r="DK95" s="401"/>
      <c r="DL95" s="401"/>
      <c r="DM95" s="401"/>
      <c r="DN95" s="401"/>
      <c r="DO95" s="401"/>
      <c r="DP95" s="401"/>
      <c r="DQ95" s="401"/>
      <c r="DR95" s="401"/>
      <c r="DS95" s="401"/>
      <c r="DT95" s="401"/>
      <c r="DU95" s="401"/>
      <c r="DV95" s="401"/>
      <c r="DW95" s="401"/>
      <c r="DX95" s="401"/>
      <c r="DY95" s="401"/>
      <c r="DZ95" s="401"/>
      <c r="EA95" s="401"/>
      <c r="EB95" s="401"/>
      <c r="EC95" s="401"/>
      <c r="ED95" s="401"/>
      <c r="EE95" s="401"/>
      <c r="EF95" s="401"/>
      <c r="EG95" s="401"/>
      <c r="EH95" s="401"/>
      <c r="EI95" s="401"/>
      <c r="EJ95" s="401"/>
      <c r="EK95" s="401"/>
      <c r="EL95" s="401"/>
      <c r="EM95" s="401"/>
      <c r="EN95" s="401"/>
      <c r="EO95" s="401"/>
      <c r="EP95" s="401"/>
      <c r="EQ95" s="401"/>
      <c r="ER95" s="401"/>
      <c r="ES95" s="401"/>
      <c r="ET95" s="401"/>
      <c r="EU95" s="401"/>
      <c r="EV95" s="401"/>
      <c r="EW95" s="401"/>
      <c r="EX95" s="401"/>
      <c r="EY95" s="401"/>
      <c r="EZ95" s="401"/>
      <c r="FA95" s="401"/>
      <c r="FB95" s="401"/>
      <c r="FC95" s="401"/>
      <c r="FD95" s="401"/>
      <c r="FE95" s="401"/>
      <c r="FF95" s="401"/>
      <c r="FG95" s="401"/>
      <c r="FH95" s="401"/>
      <c r="FI95" s="401"/>
      <c r="FJ95" s="401"/>
      <c r="FK95" s="401"/>
      <c r="FL95" s="401"/>
      <c r="FM95" s="401"/>
      <c r="FN95" s="401"/>
      <c r="FO95" s="401"/>
      <c r="FP95" s="401"/>
      <c r="FQ95" s="401"/>
      <c r="FR95" s="401"/>
      <c r="FS95" s="401"/>
      <c r="FT95" s="401"/>
      <c r="FU95" s="401"/>
      <c r="FV95" s="401"/>
      <c r="FW95" s="401"/>
      <c r="FX95" s="401"/>
      <c r="FY95" s="401"/>
      <c r="FZ95" s="401"/>
      <c r="GA95" s="401"/>
      <c r="GB95" s="401"/>
      <c r="GC95" s="401"/>
      <c r="GD95" s="401"/>
      <c r="GE95" s="401"/>
      <c r="GF95" s="401"/>
      <c r="GG95" s="401"/>
      <c r="GH95" s="401"/>
      <c r="GI95" s="401"/>
      <c r="GJ95" s="401"/>
      <c r="GK95" s="401"/>
      <c r="GL95" s="401"/>
      <c r="GM95" s="401"/>
      <c r="GN95" s="401"/>
      <c r="GO95" s="401"/>
      <c r="GP95" s="401"/>
      <c r="GQ95" s="401"/>
      <c r="GR95" s="401"/>
      <c r="GS95" s="401"/>
      <c r="GT95" s="401"/>
      <c r="GU95" s="401"/>
      <c r="GV95" s="401"/>
      <c r="GW95" s="428"/>
      <c r="GX95" s="368" t="s">
        <v>498</v>
      </c>
      <c r="GY95" s="368"/>
      <c r="GZ95" s="369"/>
      <c r="HA95" s="369"/>
      <c r="HB95" s="369"/>
      <c r="HC95" s="369"/>
      <c r="HD95" s="369"/>
      <c r="HE95" s="369"/>
      <c r="HF95" s="369"/>
      <c r="HG95" s="369"/>
      <c r="HH95" s="369"/>
      <c r="HI95" s="369"/>
      <c r="HJ95" s="369"/>
      <c r="HK95" s="369"/>
      <c r="HL95" s="369"/>
      <c r="HM95" s="430"/>
      <c r="HN95" s="430"/>
      <c r="HO95" s="430"/>
      <c r="HP95" s="430"/>
      <c r="HQ95" s="430"/>
      <c r="HR95" s="430"/>
      <c r="HS95" s="430"/>
      <c r="HT95" s="430"/>
      <c r="HU95" s="430"/>
      <c r="HV95" s="430"/>
      <c r="HW95" s="430"/>
      <c r="HX95" s="430"/>
      <c r="HY95" s="430"/>
      <c r="HZ95" s="430"/>
      <c r="IA95" s="430"/>
      <c r="IB95" s="430"/>
      <c r="IC95" s="430"/>
      <c r="ID95" s="430"/>
      <c r="IE95" s="401"/>
      <c r="JM95" s="401"/>
      <c r="JN95" s="401"/>
      <c r="JO95" s="401"/>
      <c r="JP95" s="401"/>
      <c r="JQ95" s="401"/>
      <c r="JR95" s="401"/>
      <c r="JS95" s="401"/>
      <c r="JT95" s="401"/>
      <c r="JU95" s="401"/>
      <c r="JV95" s="401"/>
      <c r="JW95" s="401"/>
      <c r="JX95" s="401"/>
      <c r="JY95" s="401"/>
      <c r="JZ95" s="401"/>
      <c r="KA95" s="401"/>
      <c r="KB95" s="401"/>
      <c r="KC95" s="401"/>
      <c r="KD95" s="401"/>
      <c r="KE95" s="401"/>
      <c r="KF95" s="401"/>
      <c r="KG95" s="434"/>
      <c r="KH95" s="401"/>
      <c r="KI95" s="401"/>
      <c r="KJ95" s="401"/>
      <c r="KK95" s="401"/>
      <c r="KL95" s="401"/>
      <c r="KM95" s="401"/>
      <c r="KN95" s="401"/>
      <c r="KO95" s="401"/>
      <c r="KP95" s="401"/>
      <c r="KQ95" s="401"/>
      <c r="KR95" s="401"/>
      <c r="KS95" s="401"/>
      <c r="KT95" s="436"/>
      <c r="KU95" s="436"/>
      <c r="KV95" s="436"/>
      <c r="KW95" s="436"/>
      <c r="KX95" s="436"/>
      <c r="KY95" s="436"/>
    </row>
    <row r="96" spans="4:311"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  <c r="AI96" s="401"/>
      <c r="AJ96" s="401"/>
      <c r="AK96" s="401"/>
      <c r="AL96" s="401"/>
      <c r="AM96" s="401"/>
      <c r="AN96" s="401"/>
      <c r="AO96" s="401"/>
      <c r="AP96" s="401"/>
      <c r="AQ96" s="401"/>
      <c r="AR96" s="401"/>
      <c r="AS96" s="401"/>
      <c r="AT96" s="401"/>
      <c r="AU96" s="401"/>
      <c r="AV96" s="401"/>
      <c r="AW96" s="401"/>
      <c r="AX96" s="401"/>
      <c r="AY96" s="401"/>
      <c r="AZ96" s="401"/>
      <c r="BA96" s="401"/>
      <c r="BB96" s="401"/>
      <c r="BC96" s="401"/>
      <c r="BD96" s="401"/>
      <c r="BE96" s="401"/>
      <c r="BF96" s="401"/>
      <c r="BG96" s="401"/>
      <c r="BH96" s="401"/>
      <c r="BI96" s="401"/>
      <c r="BJ96" s="401"/>
      <c r="BK96" s="401"/>
      <c r="BL96" s="401"/>
      <c r="BM96" s="401"/>
      <c r="BN96" s="401"/>
      <c r="BO96" s="401"/>
      <c r="BP96" s="401"/>
      <c r="BQ96" s="401"/>
      <c r="BR96" s="401"/>
      <c r="BS96" s="401"/>
      <c r="BT96" s="401"/>
      <c r="BU96" s="401"/>
      <c r="BV96" s="401"/>
      <c r="BW96" s="401"/>
      <c r="BX96" s="401"/>
      <c r="BY96" s="401"/>
      <c r="BZ96" s="401"/>
      <c r="CA96" s="401"/>
      <c r="CB96" s="401"/>
      <c r="CC96" s="401"/>
      <c r="CD96" s="401"/>
      <c r="CE96" s="401"/>
      <c r="CF96" s="401"/>
      <c r="CG96" s="401"/>
      <c r="CH96" s="401"/>
      <c r="CI96" s="401"/>
      <c r="CJ96" s="401"/>
      <c r="CK96" s="401"/>
      <c r="CL96" s="401"/>
      <c r="CM96" s="401"/>
      <c r="CN96" s="401"/>
      <c r="CO96" s="401"/>
      <c r="CP96" s="401"/>
      <c r="CQ96" s="401"/>
      <c r="CR96" s="401"/>
      <c r="CS96" s="401"/>
      <c r="CT96" s="401"/>
      <c r="CU96" s="401"/>
      <c r="CV96" s="401"/>
      <c r="CW96" s="401"/>
      <c r="CX96" s="401"/>
      <c r="CY96" s="401"/>
      <c r="CZ96" s="401"/>
      <c r="DA96" s="401"/>
      <c r="DB96" s="401"/>
      <c r="DC96" s="401"/>
      <c r="DD96" s="401"/>
      <c r="DE96" s="401"/>
      <c r="DF96" s="401"/>
      <c r="DG96" s="401"/>
      <c r="DH96" s="401"/>
      <c r="DI96" s="401"/>
      <c r="DJ96" s="401"/>
      <c r="DK96" s="401"/>
      <c r="DL96" s="401"/>
      <c r="DM96" s="401"/>
      <c r="DN96" s="401"/>
      <c r="DO96" s="401"/>
      <c r="DP96" s="401"/>
      <c r="DQ96" s="401"/>
      <c r="DR96" s="401"/>
      <c r="DS96" s="401"/>
      <c r="DT96" s="401"/>
      <c r="DU96" s="401"/>
      <c r="DV96" s="401"/>
      <c r="DW96" s="401"/>
      <c r="DX96" s="401"/>
      <c r="DY96" s="401"/>
      <c r="DZ96" s="401"/>
      <c r="EA96" s="401"/>
      <c r="EB96" s="401"/>
      <c r="EC96" s="401"/>
      <c r="ED96" s="401"/>
      <c r="EE96" s="401"/>
      <c r="EF96" s="401"/>
      <c r="EG96" s="401"/>
      <c r="EH96" s="401"/>
      <c r="EI96" s="401"/>
      <c r="EJ96" s="401"/>
      <c r="EK96" s="401"/>
      <c r="EL96" s="401"/>
      <c r="EM96" s="401"/>
      <c r="EN96" s="401"/>
      <c r="EO96" s="401"/>
      <c r="EP96" s="401"/>
      <c r="EQ96" s="401"/>
      <c r="ER96" s="401"/>
      <c r="ES96" s="401"/>
      <c r="ET96" s="401"/>
      <c r="EU96" s="401"/>
      <c r="EV96" s="401"/>
      <c r="EW96" s="401"/>
      <c r="EX96" s="401"/>
      <c r="EY96" s="401"/>
      <c r="EZ96" s="401"/>
      <c r="FA96" s="401"/>
      <c r="FB96" s="401"/>
      <c r="FC96" s="401"/>
      <c r="FD96" s="401"/>
      <c r="FE96" s="401"/>
      <c r="FF96" s="401"/>
      <c r="FG96" s="401"/>
      <c r="FH96" s="401"/>
      <c r="FI96" s="401"/>
      <c r="FJ96" s="401"/>
      <c r="FK96" s="401"/>
      <c r="FL96" s="401"/>
      <c r="FM96" s="401"/>
      <c r="FN96" s="401"/>
      <c r="FO96" s="401"/>
      <c r="FP96" s="401"/>
      <c r="FQ96" s="401"/>
      <c r="FR96" s="401"/>
      <c r="FS96" s="401"/>
      <c r="FT96" s="401"/>
      <c r="FU96" s="401"/>
      <c r="FV96" s="401"/>
      <c r="FW96" s="401"/>
      <c r="FX96" s="401"/>
      <c r="FY96" s="401"/>
      <c r="FZ96" s="401"/>
      <c r="GA96" s="401"/>
      <c r="GB96" s="401"/>
      <c r="GC96" s="401"/>
      <c r="GD96" s="401"/>
      <c r="GE96" s="401"/>
      <c r="GF96" s="401"/>
      <c r="GG96" s="401"/>
      <c r="GH96" s="401"/>
      <c r="GI96" s="401"/>
      <c r="GJ96" s="401"/>
      <c r="GK96" s="401"/>
      <c r="GL96" s="401"/>
      <c r="GM96" s="401"/>
      <c r="GN96" s="401"/>
      <c r="GO96" s="401"/>
      <c r="GP96" s="401"/>
      <c r="GQ96" s="401"/>
      <c r="GR96" s="401"/>
      <c r="GS96" s="401"/>
      <c r="GT96" s="401"/>
      <c r="GU96" s="401"/>
      <c r="GV96" s="401"/>
      <c r="GW96" s="428"/>
      <c r="GX96" s="368" t="s">
        <v>628</v>
      </c>
      <c r="GY96" s="368"/>
      <c r="GZ96" s="369"/>
      <c r="HA96" s="369"/>
      <c r="HB96" s="369"/>
      <c r="HC96" s="369"/>
      <c r="HD96" s="369"/>
      <c r="HE96" s="369"/>
      <c r="HF96" s="369"/>
      <c r="HG96" s="369"/>
      <c r="HH96" s="369"/>
      <c r="HI96" s="369"/>
      <c r="HJ96" s="369"/>
      <c r="HK96" s="369"/>
      <c r="HL96" s="369"/>
      <c r="HM96" s="430"/>
      <c r="HN96" s="430"/>
      <c r="HO96" s="430"/>
      <c r="HP96" s="430"/>
      <c r="HQ96" s="430"/>
      <c r="HR96" s="430"/>
      <c r="HS96" s="430"/>
      <c r="HT96" s="430"/>
      <c r="HU96" s="430"/>
      <c r="HV96" s="430"/>
      <c r="HW96" s="430"/>
      <c r="HX96" s="430"/>
      <c r="HY96" s="430"/>
      <c r="HZ96" s="430"/>
      <c r="IA96" s="430"/>
      <c r="IB96" s="430"/>
      <c r="IC96" s="430"/>
      <c r="ID96" s="430"/>
      <c r="IE96" s="401"/>
      <c r="JM96" s="401"/>
      <c r="JN96" s="401"/>
      <c r="JO96" s="401"/>
      <c r="JP96" s="401"/>
      <c r="JQ96" s="401"/>
      <c r="JR96" s="401"/>
      <c r="JS96" s="401"/>
      <c r="JT96" s="401"/>
      <c r="JU96" s="401"/>
      <c r="JV96" s="401"/>
      <c r="JW96" s="401"/>
      <c r="JX96" s="401"/>
      <c r="JY96" s="401"/>
      <c r="JZ96" s="401"/>
      <c r="KA96" s="401"/>
      <c r="KB96" s="401"/>
      <c r="KC96" s="401"/>
      <c r="KD96" s="401"/>
      <c r="KE96" s="401"/>
      <c r="KF96" s="401"/>
      <c r="KG96" s="434"/>
      <c r="KH96" s="401"/>
      <c r="KI96" s="401"/>
      <c r="KJ96" s="401"/>
      <c r="KK96" s="401"/>
      <c r="KL96" s="401"/>
      <c r="KM96" s="401"/>
      <c r="KN96" s="401"/>
      <c r="KO96" s="401"/>
      <c r="KP96" s="401"/>
      <c r="KQ96" s="401"/>
      <c r="KR96" s="401"/>
      <c r="KS96" s="401"/>
      <c r="KT96" s="436"/>
      <c r="KU96" s="436"/>
      <c r="KV96" s="436"/>
      <c r="KW96" s="436"/>
      <c r="KX96" s="436"/>
      <c r="KY96" s="436"/>
    </row>
    <row r="97" spans="35:311">
      <c r="AI97" s="401"/>
      <c r="AJ97" s="401"/>
      <c r="AK97" s="401"/>
      <c r="AL97" s="401"/>
      <c r="AM97" s="401"/>
      <c r="AN97" s="401"/>
      <c r="AO97" s="401"/>
      <c r="AP97" s="401"/>
      <c r="AQ97" s="401"/>
      <c r="AR97" s="401"/>
      <c r="AS97" s="401"/>
      <c r="AT97" s="401"/>
      <c r="AU97" s="401"/>
      <c r="AV97" s="401"/>
      <c r="AW97" s="401"/>
      <c r="AX97" s="401"/>
      <c r="AY97" s="401"/>
      <c r="AZ97" s="401"/>
      <c r="BA97" s="401"/>
      <c r="BB97" s="401"/>
      <c r="BC97" s="401"/>
      <c r="BD97" s="401"/>
      <c r="BE97" s="401"/>
      <c r="BF97" s="401"/>
      <c r="BG97" s="401"/>
      <c r="BH97" s="401"/>
      <c r="BI97" s="401"/>
      <c r="BJ97" s="401"/>
      <c r="BK97" s="401"/>
      <c r="BL97" s="401"/>
      <c r="BM97" s="401"/>
      <c r="BN97" s="401"/>
      <c r="BO97" s="401"/>
      <c r="BP97" s="401"/>
      <c r="BQ97" s="401"/>
      <c r="BR97" s="401"/>
      <c r="BS97" s="401"/>
      <c r="BT97" s="401"/>
      <c r="BU97" s="401"/>
      <c r="BV97" s="401"/>
      <c r="BW97" s="401"/>
      <c r="BX97" s="401"/>
      <c r="BY97" s="401"/>
      <c r="BZ97" s="401"/>
      <c r="CA97" s="401"/>
      <c r="CB97" s="401"/>
      <c r="CC97" s="401"/>
      <c r="CD97" s="401"/>
      <c r="CE97" s="401"/>
      <c r="CF97" s="401"/>
      <c r="CG97" s="401"/>
      <c r="CH97" s="401"/>
      <c r="CI97" s="401"/>
      <c r="CJ97" s="401"/>
      <c r="CK97" s="401"/>
      <c r="CL97" s="401"/>
      <c r="CM97" s="401"/>
      <c r="CN97" s="401"/>
      <c r="CO97" s="401"/>
      <c r="CP97" s="401"/>
      <c r="CQ97" s="401"/>
      <c r="CR97" s="401"/>
      <c r="CS97" s="401"/>
      <c r="CT97" s="401"/>
      <c r="CU97" s="401"/>
      <c r="CV97" s="401"/>
      <c r="CW97" s="401"/>
      <c r="CX97" s="401"/>
      <c r="CY97" s="401"/>
      <c r="CZ97" s="401"/>
      <c r="DA97" s="401"/>
      <c r="DB97" s="401"/>
      <c r="DC97" s="401"/>
      <c r="DD97" s="401"/>
      <c r="DE97" s="401"/>
      <c r="DF97" s="401"/>
      <c r="DG97" s="401"/>
      <c r="DH97" s="401"/>
      <c r="DI97" s="401"/>
      <c r="DJ97" s="401"/>
      <c r="DK97" s="401"/>
      <c r="DL97" s="401"/>
      <c r="DM97" s="401"/>
      <c r="DN97" s="401"/>
      <c r="DO97" s="401"/>
      <c r="DP97" s="401"/>
      <c r="DQ97" s="401"/>
      <c r="DR97" s="401"/>
      <c r="DS97" s="401"/>
      <c r="DT97" s="401"/>
      <c r="DU97" s="401"/>
      <c r="DV97" s="401"/>
      <c r="DW97" s="401"/>
      <c r="DX97" s="401"/>
      <c r="DY97" s="401"/>
      <c r="DZ97" s="401"/>
      <c r="EA97" s="401"/>
      <c r="EB97" s="401"/>
      <c r="EC97" s="401"/>
      <c r="ED97" s="401"/>
      <c r="EE97" s="401"/>
      <c r="EF97" s="401"/>
      <c r="EG97" s="401"/>
      <c r="EH97" s="401"/>
      <c r="EI97" s="401"/>
      <c r="EJ97" s="401"/>
      <c r="EK97" s="401"/>
      <c r="EL97" s="401"/>
      <c r="EM97" s="401"/>
      <c r="EN97" s="401"/>
      <c r="EO97" s="401"/>
      <c r="EP97" s="401"/>
      <c r="EQ97" s="401"/>
      <c r="ER97" s="401"/>
      <c r="ES97" s="401"/>
      <c r="ET97" s="401"/>
      <c r="EU97" s="401"/>
      <c r="EV97" s="401"/>
      <c r="EW97" s="401"/>
      <c r="EX97" s="401"/>
      <c r="EY97" s="401"/>
      <c r="EZ97" s="401"/>
      <c r="FA97" s="401"/>
      <c r="FB97" s="401"/>
      <c r="FC97" s="401"/>
      <c r="FD97" s="401"/>
      <c r="FE97" s="401"/>
      <c r="FF97" s="401"/>
      <c r="FG97" s="401"/>
      <c r="FH97" s="401"/>
      <c r="FI97" s="401"/>
      <c r="FJ97" s="401"/>
      <c r="FK97" s="401"/>
      <c r="FL97" s="401"/>
      <c r="FM97" s="401"/>
      <c r="FN97" s="401"/>
      <c r="FO97" s="401"/>
      <c r="FP97" s="401"/>
      <c r="FQ97" s="401"/>
      <c r="FR97" s="401"/>
      <c r="FS97" s="401"/>
      <c r="FT97" s="401"/>
      <c r="FU97" s="401"/>
      <c r="FV97" s="401"/>
      <c r="FW97" s="401"/>
      <c r="FX97" s="401"/>
      <c r="FY97" s="401"/>
      <c r="FZ97" s="401"/>
      <c r="GA97" s="401"/>
      <c r="GB97" s="401"/>
      <c r="GC97" s="401"/>
      <c r="GD97" s="401"/>
      <c r="GE97" s="401"/>
      <c r="GF97" s="401"/>
      <c r="GG97" s="401"/>
      <c r="GH97" s="401"/>
      <c r="GI97" s="401"/>
      <c r="GJ97" s="401"/>
      <c r="GK97" s="401"/>
      <c r="GL97" s="401"/>
      <c r="GM97" s="401"/>
      <c r="GN97" s="401"/>
      <c r="GO97" s="401"/>
      <c r="GP97" s="401"/>
      <c r="GQ97" s="401"/>
      <c r="GR97" s="401"/>
      <c r="GS97" s="401"/>
      <c r="GT97" s="401"/>
      <c r="GU97" s="401"/>
      <c r="GV97" s="401"/>
      <c r="GW97" s="428"/>
      <c r="GX97" s="368" t="s">
        <v>508</v>
      </c>
      <c r="GY97" s="368"/>
      <c r="GZ97" s="369"/>
      <c r="HA97" s="369"/>
      <c r="HB97" s="369"/>
      <c r="HC97" s="369"/>
      <c r="HD97" s="369"/>
      <c r="HE97" s="369"/>
      <c r="HF97" s="369"/>
      <c r="HG97" s="369"/>
      <c r="HH97" s="369"/>
      <c r="HI97" s="369"/>
      <c r="HJ97" s="369"/>
      <c r="HK97" s="369"/>
      <c r="HL97" s="369"/>
      <c r="HM97" s="430"/>
      <c r="HN97" s="430"/>
      <c r="HO97" s="430"/>
      <c r="HP97" s="430"/>
      <c r="HQ97" s="430"/>
      <c r="HR97" s="430"/>
      <c r="HS97" s="430"/>
      <c r="HT97" s="430"/>
      <c r="HU97" s="430"/>
      <c r="HV97" s="430"/>
      <c r="HW97" s="430"/>
      <c r="HX97" s="430"/>
      <c r="HY97" s="430"/>
      <c r="HZ97" s="430"/>
      <c r="IA97" s="430"/>
      <c r="IB97" s="430"/>
      <c r="IC97" s="430"/>
      <c r="ID97" s="430"/>
      <c r="IE97" s="401"/>
      <c r="JM97" s="401"/>
      <c r="JN97" s="401"/>
      <c r="JO97" s="401"/>
      <c r="JP97" s="401"/>
      <c r="JQ97" s="401"/>
      <c r="JR97" s="401"/>
      <c r="JS97" s="401"/>
      <c r="JT97" s="401"/>
      <c r="JU97" s="401"/>
      <c r="JV97" s="401"/>
      <c r="JW97" s="401"/>
      <c r="JX97" s="401"/>
      <c r="JY97" s="401"/>
      <c r="JZ97" s="401"/>
      <c r="KA97" s="401"/>
      <c r="KB97" s="401"/>
      <c r="KC97" s="401"/>
      <c r="KD97" s="401"/>
      <c r="KE97" s="401"/>
      <c r="KF97" s="401"/>
      <c r="KG97" s="434"/>
      <c r="KH97" s="401"/>
      <c r="KI97" s="401"/>
      <c r="KJ97" s="401"/>
      <c r="KK97" s="401"/>
      <c r="KL97" s="401"/>
      <c r="KM97" s="401"/>
      <c r="KN97" s="401"/>
      <c r="KO97" s="401"/>
      <c r="KP97" s="401"/>
      <c r="KQ97" s="401"/>
      <c r="KR97" s="401"/>
      <c r="KS97" s="401"/>
      <c r="KT97" s="436"/>
      <c r="KU97" s="436"/>
      <c r="KV97" s="436"/>
      <c r="KW97" s="436"/>
      <c r="KX97" s="436"/>
      <c r="KY97" s="436"/>
    </row>
    <row r="98" spans="35:311">
      <c r="AI98" s="401"/>
      <c r="AJ98" s="401"/>
      <c r="AK98" s="401"/>
      <c r="AL98" s="401"/>
      <c r="AM98" s="401"/>
      <c r="AN98" s="401"/>
      <c r="AO98" s="401"/>
      <c r="AP98" s="401"/>
      <c r="AQ98" s="401"/>
      <c r="AR98" s="401"/>
      <c r="AS98" s="401"/>
      <c r="AT98" s="401"/>
      <c r="AU98" s="401"/>
      <c r="AV98" s="401"/>
      <c r="AW98" s="401"/>
      <c r="AX98" s="401"/>
      <c r="AY98" s="401"/>
      <c r="AZ98" s="401"/>
      <c r="BA98" s="401"/>
      <c r="BB98" s="401"/>
      <c r="BC98" s="401"/>
      <c r="BD98" s="401"/>
      <c r="BE98" s="401"/>
      <c r="BF98" s="401"/>
      <c r="BG98" s="401"/>
      <c r="BH98" s="401"/>
      <c r="BI98" s="401"/>
      <c r="BJ98" s="401"/>
      <c r="BK98" s="401"/>
      <c r="BL98" s="401"/>
      <c r="BM98" s="401"/>
      <c r="BN98" s="401"/>
      <c r="BO98" s="401"/>
      <c r="BP98" s="401"/>
      <c r="BQ98" s="401"/>
      <c r="BR98" s="401"/>
      <c r="BS98" s="401"/>
      <c r="BT98" s="401"/>
      <c r="BU98" s="401"/>
      <c r="BV98" s="401"/>
      <c r="BW98" s="401"/>
      <c r="BX98" s="401"/>
      <c r="BY98" s="401"/>
      <c r="BZ98" s="401"/>
      <c r="CA98" s="401"/>
      <c r="CB98" s="401"/>
      <c r="CC98" s="401"/>
      <c r="CD98" s="401"/>
      <c r="CE98" s="401"/>
      <c r="CF98" s="401"/>
      <c r="CG98" s="401"/>
      <c r="CH98" s="401"/>
      <c r="CI98" s="401"/>
      <c r="CJ98" s="401"/>
      <c r="CK98" s="401"/>
      <c r="CL98" s="401"/>
      <c r="CM98" s="401"/>
      <c r="CN98" s="401"/>
      <c r="CO98" s="401"/>
      <c r="CP98" s="401"/>
      <c r="CQ98" s="401"/>
      <c r="CR98" s="401"/>
      <c r="CS98" s="401"/>
      <c r="CT98" s="401"/>
      <c r="CU98" s="401"/>
      <c r="CV98" s="401"/>
      <c r="CW98" s="401"/>
      <c r="CX98" s="401"/>
      <c r="CY98" s="401"/>
      <c r="CZ98" s="401"/>
      <c r="DA98" s="401"/>
      <c r="DB98" s="401"/>
      <c r="DC98" s="401"/>
      <c r="DD98" s="401"/>
      <c r="DE98" s="401"/>
      <c r="DF98" s="401"/>
      <c r="DG98" s="401"/>
      <c r="DH98" s="401"/>
      <c r="DI98" s="401"/>
      <c r="DJ98" s="401"/>
      <c r="DK98" s="401"/>
      <c r="DL98" s="401"/>
      <c r="DM98" s="401"/>
      <c r="DN98" s="401"/>
      <c r="DO98" s="401"/>
      <c r="DP98" s="401"/>
      <c r="DQ98" s="401"/>
      <c r="DR98" s="401"/>
      <c r="DS98" s="401"/>
      <c r="DT98" s="401"/>
      <c r="DU98" s="401"/>
      <c r="DV98" s="401"/>
      <c r="DW98" s="401"/>
      <c r="DX98" s="401"/>
      <c r="DY98" s="401"/>
      <c r="DZ98" s="401"/>
      <c r="EA98" s="401"/>
      <c r="EB98" s="401"/>
      <c r="EC98" s="401"/>
      <c r="ED98" s="401"/>
      <c r="EE98" s="401"/>
      <c r="EF98" s="401"/>
      <c r="EG98" s="401"/>
      <c r="EH98" s="401"/>
      <c r="EI98" s="401"/>
      <c r="EJ98" s="401"/>
      <c r="EK98" s="401"/>
      <c r="EL98" s="401"/>
      <c r="EM98" s="401"/>
      <c r="EN98" s="401"/>
      <c r="EO98" s="401"/>
      <c r="EP98" s="401"/>
      <c r="EQ98" s="401"/>
      <c r="ER98" s="401"/>
      <c r="ES98" s="401"/>
      <c r="ET98" s="401"/>
      <c r="EU98" s="401"/>
      <c r="EV98" s="401"/>
      <c r="EW98" s="401"/>
      <c r="EX98" s="401"/>
      <c r="EY98" s="401"/>
      <c r="EZ98" s="401"/>
      <c r="FA98" s="401"/>
      <c r="FB98" s="401"/>
      <c r="FC98" s="401"/>
      <c r="FD98" s="401"/>
      <c r="FE98" s="401"/>
      <c r="FF98" s="401"/>
      <c r="FG98" s="401"/>
      <c r="FH98" s="401"/>
      <c r="FI98" s="401"/>
      <c r="FJ98" s="401"/>
      <c r="FK98" s="401"/>
      <c r="FL98" s="401"/>
      <c r="FM98" s="401"/>
      <c r="FN98" s="401"/>
      <c r="FO98" s="401"/>
      <c r="FP98" s="401"/>
      <c r="FQ98" s="401"/>
      <c r="FR98" s="401"/>
      <c r="FS98" s="401"/>
      <c r="FT98" s="401"/>
      <c r="FU98" s="401"/>
      <c r="FV98" s="401"/>
      <c r="FW98" s="401"/>
      <c r="FX98" s="401"/>
      <c r="FY98" s="401"/>
      <c r="FZ98" s="401"/>
      <c r="GA98" s="401"/>
      <c r="GB98" s="401"/>
      <c r="GC98" s="401"/>
      <c r="GD98" s="401"/>
      <c r="GE98" s="401"/>
      <c r="GF98" s="401"/>
      <c r="GG98" s="401"/>
      <c r="GH98" s="401"/>
      <c r="GI98" s="401"/>
      <c r="GJ98" s="401"/>
      <c r="GK98" s="401"/>
      <c r="GL98" s="401"/>
      <c r="GM98" s="401"/>
      <c r="GN98" s="401"/>
      <c r="GO98" s="401"/>
      <c r="GP98" s="401"/>
      <c r="GQ98" s="401"/>
      <c r="GR98" s="401"/>
      <c r="GS98" s="401"/>
      <c r="GT98" s="401"/>
      <c r="GU98" s="401"/>
      <c r="GV98" s="401"/>
      <c r="GW98" s="428"/>
      <c r="GX98" s="368" t="s">
        <v>629</v>
      </c>
      <c r="GY98" s="368"/>
      <c r="GZ98" s="369"/>
      <c r="HA98" s="369"/>
      <c r="HB98" s="369"/>
      <c r="HC98" s="369"/>
      <c r="HD98" s="369"/>
      <c r="HE98" s="369"/>
      <c r="HF98" s="369"/>
      <c r="HG98" s="369"/>
      <c r="HH98" s="369"/>
      <c r="HI98" s="369"/>
      <c r="HJ98" s="369"/>
      <c r="HK98" s="369"/>
      <c r="HL98" s="369"/>
      <c r="HM98" s="430"/>
      <c r="HN98" s="430"/>
      <c r="HO98" s="430"/>
      <c r="HP98" s="430"/>
      <c r="HQ98" s="430"/>
      <c r="HR98" s="430"/>
      <c r="HS98" s="430"/>
      <c r="HT98" s="430"/>
      <c r="HU98" s="430"/>
      <c r="HV98" s="430"/>
      <c r="HW98" s="430"/>
      <c r="HX98" s="430"/>
      <c r="HY98" s="430"/>
      <c r="HZ98" s="430"/>
      <c r="IA98" s="430"/>
      <c r="IB98" s="430"/>
      <c r="IC98" s="430"/>
      <c r="ID98" s="430"/>
      <c r="IE98" s="401"/>
      <c r="JM98" s="401"/>
      <c r="JN98" s="401"/>
      <c r="JO98" s="401"/>
      <c r="JP98" s="401"/>
      <c r="JQ98" s="401"/>
      <c r="JR98" s="401"/>
      <c r="JS98" s="401"/>
      <c r="JT98" s="401"/>
      <c r="JU98" s="401"/>
      <c r="JV98" s="401"/>
      <c r="JW98" s="401"/>
      <c r="JX98" s="401"/>
      <c r="JY98" s="401"/>
      <c r="JZ98" s="401"/>
      <c r="KA98" s="401"/>
      <c r="KB98" s="401"/>
      <c r="KC98" s="401"/>
      <c r="KD98" s="401"/>
      <c r="KE98" s="401"/>
      <c r="KF98" s="401"/>
      <c r="KG98" s="434"/>
      <c r="KH98" s="401"/>
      <c r="KI98" s="401"/>
      <c r="KJ98" s="401"/>
      <c r="KK98" s="401"/>
      <c r="KL98" s="401"/>
      <c r="KM98" s="401"/>
      <c r="KN98" s="401"/>
      <c r="KO98" s="401"/>
      <c r="KP98" s="401"/>
      <c r="KQ98" s="401"/>
      <c r="KR98" s="401"/>
      <c r="KS98" s="401"/>
      <c r="KT98" s="436"/>
      <c r="KU98" s="436"/>
      <c r="KV98" s="436"/>
      <c r="KW98" s="436"/>
      <c r="KX98" s="436"/>
      <c r="KY98" s="436"/>
    </row>
    <row r="99" spans="35:311">
      <c r="AI99" s="401"/>
      <c r="AJ99" s="401"/>
      <c r="AK99" s="401"/>
      <c r="AL99" s="401"/>
      <c r="AM99" s="401"/>
      <c r="AN99" s="401"/>
      <c r="AO99" s="401"/>
      <c r="AP99" s="401"/>
      <c r="AQ99" s="401"/>
      <c r="AR99" s="401"/>
      <c r="AS99" s="401"/>
      <c r="AT99" s="401"/>
      <c r="AU99" s="401"/>
      <c r="AV99" s="401"/>
      <c r="AW99" s="401"/>
      <c r="AX99" s="401"/>
      <c r="AY99" s="401"/>
      <c r="AZ99" s="401"/>
      <c r="BA99" s="401"/>
      <c r="BB99" s="401"/>
      <c r="BC99" s="401"/>
      <c r="BD99" s="401"/>
      <c r="BE99" s="401"/>
      <c r="BF99" s="401"/>
      <c r="BG99" s="401"/>
      <c r="BH99" s="401"/>
      <c r="BI99" s="401"/>
      <c r="BJ99" s="401"/>
      <c r="BK99" s="401"/>
      <c r="BL99" s="401"/>
      <c r="BM99" s="401"/>
      <c r="BN99" s="401"/>
      <c r="BO99" s="401"/>
      <c r="BP99" s="401"/>
      <c r="BQ99" s="401"/>
      <c r="BR99" s="401"/>
      <c r="BS99" s="401"/>
      <c r="BT99" s="401"/>
      <c r="BU99" s="401"/>
      <c r="BV99" s="401"/>
      <c r="BW99" s="401"/>
      <c r="BX99" s="401"/>
      <c r="BY99" s="401"/>
      <c r="BZ99" s="401"/>
      <c r="CA99" s="401"/>
      <c r="CB99" s="401"/>
      <c r="CC99" s="401"/>
      <c r="CD99" s="401"/>
      <c r="CE99" s="401"/>
      <c r="CF99" s="401"/>
      <c r="CG99" s="401"/>
      <c r="CH99" s="401"/>
      <c r="CI99" s="401"/>
      <c r="CJ99" s="401"/>
      <c r="CK99" s="401"/>
      <c r="CL99" s="401"/>
      <c r="CM99" s="401"/>
      <c r="CN99" s="401"/>
      <c r="CO99" s="401"/>
      <c r="CP99" s="401"/>
      <c r="CQ99" s="401"/>
      <c r="CR99" s="401"/>
      <c r="CS99" s="401"/>
      <c r="CT99" s="401"/>
      <c r="CU99" s="401"/>
      <c r="CV99" s="401"/>
      <c r="CW99" s="401"/>
      <c r="CX99" s="401"/>
      <c r="CY99" s="401"/>
      <c r="CZ99" s="401"/>
      <c r="DA99" s="401"/>
      <c r="DB99" s="401"/>
      <c r="DC99" s="401"/>
      <c r="DD99" s="401"/>
      <c r="DE99" s="401"/>
      <c r="DF99" s="401"/>
      <c r="DG99" s="401"/>
      <c r="DH99" s="401"/>
      <c r="DI99" s="401"/>
      <c r="DJ99" s="401"/>
      <c r="DK99" s="401"/>
      <c r="DL99" s="401"/>
      <c r="DM99" s="401"/>
      <c r="DN99" s="401"/>
      <c r="DO99" s="401"/>
      <c r="DP99" s="401"/>
      <c r="DQ99" s="401"/>
      <c r="DR99" s="401"/>
      <c r="DS99" s="401"/>
      <c r="DT99" s="401"/>
      <c r="DU99" s="401"/>
      <c r="DV99" s="401"/>
      <c r="DW99" s="401"/>
      <c r="DX99" s="401"/>
      <c r="DY99" s="401"/>
      <c r="DZ99" s="401"/>
      <c r="EA99" s="401"/>
      <c r="EB99" s="401"/>
      <c r="EC99" s="401"/>
      <c r="ED99" s="401"/>
      <c r="EE99" s="401"/>
      <c r="EF99" s="401"/>
      <c r="EG99" s="401"/>
      <c r="EH99" s="401"/>
      <c r="EI99" s="401"/>
      <c r="EJ99" s="401"/>
      <c r="EK99" s="401"/>
      <c r="EL99" s="401"/>
      <c r="EM99" s="401"/>
      <c r="EN99" s="401"/>
      <c r="EO99" s="401"/>
      <c r="EP99" s="401"/>
      <c r="EQ99" s="401"/>
      <c r="ER99" s="401"/>
      <c r="ES99" s="401"/>
      <c r="ET99" s="401"/>
      <c r="EU99" s="401"/>
      <c r="EV99" s="401"/>
      <c r="EW99" s="401"/>
      <c r="EX99" s="401"/>
      <c r="EY99" s="401"/>
      <c r="EZ99" s="401"/>
      <c r="FA99" s="401"/>
      <c r="FB99" s="401"/>
      <c r="FC99" s="401"/>
      <c r="FD99" s="401"/>
      <c r="FE99" s="401"/>
      <c r="FF99" s="401"/>
      <c r="FG99" s="401"/>
      <c r="FH99" s="401"/>
      <c r="FI99" s="401"/>
      <c r="FJ99" s="401"/>
      <c r="FK99" s="401"/>
      <c r="FL99" s="401"/>
      <c r="FM99" s="401"/>
      <c r="FN99" s="401"/>
      <c r="FO99" s="401"/>
      <c r="FP99" s="401"/>
      <c r="FQ99" s="401"/>
      <c r="FR99" s="401"/>
      <c r="FS99" s="401"/>
      <c r="FT99" s="401"/>
      <c r="FU99" s="401"/>
      <c r="FV99" s="401"/>
      <c r="FW99" s="401"/>
      <c r="FX99" s="401"/>
      <c r="FY99" s="401"/>
      <c r="FZ99" s="401"/>
      <c r="GA99" s="401"/>
      <c r="GB99" s="401"/>
      <c r="GC99" s="401"/>
      <c r="GD99" s="401"/>
      <c r="GE99" s="401"/>
      <c r="GF99" s="401"/>
      <c r="GG99" s="401"/>
      <c r="GH99" s="401"/>
      <c r="GI99" s="401"/>
      <c r="GJ99" s="401"/>
      <c r="GK99" s="401"/>
      <c r="GL99" s="401"/>
      <c r="GM99" s="401"/>
      <c r="GN99" s="401"/>
      <c r="GO99" s="401"/>
      <c r="GP99" s="401"/>
      <c r="GQ99" s="401"/>
      <c r="GR99" s="401"/>
      <c r="GS99" s="401"/>
      <c r="GT99" s="401"/>
      <c r="GU99" s="401"/>
      <c r="GV99" s="401"/>
      <c r="GW99" s="428"/>
      <c r="GX99" s="368" t="s">
        <v>548</v>
      </c>
      <c r="GY99" s="368"/>
      <c r="GZ99" s="369"/>
      <c r="HA99" s="369"/>
      <c r="HB99" s="369"/>
      <c r="HC99" s="369"/>
      <c r="HD99" s="369"/>
      <c r="HE99" s="369"/>
      <c r="HF99" s="369"/>
      <c r="HG99" s="369"/>
      <c r="HH99" s="369"/>
      <c r="HI99" s="369"/>
      <c r="HJ99" s="369"/>
      <c r="HK99" s="369"/>
      <c r="HL99" s="369"/>
      <c r="HM99" s="430"/>
      <c r="HN99" s="430"/>
      <c r="HO99" s="430"/>
      <c r="HP99" s="430"/>
      <c r="HQ99" s="430"/>
      <c r="HR99" s="430"/>
      <c r="HS99" s="430"/>
      <c r="HT99" s="430"/>
      <c r="HU99" s="430"/>
      <c r="HV99" s="430"/>
      <c r="HW99" s="430"/>
      <c r="HX99" s="430"/>
      <c r="HY99" s="430"/>
      <c r="HZ99" s="430"/>
      <c r="IA99" s="430"/>
      <c r="IB99" s="430"/>
      <c r="IC99" s="430"/>
      <c r="ID99" s="430"/>
      <c r="IE99" s="401"/>
      <c r="JM99" s="401"/>
      <c r="JN99" s="401"/>
      <c r="JO99" s="401"/>
      <c r="JP99" s="401"/>
      <c r="JQ99" s="401"/>
      <c r="JR99" s="401"/>
      <c r="JS99" s="401"/>
      <c r="JT99" s="401"/>
      <c r="JU99" s="401"/>
      <c r="JV99" s="401"/>
      <c r="JW99" s="401"/>
      <c r="JX99" s="401"/>
      <c r="JY99" s="401"/>
      <c r="JZ99" s="401"/>
      <c r="KA99" s="401"/>
      <c r="KB99" s="401"/>
      <c r="KC99" s="401"/>
      <c r="KD99" s="401"/>
      <c r="KE99" s="401"/>
      <c r="KF99" s="401"/>
      <c r="KG99" s="434"/>
      <c r="KH99" s="401"/>
      <c r="KI99" s="401"/>
      <c r="KJ99" s="401"/>
      <c r="KK99" s="401"/>
      <c r="KL99" s="401"/>
      <c r="KM99" s="401"/>
      <c r="KN99" s="401"/>
      <c r="KO99" s="401"/>
      <c r="KP99" s="401"/>
      <c r="KQ99" s="401"/>
      <c r="KR99" s="401"/>
      <c r="KS99" s="401"/>
      <c r="KT99" s="436"/>
      <c r="KU99" s="436"/>
      <c r="KV99" s="436"/>
      <c r="KW99" s="436"/>
      <c r="KX99" s="436"/>
      <c r="KY99" s="436"/>
    </row>
    <row r="100" spans="205:238">
      <c r="GW100" s="429"/>
      <c r="GX100" s="368" t="s">
        <v>630</v>
      </c>
      <c r="GY100" s="368"/>
      <c r="GZ100" s="369"/>
      <c r="HA100" s="369"/>
      <c r="HB100" s="369"/>
      <c r="HC100" s="369"/>
      <c r="HD100" s="369"/>
      <c r="HE100" s="369"/>
      <c r="HF100" s="369"/>
      <c r="HG100" s="369"/>
      <c r="HH100" s="369"/>
      <c r="HI100" s="376"/>
      <c r="HJ100" s="376"/>
      <c r="HK100" s="369"/>
      <c r="HL100" s="369"/>
      <c r="HM100" s="430"/>
      <c r="HN100" s="430"/>
      <c r="HO100" s="430"/>
      <c r="HP100" s="430"/>
      <c r="HQ100" s="430"/>
      <c r="HR100" s="430"/>
      <c r="HS100" s="430"/>
      <c r="HT100" s="430"/>
      <c r="HU100" s="430"/>
      <c r="HV100" s="430"/>
      <c r="HW100" s="430"/>
      <c r="HX100" s="430"/>
      <c r="HY100" s="430"/>
      <c r="HZ100" s="430"/>
      <c r="IA100" s="430"/>
      <c r="IB100" s="430"/>
      <c r="IC100" s="430"/>
      <c r="ID100" s="430"/>
    </row>
  </sheetData>
  <mergeCells count="732"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K1:EL1"/>
    <mergeCell ref="EM1:EN1"/>
    <mergeCell ref="EO1:EP1"/>
    <mergeCell ref="EQ1:ER1"/>
    <mergeCell ref="ES1:ET1"/>
    <mergeCell ref="EU1:EV1"/>
    <mergeCell ref="EW1:EX1"/>
    <mergeCell ref="EY1:EZ1"/>
    <mergeCell ref="FA1:FB1"/>
    <mergeCell ref="FC1:FD1"/>
    <mergeCell ref="FE1:FF1"/>
    <mergeCell ref="FG1:FH1"/>
    <mergeCell ref="FI1:FJ1"/>
    <mergeCell ref="FK1:FL1"/>
    <mergeCell ref="FM1:FN1"/>
    <mergeCell ref="FS1:FT1"/>
    <mergeCell ref="FU1:FV1"/>
    <mergeCell ref="FW1:FX1"/>
    <mergeCell ref="FY1:FZ1"/>
    <mergeCell ref="GA1:GB1"/>
    <mergeCell ref="GC1:GD1"/>
    <mergeCell ref="GE1:GF1"/>
    <mergeCell ref="GG1:GH1"/>
    <mergeCell ref="GI1:GJ1"/>
    <mergeCell ref="GK1:GL1"/>
    <mergeCell ref="GM1:GN1"/>
    <mergeCell ref="GO1:GP1"/>
    <mergeCell ref="GQ1:GR1"/>
    <mergeCell ref="GS1:GT1"/>
    <mergeCell ref="GU1:GV1"/>
    <mergeCell ref="HA1:HB1"/>
    <mergeCell ref="HC1:HD1"/>
    <mergeCell ref="HE1:HF1"/>
    <mergeCell ref="HG1:HH1"/>
    <mergeCell ref="HI1:HJ1"/>
    <mergeCell ref="HK1:HL1"/>
    <mergeCell ref="HM1:HN1"/>
    <mergeCell ref="HO1:HP1"/>
    <mergeCell ref="HQ1:HR1"/>
    <mergeCell ref="HS1:HT1"/>
    <mergeCell ref="HU1:HV1"/>
    <mergeCell ref="HW1:HX1"/>
    <mergeCell ref="HY1:HZ1"/>
    <mergeCell ref="IA1:IB1"/>
    <mergeCell ref="IC1:ID1"/>
    <mergeCell ref="II1:IJ1"/>
    <mergeCell ref="IK1:IL1"/>
    <mergeCell ref="IM1:IN1"/>
    <mergeCell ref="IO1:IP1"/>
    <mergeCell ref="IQ1:IR1"/>
    <mergeCell ref="IS1:IT1"/>
    <mergeCell ref="IU1:IV1"/>
    <mergeCell ref="IW1:IX1"/>
    <mergeCell ref="IY1:IZ1"/>
    <mergeCell ref="JA1:JB1"/>
    <mergeCell ref="JC1:JD1"/>
    <mergeCell ref="JE1:JF1"/>
    <mergeCell ref="JG1:JH1"/>
    <mergeCell ref="JI1:JJ1"/>
    <mergeCell ref="JK1:JL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IA2:IB2"/>
    <mergeCell ref="IC2:ID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  <mergeCell ref="CS3:CT3"/>
    <mergeCell ref="CU3:CV3"/>
    <mergeCell ref="CW3:CX3"/>
    <mergeCell ref="DC3:DD3"/>
    <mergeCell ref="DE3:DF3"/>
    <mergeCell ref="DG3:DH3"/>
    <mergeCell ref="DI3:DJ3"/>
    <mergeCell ref="DK3:DL3"/>
    <mergeCell ref="DM3:DN3"/>
    <mergeCell ref="DO3:DP3"/>
    <mergeCell ref="DQ3:DR3"/>
    <mergeCell ref="DS3:DT3"/>
    <mergeCell ref="DU3:DV3"/>
    <mergeCell ref="DW3:DX3"/>
    <mergeCell ref="DY3:DZ3"/>
    <mergeCell ref="EA3:EB3"/>
    <mergeCell ref="EC3:ED3"/>
    <mergeCell ref="EE3:EF3"/>
    <mergeCell ref="EK3:EL3"/>
    <mergeCell ref="EM3:EN3"/>
    <mergeCell ref="EO3:EP3"/>
    <mergeCell ref="EQ3:ER3"/>
    <mergeCell ref="ES3:ET3"/>
    <mergeCell ref="EU3:EV3"/>
    <mergeCell ref="EW3:EX3"/>
    <mergeCell ref="EY3:EZ3"/>
    <mergeCell ref="FA3:FB3"/>
    <mergeCell ref="FC3:FD3"/>
    <mergeCell ref="FE3:FF3"/>
    <mergeCell ref="FG3:FH3"/>
    <mergeCell ref="FI3:FJ3"/>
    <mergeCell ref="FK3:FL3"/>
    <mergeCell ref="FM3:FN3"/>
    <mergeCell ref="FS3:FT3"/>
    <mergeCell ref="FU3:FV3"/>
    <mergeCell ref="FW3:FX3"/>
    <mergeCell ref="FY3:FZ3"/>
    <mergeCell ref="GA3:GB3"/>
    <mergeCell ref="GC3:GD3"/>
    <mergeCell ref="GE3:GF3"/>
    <mergeCell ref="GG3:GH3"/>
    <mergeCell ref="GI3:GJ3"/>
    <mergeCell ref="GK3:GL3"/>
    <mergeCell ref="GM3:GN3"/>
    <mergeCell ref="GO3:GP3"/>
    <mergeCell ref="GQ3:GR3"/>
    <mergeCell ref="GS3:GT3"/>
    <mergeCell ref="GU3:GV3"/>
    <mergeCell ref="HA3:HB3"/>
    <mergeCell ref="HC3:HD3"/>
    <mergeCell ref="HE3:HF3"/>
    <mergeCell ref="HG3:HH3"/>
    <mergeCell ref="HI3:HJ3"/>
    <mergeCell ref="HK3:HL3"/>
    <mergeCell ref="HM3:HN3"/>
    <mergeCell ref="HO3:HP3"/>
    <mergeCell ref="HQ3:HR3"/>
    <mergeCell ref="HS3:HT3"/>
    <mergeCell ref="HU3:HV3"/>
    <mergeCell ref="HW3:HX3"/>
    <mergeCell ref="HY3:HZ3"/>
    <mergeCell ref="IA3:IB3"/>
    <mergeCell ref="IC3:ID3"/>
    <mergeCell ref="II3:IJ3"/>
    <mergeCell ref="IK3:IL3"/>
    <mergeCell ref="IM3:IN3"/>
    <mergeCell ref="IO3:IP3"/>
    <mergeCell ref="IQ3:IR3"/>
    <mergeCell ref="IS3:IT3"/>
    <mergeCell ref="IU3:IV3"/>
    <mergeCell ref="IW3:IX3"/>
    <mergeCell ref="IY3:IZ3"/>
    <mergeCell ref="JA3:JB3"/>
    <mergeCell ref="JC3:JD3"/>
    <mergeCell ref="JE3:JF3"/>
    <mergeCell ref="JG3:JH3"/>
    <mergeCell ref="JI3:JJ3"/>
    <mergeCell ref="JK3:JL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U4:BV4"/>
    <mergeCell ref="BW4:BX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CU4:CV4"/>
    <mergeCell ref="CW4:CX4"/>
    <mergeCell ref="DC4:DD4"/>
    <mergeCell ref="DE4:DF4"/>
    <mergeCell ref="DG4:DH4"/>
    <mergeCell ref="DI4:DJ4"/>
    <mergeCell ref="DK4:DL4"/>
    <mergeCell ref="DM4:DN4"/>
    <mergeCell ref="DO4:DP4"/>
    <mergeCell ref="DQ4:DR4"/>
    <mergeCell ref="DS4:DT4"/>
    <mergeCell ref="DU4:DV4"/>
    <mergeCell ref="DW4:DX4"/>
    <mergeCell ref="DY4:DZ4"/>
    <mergeCell ref="EA4:EB4"/>
    <mergeCell ref="EC4:ED4"/>
    <mergeCell ref="EE4:EF4"/>
    <mergeCell ref="EK4:EL4"/>
    <mergeCell ref="EM4:EN4"/>
    <mergeCell ref="EO4:EP4"/>
    <mergeCell ref="EQ4:ER4"/>
    <mergeCell ref="ES4:ET4"/>
    <mergeCell ref="EU4:EV4"/>
    <mergeCell ref="EW4:EX4"/>
    <mergeCell ref="EY4:EZ4"/>
    <mergeCell ref="FA4:FB4"/>
    <mergeCell ref="FC4:FD4"/>
    <mergeCell ref="FE4:FF4"/>
    <mergeCell ref="FG4:FH4"/>
    <mergeCell ref="FI4:FJ4"/>
    <mergeCell ref="FK4:FL4"/>
    <mergeCell ref="FM4:FN4"/>
    <mergeCell ref="FS4:FT4"/>
    <mergeCell ref="FU4:FV4"/>
    <mergeCell ref="FW4:FX4"/>
    <mergeCell ref="FY4:FZ4"/>
    <mergeCell ref="GA4:GB4"/>
    <mergeCell ref="GC4:GD4"/>
    <mergeCell ref="GE4:GF4"/>
    <mergeCell ref="GG4:GH4"/>
    <mergeCell ref="GI4:GJ4"/>
    <mergeCell ref="GK4:GL4"/>
    <mergeCell ref="GM4:GN4"/>
    <mergeCell ref="GO4:GP4"/>
    <mergeCell ref="GQ4:GR4"/>
    <mergeCell ref="GS4:GT4"/>
    <mergeCell ref="GU4:GV4"/>
    <mergeCell ref="HA4:HB4"/>
    <mergeCell ref="HC4:HD4"/>
    <mergeCell ref="HE4:HF4"/>
    <mergeCell ref="HG4:HH4"/>
    <mergeCell ref="HI4:HJ4"/>
    <mergeCell ref="HK4:HL4"/>
    <mergeCell ref="HM4:HN4"/>
    <mergeCell ref="HO4:HP4"/>
    <mergeCell ref="HQ4:HR4"/>
    <mergeCell ref="HS4:HT4"/>
    <mergeCell ref="HU4:HV4"/>
    <mergeCell ref="HW4:HX4"/>
    <mergeCell ref="HY4:HZ4"/>
    <mergeCell ref="IA4:IB4"/>
    <mergeCell ref="IC4:ID4"/>
    <mergeCell ref="II4:IJ4"/>
    <mergeCell ref="IK4:IL4"/>
    <mergeCell ref="IM4:IN4"/>
    <mergeCell ref="IO4:IP4"/>
    <mergeCell ref="IQ4:IR4"/>
    <mergeCell ref="IS4:IT4"/>
    <mergeCell ref="IU4:IV4"/>
    <mergeCell ref="IW4:IX4"/>
    <mergeCell ref="IY4:IZ4"/>
    <mergeCell ref="JA4:JB4"/>
    <mergeCell ref="JC4:JD4"/>
    <mergeCell ref="JE4:JF4"/>
    <mergeCell ref="JG4:JH4"/>
    <mergeCell ref="JI4:JJ4"/>
    <mergeCell ref="JK4:JL4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U5:BV5"/>
    <mergeCell ref="BW5:BX5"/>
    <mergeCell ref="BY5:BZ5"/>
    <mergeCell ref="CA5:CB5"/>
    <mergeCell ref="CC5:CD5"/>
    <mergeCell ref="CE5:CF5"/>
    <mergeCell ref="CG5:CH5"/>
    <mergeCell ref="CI5:CJ5"/>
    <mergeCell ref="CK5:CL5"/>
    <mergeCell ref="CM5:CN5"/>
    <mergeCell ref="CO5:CP5"/>
    <mergeCell ref="CQ5:CR5"/>
    <mergeCell ref="CS5:CT5"/>
    <mergeCell ref="CU5:CV5"/>
    <mergeCell ref="CW5:CX5"/>
    <mergeCell ref="DC5:DD5"/>
    <mergeCell ref="DE5:DF5"/>
    <mergeCell ref="DG5:DH5"/>
    <mergeCell ref="DI5:DJ5"/>
    <mergeCell ref="DK5:DL5"/>
    <mergeCell ref="DM5:DN5"/>
    <mergeCell ref="DO5:DP5"/>
    <mergeCell ref="DQ5:DR5"/>
    <mergeCell ref="DS5:DT5"/>
    <mergeCell ref="DU5:DV5"/>
    <mergeCell ref="DW5:DX5"/>
    <mergeCell ref="DY5:DZ5"/>
    <mergeCell ref="EA5:EB5"/>
    <mergeCell ref="EC5:ED5"/>
    <mergeCell ref="EE5:EF5"/>
    <mergeCell ref="EK5:EL5"/>
    <mergeCell ref="EM5:EN5"/>
    <mergeCell ref="EO5:EP5"/>
    <mergeCell ref="EQ5:ER5"/>
    <mergeCell ref="ES5:ET5"/>
    <mergeCell ref="EU5:EV5"/>
    <mergeCell ref="EW5:EX5"/>
    <mergeCell ref="EY5:EZ5"/>
    <mergeCell ref="FA5:FB5"/>
    <mergeCell ref="FC5:FD5"/>
    <mergeCell ref="FE5:FF5"/>
    <mergeCell ref="FG5:FH5"/>
    <mergeCell ref="FI5:FJ5"/>
    <mergeCell ref="FK5:FL5"/>
    <mergeCell ref="FM5:FN5"/>
    <mergeCell ref="FS5:FT5"/>
    <mergeCell ref="FU5:FV5"/>
    <mergeCell ref="FW5:FX5"/>
    <mergeCell ref="FY5:FZ5"/>
    <mergeCell ref="GA5:GB5"/>
    <mergeCell ref="GC5:GD5"/>
    <mergeCell ref="GE5:GF5"/>
    <mergeCell ref="GG5:GH5"/>
    <mergeCell ref="GI5:GJ5"/>
    <mergeCell ref="GK5:GL5"/>
    <mergeCell ref="GM5:GN5"/>
    <mergeCell ref="GO5:GP5"/>
    <mergeCell ref="GQ5:GR5"/>
    <mergeCell ref="GS5:GT5"/>
    <mergeCell ref="GU5:GV5"/>
    <mergeCell ref="HA5:HB5"/>
    <mergeCell ref="HC5:HD5"/>
    <mergeCell ref="HE5:HF5"/>
    <mergeCell ref="HG5:HH5"/>
    <mergeCell ref="HI5:HJ5"/>
    <mergeCell ref="HK5:HL5"/>
    <mergeCell ref="HM5:HN5"/>
    <mergeCell ref="HO5:HP5"/>
    <mergeCell ref="HQ5:HR5"/>
    <mergeCell ref="HS5:HT5"/>
    <mergeCell ref="HU5:HV5"/>
    <mergeCell ref="HW5:HX5"/>
    <mergeCell ref="HY5:HZ5"/>
    <mergeCell ref="IA5:IB5"/>
    <mergeCell ref="IC5:ID5"/>
    <mergeCell ref="BU6:BV6"/>
    <mergeCell ref="BW6:BX6"/>
    <mergeCell ref="BY6:BZ6"/>
    <mergeCell ref="CA6:CB6"/>
    <mergeCell ref="CC6:CD6"/>
    <mergeCell ref="CE6:CF6"/>
    <mergeCell ref="CG6:CH6"/>
    <mergeCell ref="CI6:CJ6"/>
    <mergeCell ref="CK6:CL6"/>
    <mergeCell ref="CM6:CN6"/>
    <mergeCell ref="CO6:CP6"/>
    <mergeCell ref="CQ6:CR6"/>
    <mergeCell ref="CS6:CT6"/>
    <mergeCell ref="CU6:CV6"/>
    <mergeCell ref="CW6:CX6"/>
    <mergeCell ref="B7:AH7"/>
    <mergeCell ref="AJ7:BP7"/>
    <mergeCell ref="BR7:CX7"/>
    <mergeCell ref="CZ7:EF7"/>
    <mergeCell ref="EH7:FN7"/>
    <mergeCell ref="FP7:GV7"/>
    <mergeCell ref="GX7:ID7"/>
    <mergeCell ref="IF7:JL7"/>
    <mergeCell ref="JN7:KF7"/>
    <mergeCell ref="KH7:KY7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U8:BV8"/>
    <mergeCell ref="BW8:BX8"/>
    <mergeCell ref="BY8:BZ8"/>
    <mergeCell ref="CA8:CB8"/>
    <mergeCell ref="CC8:CD8"/>
    <mergeCell ref="CE8:CF8"/>
    <mergeCell ref="CG8:CH8"/>
    <mergeCell ref="CI8:CJ8"/>
    <mergeCell ref="CK8:CL8"/>
    <mergeCell ref="CM8:CN8"/>
    <mergeCell ref="CO8:CP8"/>
    <mergeCell ref="CQ8:CR8"/>
    <mergeCell ref="CS8:CT8"/>
    <mergeCell ref="CU8:CV8"/>
    <mergeCell ref="CW8:CX8"/>
    <mergeCell ref="DC8:DD8"/>
    <mergeCell ref="DE8:DF8"/>
    <mergeCell ref="DG8:DH8"/>
    <mergeCell ref="DI8:DJ8"/>
    <mergeCell ref="DK8:DL8"/>
    <mergeCell ref="DM8:DN8"/>
    <mergeCell ref="DO8:DP8"/>
    <mergeCell ref="DQ8:DR8"/>
    <mergeCell ref="DS8:DT8"/>
    <mergeCell ref="DU8:DV8"/>
    <mergeCell ref="DW8:DX8"/>
    <mergeCell ref="DY8:DZ8"/>
    <mergeCell ref="EA8:EB8"/>
    <mergeCell ref="EC8:ED8"/>
    <mergeCell ref="EE8:EF8"/>
    <mergeCell ref="EK8:EL8"/>
    <mergeCell ref="EM8:EN8"/>
    <mergeCell ref="EO8:EP8"/>
    <mergeCell ref="EQ8:ER8"/>
    <mergeCell ref="ES8:ET8"/>
    <mergeCell ref="EU8:EV8"/>
    <mergeCell ref="EW8:EX8"/>
    <mergeCell ref="EY8:EZ8"/>
    <mergeCell ref="FA8:FB8"/>
    <mergeCell ref="FC8:FD8"/>
    <mergeCell ref="FE8:FF8"/>
    <mergeCell ref="FG8:FH8"/>
    <mergeCell ref="FI8:FJ8"/>
    <mergeCell ref="FK8:FL8"/>
    <mergeCell ref="FM8:FN8"/>
    <mergeCell ref="FS8:FT8"/>
    <mergeCell ref="FU8:FV8"/>
    <mergeCell ref="FW8:FX8"/>
    <mergeCell ref="FY8:FZ8"/>
    <mergeCell ref="GA8:GB8"/>
    <mergeCell ref="GC8:GD8"/>
    <mergeCell ref="GE8:GF8"/>
    <mergeCell ref="GG8:GH8"/>
    <mergeCell ref="GI8:GJ8"/>
    <mergeCell ref="GK8:GL8"/>
    <mergeCell ref="GM8:GN8"/>
    <mergeCell ref="GO8:GP8"/>
    <mergeCell ref="GQ8:GR8"/>
    <mergeCell ref="GS8:GT8"/>
    <mergeCell ref="GU8:GV8"/>
    <mergeCell ref="HA8:HB8"/>
    <mergeCell ref="HC8:HD8"/>
    <mergeCell ref="HE8:HF8"/>
    <mergeCell ref="HG8:HH8"/>
    <mergeCell ref="HI8:HJ8"/>
    <mergeCell ref="HK8:HL8"/>
    <mergeCell ref="HM8:HN8"/>
    <mergeCell ref="HO8:HP8"/>
    <mergeCell ref="HQ8:HR8"/>
    <mergeCell ref="HS8:HT8"/>
    <mergeCell ref="HU8:HV8"/>
    <mergeCell ref="HW8:HX8"/>
    <mergeCell ref="HY8:HZ8"/>
    <mergeCell ref="IA8:IB8"/>
    <mergeCell ref="IC8:ID8"/>
    <mergeCell ref="II8:IJ8"/>
    <mergeCell ref="IK8:IL8"/>
    <mergeCell ref="IM8:IN8"/>
    <mergeCell ref="IO8:IP8"/>
    <mergeCell ref="IQ8:IR8"/>
    <mergeCell ref="IS8:IT8"/>
    <mergeCell ref="IU8:IV8"/>
    <mergeCell ref="IW8:IX8"/>
    <mergeCell ref="IY8:IZ8"/>
    <mergeCell ref="JA8:JB8"/>
    <mergeCell ref="JC8:JD8"/>
    <mergeCell ref="JE8:JF8"/>
    <mergeCell ref="JG8:JH8"/>
    <mergeCell ref="JI8:JJ8"/>
    <mergeCell ref="JK8:JL8"/>
    <mergeCell ref="I79:I80"/>
    <mergeCell ref="J79:T80"/>
  </mergeCells>
  <printOptions horizontalCentered="1" verticalCentered="1"/>
  <pageMargins left="0.25" right="0.25" top="0.75" bottom="0.75" header="0.3" footer="0.3"/>
  <pageSetup paperSize="9" scale="59" fitToWidth="0" orientation="portrait"/>
  <headerFooter/>
  <colBreaks count="9" manualBreakCount="9">
    <brk id="34" max="70" man="1"/>
    <brk id="68" max="70" man="1"/>
    <brk id="102" max="1048575" man="1"/>
    <brk id="136" max="1048575" man="1"/>
    <brk id="170" max="1048575" man="1"/>
    <brk id="204" max="1048575" man="1"/>
    <brk id="238" max="1048575" man="1"/>
    <brk id="272" max="1048575" man="1"/>
    <brk id="292" max="70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Profit computation-Jan-25</vt:lpstr>
      <vt:lpstr>Traditional P &amp; L - taxdis</vt:lpstr>
      <vt:lpstr>Input Sheet</vt:lpstr>
      <vt:lpstr>Product &amp; stock detail -Jan-25</vt:lpstr>
      <vt:lpstr>Monthly Average price-Jan-25</vt:lpstr>
      <vt:lpstr>Costing Breakup</vt:lpstr>
      <vt:lpstr>Clos Stock op cf val -Jan 25</vt:lpstr>
      <vt:lpstr>Quarry Stock-Val</vt:lpstr>
      <vt:lpstr>Cost sheet - Detailed</vt:lpstr>
      <vt:lpstr>Sales monthly</vt:lpstr>
      <vt:lpstr>Product &amp; stock detail -Jan (3)</vt:lpstr>
      <vt:lpstr>Product &amp; stock detail -Jan (2)</vt:lpstr>
      <vt:lpstr>TB-Jan-25</vt:lpstr>
      <vt:lpstr>Working-Jan-25</vt:lpstr>
      <vt:lpstr>Expenses Category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Faizal RMK Sands Pvt. Ltd.</dc:creator>
  <cp:lastModifiedBy>Keydraft</cp:lastModifiedBy>
  <dcterms:created xsi:type="dcterms:W3CDTF">2025-02-08T04:08:00Z</dcterms:created>
  <dcterms:modified xsi:type="dcterms:W3CDTF">2025-04-04T12:58:29Z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BB5338D0AC4E4BC2962DFC2657FD76E6_12</vt:lpwstr>
  </property>
  <property fmtid="{D5CDD505-2E9C-101B-9397-08002B2CF9AE}" pid="3" name="KSOProductBuildVer">
    <vt:lpwstr>2057-12.2.0.20782</vt:lpwstr>
  </property>
</Properties>
</file>