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Marketing and CRM\"/>
    </mc:Choice>
  </mc:AlternateContent>
  <bookViews>
    <workbookView xWindow="0" yWindow="450" windowWidth="20490" windowHeight="7065" activeTab="7"/>
  </bookViews>
  <sheets>
    <sheet name="Exhibit 1" sheetId="1" r:id="rId1"/>
    <sheet name="Exhibit 2" sheetId="2" r:id="rId2"/>
    <sheet name="Exhibit 3" sheetId="3" r:id="rId3"/>
    <sheet name="Exhibit 4" sheetId="4" r:id="rId4"/>
    <sheet name="Exhibit 5" sheetId="5" r:id="rId5"/>
    <sheet name="Revenue" sheetId="6" r:id="rId6"/>
    <sheet name="Cost" sheetId="7" r:id="rId7"/>
    <sheet name="Break eve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8" l="1"/>
  <c r="D14" i="8"/>
  <c r="M14" i="7"/>
  <c r="L14" i="7"/>
  <c r="J20" i="8" l="1"/>
  <c r="I18" i="8"/>
  <c r="H21" i="8"/>
  <c r="H20" i="8"/>
  <c r="H17" i="8"/>
  <c r="H16" i="8"/>
  <c r="O16" i="8"/>
  <c r="N16" i="8"/>
  <c r="O13" i="8"/>
  <c r="O12" i="8"/>
  <c r="O14" i="8" s="1"/>
  <c r="O15" i="8" s="1"/>
  <c r="N12" i="8"/>
  <c r="N14" i="8" s="1"/>
  <c r="N15" i="8" s="1"/>
  <c r="O6" i="8"/>
  <c r="C14" i="8"/>
  <c r="D13" i="8"/>
  <c r="D16" i="8"/>
  <c r="C16" i="8"/>
  <c r="C15" i="8"/>
  <c r="C17" i="8" s="1"/>
  <c r="D12" i="8"/>
  <c r="C12" i="8"/>
  <c r="D15" i="8" l="1"/>
  <c r="D17" i="8" s="1"/>
  <c r="O17" i="8"/>
  <c r="N17" i="8"/>
  <c r="D6" i="8"/>
  <c r="D15" i="7"/>
  <c r="D16" i="7"/>
  <c r="F16" i="7" s="1"/>
  <c r="I5" i="7"/>
  <c r="I6" i="7"/>
  <c r="I3" i="7"/>
  <c r="I4" i="7"/>
  <c r="I2" i="7"/>
  <c r="I17" i="7"/>
  <c r="I18" i="7"/>
  <c r="I16" i="7"/>
  <c r="I15" i="7"/>
  <c r="M5" i="6"/>
  <c r="N5" i="6" s="1"/>
  <c r="O5" i="6" s="1"/>
  <c r="M4" i="6"/>
  <c r="N4" i="6" s="1"/>
  <c r="L4" i="6"/>
  <c r="L5" i="6"/>
  <c r="L3" i="6"/>
  <c r="E16" i="7"/>
  <c r="E15" i="7"/>
  <c r="F15" i="7"/>
  <c r="C14" i="7"/>
  <c r="C19" i="7" s="1"/>
  <c r="F18" i="7"/>
  <c r="G18" i="7" s="1"/>
  <c r="H18" i="7" s="1"/>
  <c r="F17" i="7"/>
  <c r="G17" i="7" s="1"/>
  <c r="H17" i="7" s="1"/>
  <c r="J17" i="7" s="1"/>
  <c r="F3" i="7"/>
  <c r="G3" i="7" s="1"/>
  <c r="H3" i="7" s="1"/>
  <c r="J3" i="7" s="1"/>
  <c r="F4" i="7"/>
  <c r="G4" i="7" s="1"/>
  <c r="H4" i="7" s="1"/>
  <c r="F5" i="7"/>
  <c r="G5" i="7" s="1"/>
  <c r="H5" i="7" s="1"/>
  <c r="F6" i="7"/>
  <c r="G6" i="7" s="1"/>
  <c r="H6" i="7" s="1"/>
  <c r="F2" i="7"/>
  <c r="G2" i="7" s="1"/>
  <c r="H2" i="7" s="1"/>
  <c r="G5" i="6"/>
  <c r="H5" i="6"/>
  <c r="I5" i="6"/>
  <c r="H4" i="6"/>
  <c r="I4" i="6"/>
  <c r="I7" i="6" s="1"/>
  <c r="J7" i="6" s="1"/>
  <c r="G4" i="6"/>
  <c r="H3" i="6"/>
  <c r="I3" i="6"/>
  <c r="G3" i="6"/>
  <c r="D5" i="5"/>
  <c r="D6" i="5"/>
  <c r="D7" i="5"/>
  <c r="D8" i="5"/>
  <c r="D9" i="5"/>
  <c r="D13" i="5" s="1"/>
  <c r="D10" i="5"/>
  <c r="D11" i="5"/>
  <c r="D12" i="5"/>
  <c r="D4" i="5"/>
  <c r="B16" i="4"/>
  <c r="D8" i="4"/>
  <c r="D7" i="4" s="1"/>
  <c r="C7" i="4" s="1"/>
  <c r="D4" i="4"/>
  <c r="D5" i="4"/>
  <c r="D6" i="4"/>
  <c r="D3" i="4"/>
  <c r="B7" i="4"/>
  <c r="D14" i="5" l="1"/>
  <c r="F14" i="7"/>
  <c r="G14" i="7" s="1"/>
  <c r="H14" i="7" s="1"/>
  <c r="I14" i="7"/>
  <c r="G15" i="7"/>
  <c r="H15" i="7" s="1"/>
  <c r="J15" i="7" s="1"/>
  <c r="J18" i="7"/>
  <c r="G16" i="7"/>
  <c r="H16" i="7" s="1"/>
  <c r="J16" i="7" s="1"/>
  <c r="I19" i="7"/>
  <c r="I20" i="7" s="1"/>
  <c r="I7" i="7"/>
  <c r="I8" i="7" s="1"/>
  <c r="J8" i="7" s="1"/>
  <c r="J5" i="7"/>
  <c r="J4" i="7"/>
  <c r="H7" i="7"/>
  <c r="H8" i="7" s="1"/>
  <c r="J6" i="7"/>
  <c r="J2" i="7"/>
  <c r="F19" i="7"/>
  <c r="O4" i="6"/>
  <c r="O6" i="6" s="1"/>
  <c r="I6" i="6"/>
  <c r="J6" i="6" s="1"/>
  <c r="J14" i="7" l="1"/>
  <c r="G19" i="7"/>
  <c r="H19" i="7"/>
  <c r="J7" i="7"/>
  <c r="J19" i="7" l="1"/>
  <c r="H20" i="7"/>
  <c r="J20" i="7" s="1"/>
</calcChain>
</file>

<file path=xl/sharedStrings.xml><?xml version="1.0" encoding="utf-8"?>
<sst xmlns="http://schemas.openxmlformats.org/spreadsheetml/2006/main" count="164" uniqueCount="113">
  <si>
    <t>Net revenue</t>
  </si>
  <si>
    <t>Fees/commissions/insurance</t>
  </si>
  <si>
    <t>Customer net revenue</t>
  </si>
  <si>
    <t>Net credit losses</t>
  </si>
  <si>
    <t>Credit collection</t>
  </si>
  <si>
    <t>Total credit cycle</t>
  </si>
  <si>
    <t>Delivery expense</t>
  </si>
  <si>
    <t>Other revenue/(expense)</t>
  </si>
  <si>
    <t>Earnings before tax</t>
  </si>
  <si>
    <t>Customer liabilities (€M)</t>
  </si>
  <si>
    <t>Customer assets (€M)</t>
  </si>
  <si>
    <t>Average total assets (€M)</t>
  </si>
  <si>
    <t>Full-time equivalent employees</t>
  </si>
  <si>
    <t>Number of accounts (000)</t>
  </si>
  <si>
    <t>Number of customers (000)</t>
  </si>
  <si>
    <t>Number of branches</t>
  </si>
  <si>
    <t>Alpen Bank Romanian Consumer Segment Performance (€ millions)</t>
  </si>
  <si>
    <t>Typical Credit Card Transaction Cycle</t>
  </si>
  <si>
    <t>Cards per household in Central and Eastern Europe</t>
  </si>
  <si>
    <t>Credit Card Issuances, Romania (2006)</t>
  </si>
  <si>
    <t>Romanian Commercial Bank (BCR)</t>
  </si>
  <si>
    <t>Raifeissen Bank</t>
  </si>
  <si>
    <t>Bancpost</t>
  </si>
  <si>
    <t>Romanian Bank for Development (BRD)</t>
  </si>
  <si>
    <t>Estimated total credit cards, Romania</t>
  </si>
  <si>
    <t>Credit Cards</t>
  </si>
  <si>
    <t>Credit Card Utilization</t>
  </si>
  <si>
    <t>Distribution of Annual Income, Romania (2005)</t>
  </si>
  <si>
    <t>Annual Income (€)</t>
  </si>
  <si>
    <t>% of Population</t>
  </si>
  <si>
    <t>&lt;1,500</t>
  </si>
  <si>
    <t>1,500 - 2,000</t>
  </si>
  <si>
    <t>2,000 - 3,000</t>
  </si>
  <si>
    <t>3,000 - 4,500</t>
  </si>
  <si>
    <t>4,500 - 6,000</t>
  </si>
  <si>
    <t>6,000 - 7,000</t>
  </si>
  <si>
    <t>7,000 - 10,000</t>
  </si>
  <si>
    <t>10,000 - 15,000</t>
  </si>
  <si>
    <t>&gt;15,000</t>
  </si>
  <si>
    <t xml:space="preserve">Total Debit and Credit Cards, grew by </t>
  </si>
  <si>
    <t>Others</t>
  </si>
  <si>
    <t>Utilization in #</t>
  </si>
  <si>
    <t>Both Credit and Debit cards</t>
  </si>
  <si>
    <t>Numbe of ATM</t>
  </si>
  <si>
    <t>Total Debit cards</t>
  </si>
  <si>
    <t>Point-of-Sale</t>
  </si>
  <si>
    <t>Suspects (Eligible Adults)</t>
  </si>
  <si>
    <t>Middle Class</t>
  </si>
  <si>
    <t>Affluent</t>
  </si>
  <si>
    <t>Most Affluent</t>
  </si>
  <si>
    <t>Number of Earning Adults</t>
  </si>
  <si>
    <t>less price-sensitive</t>
  </si>
  <si>
    <t>more price-sensitive</t>
  </si>
  <si>
    <t>More opportunity for income through,annual fees, Greater freequency, higher interchange rates</t>
  </si>
  <si>
    <t>Higher Utilization</t>
  </si>
  <si>
    <t>Lower Utilization</t>
  </si>
  <si>
    <t>mean lower interest income and interchange for the banks</t>
  </si>
  <si>
    <t>Segment</t>
  </si>
  <si>
    <t>Annual Income €</t>
  </si>
  <si>
    <t>Interest Revenue €</t>
  </si>
  <si>
    <t>Other Revenue €</t>
  </si>
  <si>
    <t>Annual Revenue €</t>
  </si>
  <si>
    <t>Revenue per Cardholder</t>
  </si>
  <si>
    <t>3000-4500</t>
  </si>
  <si>
    <t>4,500-6,000</t>
  </si>
  <si>
    <t>6,000+</t>
  </si>
  <si>
    <t>Revenue</t>
  </si>
  <si>
    <t># of people</t>
  </si>
  <si>
    <t>Suspected Revenue for overall Romania Population with Earning more than 3000 €</t>
  </si>
  <si>
    <t>Unit Cost (€)</t>
  </si>
  <si>
    <t>Prospects Reached</t>
  </si>
  <si>
    <t>Direct</t>
  </si>
  <si>
    <t>Take</t>
  </si>
  <si>
    <t>FSIs</t>
  </si>
  <si>
    <t>€3000/rep</t>
  </si>
  <si>
    <t>Branch</t>
  </si>
  <si>
    <t>Response Rate</t>
  </si>
  <si>
    <t>Qualification Rate</t>
  </si>
  <si>
    <t>Est., convertion (85%)</t>
  </si>
  <si>
    <t>Responses</t>
  </si>
  <si>
    <t>Qualified</t>
  </si>
  <si>
    <t>Direct Mail</t>
  </si>
  <si>
    <t>Impact on Targetting Affuent Customers</t>
  </si>
  <si>
    <t>Total</t>
  </si>
  <si>
    <t>Propotion of Affluent and Most Affluent</t>
  </si>
  <si>
    <t>Overall Population Propotion</t>
  </si>
  <si>
    <t>Totala</t>
  </si>
  <si>
    <t>Cost</t>
  </si>
  <si>
    <t>Cost per Customer</t>
  </si>
  <si>
    <t>Without Direct</t>
  </si>
  <si>
    <t>&lt;- Potential Card Holders population</t>
  </si>
  <si>
    <t>&lt;- All Customers</t>
  </si>
  <si>
    <t>&lt;- Affulent customer</t>
  </si>
  <si>
    <t>Year 1</t>
  </si>
  <si>
    <t>Year 2</t>
  </si>
  <si>
    <t>Customers</t>
  </si>
  <si>
    <t>Overhead Cost</t>
  </si>
  <si>
    <t>Fixed Cost</t>
  </si>
  <si>
    <t># New customer</t>
  </si>
  <si>
    <t># Existing customer</t>
  </si>
  <si>
    <t>Per Customer</t>
  </si>
  <si>
    <t>Advertising</t>
  </si>
  <si>
    <t>Direct Cost/Customer</t>
  </si>
  <si>
    <t>CoA/Customer</t>
  </si>
  <si>
    <t>Variable Cost</t>
  </si>
  <si>
    <t>Total Cost</t>
  </si>
  <si>
    <t>Total Revenue</t>
  </si>
  <si>
    <t>Profit</t>
  </si>
  <si>
    <t>Total cost: New Customer</t>
  </si>
  <si>
    <t>Total cost: Existing Customer</t>
  </si>
  <si>
    <t>Affulent</t>
  </si>
  <si>
    <t>Middle Class and Affulent</t>
  </si>
  <si>
    <t>Revenue  - Cost = 0
Revenue = 8165500 + 163.31*X
Variable Cost = 875000 + 35.81*X
Fixed Cost = 7750000
So, X = 3604
Break-even achieved when # of Affulent customer reaches 53604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</si>
</sst>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2]\ #,##0.00"/>
    <numFmt numFmtId="165" formatCode="_([$€-2]\ * #,##0.00_);_([$€-2]\ * \(#,##0.00\);_([$€-2]\ 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T1ADt00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4" borderId="1" xfId="0" applyFill="1" applyBorder="1"/>
    <xf numFmtId="0" fontId="0" fillId="6" borderId="0" xfId="0" applyFill="1"/>
    <xf numFmtId="0" fontId="1" fillId="0" borderId="0" xfId="0" applyFont="1"/>
    <xf numFmtId="3" fontId="0" fillId="3" borderId="0" xfId="0" applyNumberFormat="1" applyFill="1"/>
    <xf numFmtId="9" fontId="0" fillId="3" borderId="0" xfId="0" applyNumberFormat="1" applyFill="1"/>
    <xf numFmtId="0" fontId="0" fillId="7" borderId="1" xfId="0" applyFill="1" applyBorder="1"/>
    <xf numFmtId="3" fontId="0" fillId="7" borderId="1" xfId="0" applyNumberFormat="1" applyFill="1" applyBorder="1"/>
    <xf numFmtId="9" fontId="0" fillId="7" borderId="1" xfId="0" applyNumberFormat="1" applyFill="1" applyBorder="1"/>
    <xf numFmtId="0" fontId="0" fillId="8" borderId="0" xfId="0" applyFill="1"/>
    <xf numFmtId="10" fontId="0" fillId="8" borderId="0" xfId="0" applyNumberFormat="1" applyFill="1"/>
    <xf numFmtId="9" fontId="0" fillId="8" borderId="0" xfId="0" applyNumberFormat="1" applyFill="1"/>
    <xf numFmtId="0" fontId="0" fillId="0" borderId="0" xfId="0" applyAlignment="1">
      <alignment horizontal="center"/>
    </xf>
    <xf numFmtId="9" fontId="0" fillId="0" borderId="0" xfId="0" applyNumberFormat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0" fontId="0" fillId="0" borderId="0" xfId="0" applyNumberFormat="1"/>
    <xf numFmtId="0" fontId="0" fillId="0" borderId="0" xfId="0" applyNumberFormat="1"/>
    <xf numFmtId="3" fontId="0" fillId="9" borderId="0" xfId="0" applyNumberFormat="1" applyFill="1"/>
    <xf numFmtId="10" fontId="0" fillId="9" borderId="0" xfId="0" applyNumberFormat="1" applyFill="1"/>
    <xf numFmtId="10" fontId="0" fillId="0" borderId="0" xfId="1" applyNumberFormat="1" applyFont="1"/>
    <xf numFmtId="0" fontId="1" fillId="0" borderId="0" xfId="0" applyNumberFormat="1" applyFont="1"/>
    <xf numFmtId="165" fontId="0" fillId="0" borderId="0" xfId="0" applyNumberFormat="1"/>
    <xf numFmtId="0" fontId="0" fillId="0" borderId="0" xfId="0" quotePrefix="1"/>
    <xf numFmtId="164" fontId="0" fillId="0" borderId="0" xfId="0" quotePrefix="1" applyNumberForma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1" fillId="0" borderId="2" xfId="0" applyFont="1" applyBorder="1" applyAlignment="1">
      <alignment horizontal="left"/>
    </xf>
    <xf numFmtId="0" fontId="1" fillId="0" borderId="1" xfId="0" applyFont="1" applyBorder="1"/>
    <xf numFmtId="165" fontId="0" fillId="0" borderId="3" xfId="0" applyNumberFormat="1" applyBorder="1"/>
    <xf numFmtId="165" fontId="0" fillId="0" borderId="6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165" fontId="1" fillId="0" borderId="3" xfId="0" applyNumberFormat="1" applyFont="1" applyBorder="1"/>
    <xf numFmtId="165" fontId="1" fillId="2" borderId="3" xfId="0" applyNumberFormat="1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553548</xdr:colOff>
      <xdr:row>21</xdr:row>
      <xdr:rowOff>152953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7FD1D261-9A9D-4B80-9C6A-36997D3E1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868748" cy="3962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9524</xdr:colOff>
      <xdr:row>20</xdr:row>
      <xdr:rowOff>181505</xdr:rowOff>
    </xdr:to>
    <xdr:pic>
      <xdr:nvPicPr>
        <xdr:cNvPr id="3" name="Picture 2" descr="Screen Clipping">
          <a:extLst>
            <a:ext uri="{FF2B5EF4-FFF2-40B4-BE49-F238E27FC236}">
              <a16:creationId xmlns:a16="http://schemas.microsoft.com/office/drawing/2014/main" id="{9499DFD4-1113-4828-94DF-7C6F27DD2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6715124" cy="380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L6" sqref="L6"/>
    </sheetView>
  </sheetViews>
  <sheetFormatPr defaultRowHeight="15"/>
  <cols>
    <col min="1" max="1" width="49.5703125" customWidth="1"/>
    <col min="2" max="3" width="5" bestFit="1" customWidth="1"/>
    <col min="4" max="4" width="6" bestFit="1" customWidth="1"/>
  </cols>
  <sheetData>
    <row r="1" spans="1:4">
      <c r="A1" s="49" t="s">
        <v>16</v>
      </c>
      <c r="B1" s="49"/>
      <c r="C1" s="49"/>
      <c r="D1" s="49"/>
    </row>
    <row r="2" spans="1:4">
      <c r="B2">
        <v>2003</v>
      </c>
      <c r="C2">
        <v>2004</v>
      </c>
      <c r="D2">
        <v>2005</v>
      </c>
    </row>
    <row r="3" spans="1:4">
      <c r="A3" s="1" t="s">
        <v>0</v>
      </c>
      <c r="B3" s="1">
        <v>66</v>
      </c>
      <c r="C3" s="1">
        <v>82</v>
      </c>
      <c r="D3" s="1">
        <v>87.5</v>
      </c>
    </row>
    <row r="4" spans="1:4">
      <c r="A4" s="1" t="s">
        <v>1</v>
      </c>
      <c r="B4" s="1">
        <v>4</v>
      </c>
      <c r="C4" s="1">
        <v>6.9</v>
      </c>
      <c r="D4" s="1">
        <v>13.1</v>
      </c>
    </row>
    <row r="5" spans="1:4">
      <c r="A5" s="4" t="s">
        <v>2</v>
      </c>
      <c r="B5" s="4">
        <v>70</v>
      </c>
      <c r="C5" s="4">
        <v>88.9</v>
      </c>
      <c r="D5" s="4">
        <v>100.6</v>
      </c>
    </row>
    <row r="6" spans="1:4">
      <c r="A6" s="3" t="s">
        <v>3</v>
      </c>
      <c r="B6" s="3">
        <v>9.8000000000000007</v>
      </c>
      <c r="C6" s="3">
        <v>11.5</v>
      </c>
      <c r="D6" s="3">
        <v>14.4</v>
      </c>
    </row>
    <row r="7" spans="1:4">
      <c r="A7" s="3" t="s">
        <v>4</v>
      </c>
      <c r="B7" s="3">
        <v>3.3</v>
      </c>
      <c r="C7" s="3">
        <v>3.9</v>
      </c>
      <c r="D7" s="3">
        <v>4.9000000000000004</v>
      </c>
    </row>
    <row r="8" spans="1:4">
      <c r="A8" s="5" t="s">
        <v>5</v>
      </c>
      <c r="B8" s="5">
        <v>13.2</v>
      </c>
      <c r="C8" s="5">
        <v>15.5</v>
      </c>
      <c r="D8" s="5">
        <v>19.3</v>
      </c>
    </row>
    <row r="9" spans="1:4">
      <c r="A9" s="6" t="s">
        <v>6</v>
      </c>
      <c r="B9" s="6">
        <v>47</v>
      </c>
      <c r="C9" s="6">
        <v>54.5</v>
      </c>
      <c r="D9" s="6">
        <v>57.9</v>
      </c>
    </row>
    <row r="10" spans="1:4">
      <c r="A10" s="6" t="s">
        <v>7</v>
      </c>
      <c r="B10" s="6">
        <v>-4.9000000000000004</v>
      </c>
      <c r="C10" s="6">
        <v>-5.5</v>
      </c>
      <c r="D10" s="6">
        <v>-6.7</v>
      </c>
    </row>
    <row r="11" spans="1:4">
      <c r="A11" s="6" t="s">
        <v>8</v>
      </c>
      <c r="B11" s="6">
        <v>4.9000000000000004</v>
      </c>
      <c r="C11" s="6">
        <v>13.4</v>
      </c>
      <c r="D11" s="6">
        <v>16.7</v>
      </c>
    </row>
    <row r="12" spans="1:4">
      <c r="A12" s="6" t="s">
        <v>9</v>
      </c>
      <c r="B12" s="6">
        <v>2343</v>
      </c>
      <c r="C12" s="6">
        <v>2745</v>
      </c>
      <c r="D12" s="6">
        <v>3000</v>
      </c>
    </row>
    <row r="13" spans="1:4">
      <c r="A13" s="6" t="s">
        <v>10</v>
      </c>
      <c r="B13" s="6">
        <v>1640</v>
      </c>
      <c r="C13" s="6">
        <v>1922</v>
      </c>
      <c r="D13" s="6">
        <v>2400</v>
      </c>
    </row>
    <row r="14" spans="1:4">
      <c r="A14" s="6" t="s">
        <v>11</v>
      </c>
      <c r="B14" s="6">
        <v>1875</v>
      </c>
      <c r="C14" s="6">
        <v>2232</v>
      </c>
      <c r="D14" s="6">
        <v>2573</v>
      </c>
    </row>
    <row r="15" spans="1:4">
      <c r="A15" s="6" t="s">
        <v>12</v>
      </c>
      <c r="B15" s="6">
        <v>564</v>
      </c>
      <c r="C15" s="6">
        <v>611</v>
      </c>
      <c r="D15" s="6">
        <v>705</v>
      </c>
    </row>
    <row r="16" spans="1:4">
      <c r="A16" s="6" t="s">
        <v>13</v>
      </c>
      <c r="B16" s="6">
        <v>209</v>
      </c>
      <c r="C16" s="6">
        <v>256</v>
      </c>
      <c r="D16" s="6">
        <v>297</v>
      </c>
    </row>
    <row r="17" spans="1:4">
      <c r="A17" s="6" t="s">
        <v>14</v>
      </c>
      <c r="B17" s="6">
        <v>157</v>
      </c>
      <c r="C17" s="6">
        <v>179</v>
      </c>
      <c r="D17" s="6">
        <v>201</v>
      </c>
    </row>
    <row r="18" spans="1:4">
      <c r="A18" s="6" t="s">
        <v>15</v>
      </c>
      <c r="B18" s="6">
        <v>12</v>
      </c>
      <c r="C18" s="6">
        <v>13</v>
      </c>
      <c r="D18" s="6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Q16" sqref="Q16"/>
    </sheetView>
  </sheetViews>
  <sheetFormatPr defaultRowHeight="15"/>
  <sheetData>
    <row r="1" spans="1:1">
      <c r="A1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5"/>
  <sheetData>
    <row r="1" spans="1:1">
      <c r="A1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/>
  <cols>
    <col min="1" max="1" width="36.42578125" bestFit="1" customWidth="1"/>
    <col min="2" max="2" width="11.7109375" bestFit="1" customWidth="1"/>
    <col min="3" max="3" width="20.85546875" bestFit="1" customWidth="1"/>
  </cols>
  <sheetData>
    <row r="1" spans="1:4">
      <c r="A1" t="s">
        <v>19</v>
      </c>
    </row>
    <row r="2" spans="1:4">
      <c r="B2" s="7" t="s">
        <v>25</v>
      </c>
      <c r="C2" s="7" t="s">
        <v>26</v>
      </c>
      <c r="D2" t="s">
        <v>41</v>
      </c>
    </row>
    <row r="3" spans="1:4">
      <c r="A3" s="2" t="s">
        <v>20</v>
      </c>
      <c r="B3" s="8">
        <v>180000</v>
      </c>
      <c r="C3" s="9">
        <v>0.1</v>
      </c>
      <c r="D3">
        <f>B3*C3</f>
        <v>18000</v>
      </c>
    </row>
    <row r="4" spans="1:4">
      <c r="A4" s="2" t="s">
        <v>21</v>
      </c>
      <c r="B4" s="8">
        <v>200000</v>
      </c>
      <c r="C4" s="9">
        <v>0.7</v>
      </c>
      <c r="D4">
        <f t="shared" ref="D4:D6" si="0">B4*C4</f>
        <v>140000</v>
      </c>
    </row>
    <row r="5" spans="1:4">
      <c r="A5" s="2" t="s">
        <v>22</v>
      </c>
      <c r="B5" s="8">
        <v>29000</v>
      </c>
      <c r="C5" s="9">
        <v>0.06</v>
      </c>
      <c r="D5">
        <f t="shared" si="0"/>
        <v>1740</v>
      </c>
    </row>
    <row r="6" spans="1:4">
      <c r="A6" s="2" t="s">
        <v>23</v>
      </c>
      <c r="B6" s="8">
        <v>606000</v>
      </c>
      <c r="C6" s="9">
        <v>0.27</v>
      </c>
      <c r="D6">
        <f t="shared" si="0"/>
        <v>163620</v>
      </c>
    </row>
    <row r="7" spans="1:4">
      <c r="A7" s="2" t="s">
        <v>40</v>
      </c>
      <c r="B7" s="8">
        <f>B8-SUM(B3:B6)</f>
        <v>695000</v>
      </c>
      <c r="C7" s="9">
        <f>D7/B7</f>
        <v>2.6820143884892088E-2</v>
      </c>
      <c r="D7">
        <f>D8-SUM(D3:D6)</f>
        <v>18640</v>
      </c>
    </row>
    <row r="8" spans="1:4">
      <c r="A8" s="10" t="s">
        <v>24</v>
      </c>
      <c r="B8" s="11">
        <v>1710000</v>
      </c>
      <c r="C8" s="12">
        <v>0.2</v>
      </c>
      <c r="D8">
        <f>B8*C8</f>
        <v>342000</v>
      </c>
    </row>
    <row r="12" spans="1:4">
      <c r="A12" t="s">
        <v>39</v>
      </c>
      <c r="B12" s="17">
        <v>0.35</v>
      </c>
    </row>
    <row r="13" spans="1:4">
      <c r="A13" t="s">
        <v>42</v>
      </c>
      <c r="B13">
        <v>9500000</v>
      </c>
    </row>
    <row r="14" spans="1:4">
      <c r="A14" t="s">
        <v>43</v>
      </c>
      <c r="B14">
        <v>8000</v>
      </c>
    </row>
    <row r="15" spans="1:4">
      <c r="A15" t="s">
        <v>45</v>
      </c>
      <c r="B15">
        <v>150000</v>
      </c>
    </row>
    <row r="16" spans="1:4">
      <c r="A16" t="s">
        <v>44</v>
      </c>
      <c r="B16" s="18">
        <f>B13-B8</f>
        <v>7790000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7" sqref="C17"/>
    </sheetView>
  </sheetViews>
  <sheetFormatPr defaultRowHeight="15"/>
  <cols>
    <col min="1" max="1" width="17.42578125" bestFit="1" customWidth="1"/>
    <col min="2" max="2" width="15.140625" bestFit="1" customWidth="1"/>
    <col min="3" max="3" width="12.5703125" bestFit="1" customWidth="1"/>
    <col min="4" max="4" width="24.140625" bestFit="1" customWidth="1"/>
    <col min="5" max="5" width="19.5703125" bestFit="1" customWidth="1"/>
    <col min="6" max="6" width="19.5703125" customWidth="1"/>
  </cols>
  <sheetData>
    <row r="1" spans="1:7">
      <c r="A1" s="49" t="s">
        <v>27</v>
      </c>
      <c r="B1" s="49"/>
      <c r="C1" s="49"/>
      <c r="D1" s="49"/>
      <c r="E1" s="49"/>
      <c r="F1" s="16"/>
    </row>
    <row r="3" spans="1:7">
      <c r="A3" s="7" t="s">
        <v>28</v>
      </c>
      <c r="B3" s="7" t="s">
        <v>29</v>
      </c>
      <c r="D3" t="s">
        <v>50</v>
      </c>
    </row>
    <row r="4" spans="1:7">
      <c r="A4" s="13" t="s">
        <v>30</v>
      </c>
      <c r="B4" s="14">
        <v>0.23200000000000001</v>
      </c>
      <c r="D4">
        <f>B4*$B$16</f>
        <v>4315200</v>
      </c>
    </row>
    <row r="5" spans="1:7">
      <c r="A5" s="13" t="s">
        <v>31</v>
      </c>
      <c r="B5" s="14">
        <v>0.11899999999999999</v>
      </c>
      <c r="D5">
        <f t="shared" ref="D5:D12" si="0">B5*$B$16</f>
        <v>2213400</v>
      </c>
    </row>
    <row r="6" spans="1:7">
      <c r="A6" s="13" t="s">
        <v>32</v>
      </c>
      <c r="B6" s="14">
        <v>0.188</v>
      </c>
      <c r="D6">
        <f t="shared" si="0"/>
        <v>3496800</v>
      </c>
    </row>
    <row r="7" spans="1:7">
      <c r="A7" s="13" t="s">
        <v>33</v>
      </c>
      <c r="B7" s="14">
        <v>0.182</v>
      </c>
      <c r="C7" t="s">
        <v>47</v>
      </c>
      <c r="D7">
        <f t="shared" si="0"/>
        <v>3385200</v>
      </c>
      <c r="E7" t="s">
        <v>52</v>
      </c>
      <c r="F7" t="s">
        <v>55</v>
      </c>
      <c r="G7" t="s">
        <v>56</v>
      </c>
    </row>
    <row r="8" spans="1:7">
      <c r="A8" s="13" t="s">
        <v>34</v>
      </c>
      <c r="B8" s="15">
        <v>0.15</v>
      </c>
      <c r="C8" t="s">
        <v>48</v>
      </c>
      <c r="D8">
        <f t="shared" si="0"/>
        <v>2790000</v>
      </c>
    </row>
    <row r="9" spans="1:7">
      <c r="A9" s="13" t="s">
        <v>35</v>
      </c>
      <c r="B9" s="14">
        <v>6.6000000000000003E-2</v>
      </c>
      <c r="C9" t="s">
        <v>49</v>
      </c>
      <c r="D9">
        <f t="shared" si="0"/>
        <v>1227600</v>
      </c>
      <c r="E9" t="s">
        <v>51</v>
      </c>
      <c r="F9" t="s">
        <v>54</v>
      </c>
      <c r="G9" t="s">
        <v>53</v>
      </c>
    </row>
    <row r="10" spans="1:7">
      <c r="A10" s="13" t="s">
        <v>36</v>
      </c>
      <c r="B10" s="14">
        <v>3.7999999999999999E-2</v>
      </c>
      <c r="C10" t="s">
        <v>49</v>
      </c>
      <c r="D10">
        <f t="shared" si="0"/>
        <v>706800</v>
      </c>
      <c r="E10" t="s">
        <v>51</v>
      </c>
      <c r="F10" t="s">
        <v>54</v>
      </c>
      <c r="G10" t="s">
        <v>53</v>
      </c>
    </row>
    <row r="11" spans="1:7">
      <c r="A11" s="13" t="s">
        <v>37</v>
      </c>
      <c r="B11" s="14">
        <v>1.2E-2</v>
      </c>
      <c r="C11" t="s">
        <v>49</v>
      </c>
      <c r="D11">
        <f t="shared" si="0"/>
        <v>223200</v>
      </c>
      <c r="E11" t="s">
        <v>51</v>
      </c>
      <c r="F11" t="s">
        <v>54</v>
      </c>
      <c r="G11" t="s">
        <v>53</v>
      </c>
    </row>
    <row r="12" spans="1:7">
      <c r="A12" s="13" t="s">
        <v>38</v>
      </c>
      <c r="B12" s="14">
        <v>1.2999999999999999E-2</v>
      </c>
      <c r="C12" t="s">
        <v>49</v>
      </c>
      <c r="D12">
        <f t="shared" si="0"/>
        <v>241800</v>
      </c>
      <c r="E12" t="s">
        <v>51</v>
      </c>
      <c r="F12" t="s">
        <v>54</v>
      </c>
      <c r="G12" t="s">
        <v>53</v>
      </c>
    </row>
    <row r="13" spans="1:7">
      <c r="D13">
        <f>SUM(D9:D12)</f>
        <v>2399400</v>
      </c>
    </row>
    <row r="14" spans="1:7">
      <c r="D14">
        <f>SUM(D8:D12)</f>
        <v>5189400</v>
      </c>
    </row>
    <row r="16" spans="1:7">
      <c r="A16" t="s">
        <v>46</v>
      </c>
      <c r="B16">
        <v>18600000</v>
      </c>
      <c r="C16" s="30" t="s">
        <v>90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J7" sqref="J7"/>
    </sheetView>
  </sheetViews>
  <sheetFormatPr defaultRowHeight="15"/>
  <cols>
    <col min="1" max="1" width="13.42578125" bestFit="1" customWidth="1"/>
    <col min="2" max="2" width="15.85546875" bestFit="1" customWidth="1"/>
    <col min="3" max="3" width="18" bestFit="1" customWidth="1"/>
    <col min="4" max="4" width="16" bestFit="1" customWidth="1"/>
    <col min="5" max="5" width="17.28515625" bestFit="1" customWidth="1"/>
    <col min="6" max="6" width="11" bestFit="1" customWidth="1"/>
    <col min="7" max="7" width="18" bestFit="1" customWidth="1"/>
    <col min="8" max="8" width="16" bestFit="1" customWidth="1"/>
    <col min="9" max="9" width="17.28515625" bestFit="1" customWidth="1"/>
    <col min="10" max="11" width="17.28515625" customWidth="1"/>
    <col min="12" max="12" width="14.28515625" bestFit="1" customWidth="1"/>
    <col min="15" max="15" width="16.7109375" bestFit="1" customWidth="1"/>
  </cols>
  <sheetData>
    <row r="1" spans="1:15">
      <c r="A1" s="49" t="s">
        <v>62</v>
      </c>
      <c r="B1" s="49"/>
      <c r="C1" s="49"/>
      <c r="D1" s="49"/>
      <c r="E1" s="49"/>
      <c r="F1" s="49" t="s">
        <v>68</v>
      </c>
      <c r="G1" s="49"/>
      <c r="H1" s="49"/>
      <c r="I1" s="49"/>
      <c r="J1" s="49"/>
      <c r="K1" s="49"/>
      <c r="L1" s="49"/>
      <c r="O1" t="s">
        <v>66</v>
      </c>
    </row>
    <row r="2" spans="1:15">
      <c r="A2" s="7" t="s">
        <v>57</v>
      </c>
      <c r="B2" s="7" t="s">
        <v>58</v>
      </c>
      <c r="C2" s="7" t="s">
        <v>59</v>
      </c>
      <c r="D2" s="7" t="s">
        <v>60</v>
      </c>
      <c r="E2" s="7" t="s">
        <v>61</v>
      </c>
      <c r="F2" s="7" t="s">
        <v>67</v>
      </c>
      <c r="G2" s="7" t="s">
        <v>59</v>
      </c>
      <c r="H2" s="7" t="s">
        <v>60</v>
      </c>
      <c r="I2" s="7" t="s">
        <v>61</v>
      </c>
      <c r="J2" s="7"/>
      <c r="K2" s="7"/>
      <c r="L2" s="7" t="s">
        <v>85</v>
      </c>
      <c r="M2" s="7" t="s">
        <v>84</v>
      </c>
    </row>
    <row r="3" spans="1:15">
      <c r="A3" t="s">
        <v>47</v>
      </c>
      <c r="B3" t="s">
        <v>63</v>
      </c>
      <c r="C3">
        <v>37.130000000000003</v>
      </c>
      <c r="D3">
        <v>23.5</v>
      </c>
      <c r="E3">
        <v>60.63</v>
      </c>
      <c r="F3">
        <v>3385200</v>
      </c>
      <c r="G3" s="19">
        <f>$F$3*C3</f>
        <v>125692476.00000001</v>
      </c>
      <c r="H3" s="19">
        <f t="shared" ref="H3:I3" si="0">$F$3*D3</f>
        <v>79552200</v>
      </c>
      <c r="I3" s="19">
        <f t="shared" si="0"/>
        <v>205244676</v>
      </c>
      <c r="J3" s="19"/>
      <c r="K3" s="19"/>
      <c r="L3" s="27">
        <f>F3/SUM($F$3:$F$5)</f>
        <v>0.39479392624728848</v>
      </c>
    </row>
    <row r="4" spans="1:15">
      <c r="A4" t="s">
        <v>48</v>
      </c>
      <c r="B4" t="s">
        <v>64</v>
      </c>
      <c r="C4">
        <v>86.63</v>
      </c>
      <c r="D4">
        <v>36.75</v>
      </c>
      <c r="E4">
        <v>123.38</v>
      </c>
      <c r="F4">
        <v>2790000</v>
      </c>
      <c r="G4" s="19">
        <f>$F4*C4</f>
        <v>241697700</v>
      </c>
      <c r="H4" s="19">
        <f t="shared" ref="H4:I4" si="1">$F4*D4</f>
        <v>102532500</v>
      </c>
      <c r="I4" s="19">
        <f t="shared" si="1"/>
        <v>344230200</v>
      </c>
      <c r="J4" s="19"/>
      <c r="K4" s="19"/>
      <c r="L4" s="27">
        <f t="shared" ref="L4:L5" si="2">F4/SUM($F$3:$F$5)</f>
        <v>0.32537960954446854</v>
      </c>
      <c r="M4" s="27">
        <f>F4/SUM($F$4:$F$5)</f>
        <v>0.5376344086021505</v>
      </c>
      <c r="N4" s="18">
        <f>$N$6*M4</f>
        <v>2790000</v>
      </c>
      <c r="O4" s="29">
        <f>N4*E4</f>
        <v>344230200</v>
      </c>
    </row>
    <row r="5" spans="1:15">
      <c r="A5" t="s">
        <v>49</v>
      </c>
      <c r="B5" t="s">
        <v>65</v>
      </c>
      <c r="C5">
        <v>148.5</v>
      </c>
      <c r="D5">
        <v>61.25</v>
      </c>
      <c r="E5">
        <v>209.75</v>
      </c>
      <c r="F5">
        <v>2399400</v>
      </c>
      <c r="G5" s="19">
        <f>$F5*C5</f>
        <v>356310900</v>
      </c>
      <c r="H5" s="19">
        <f t="shared" ref="H5" si="3">$F5*D5</f>
        <v>146963250</v>
      </c>
      <c r="I5" s="19">
        <f t="shared" ref="I5" si="4">$F5*E5</f>
        <v>503274150</v>
      </c>
      <c r="J5" s="19"/>
      <c r="K5" s="19"/>
      <c r="L5" s="27">
        <f t="shared" si="2"/>
        <v>0.27982646420824298</v>
      </c>
      <c r="M5" s="27">
        <f>F5/SUM($F$4:$F$5)</f>
        <v>0.46236559139784944</v>
      </c>
      <c r="N5" s="18">
        <f>$N$6*M5</f>
        <v>2399400</v>
      </c>
      <c r="O5" s="29">
        <f>N5*E5</f>
        <v>503274150</v>
      </c>
    </row>
    <row r="6" spans="1:15">
      <c r="A6" t="s">
        <v>86</v>
      </c>
      <c r="I6" s="19">
        <f>SUM(I3:I5)</f>
        <v>1052749026</v>
      </c>
      <c r="J6" s="19">
        <f>I6/SUM(F3:F5)</f>
        <v>122.77529284164859</v>
      </c>
      <c r="K6" s="31" t="s">
        <v>91</v>
      </c>
      <c r="N6" s="18">
        <v>5189400</v>
      </c>
      <c r="O6" s="29">
        <f>SUM(O4:O5)</f>
        <v>847504350</v>
      </c>
    </row>
    <row r="7" spans="1:15">
      <c r="I7" s="19">
        <f>SUM(I4:I5)</f>
        <v>847504350</v>
      </c>
      <c r="J7" s="19">
        <f>I7/SUM(F4:F5)</f>
        <v>163.31451612903226</v>
      </c>
      <c r="K7" s="31" t="s">
        <v>92</v>
      </c>
    </row>
  </sheetData>
  <mergeCells count="2">
    <mergeCell ref="F1:L1"/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M15" sqref="M15"/>
    </sheetView>
  </sheetViews>
  <sheetFormatPr defaultRowHeight="15"/>
  <cols>
    <col min="1" max="1" width="10.28515625" customWidth="1"/>
    <col min="2" max="2" width="14.28515625" customWidth="1"/>
    <col min="3" max="3" width="17.85546875" bestFit="1" customWidth="1"/>
    <col min="5" max="5" width="17" bestFit="1" customWidth="1"/>
    <col min="6" max="7" width="17" customWidth="1"/>
    <col min="9" max="9" width="14.7109375" bestFit="1" customWidth="1"/>
    <col min="10" max="10" width="10.42578125" bestFit="1" customWidth="1"/>
  </cols>
  <sheetData>
    <row r="1" spans="1:13">
      <c r="B1" t="s">
        <v>69</v>
      </c>
      <c r="C1" s="21" t="s">
        <v>70</v>
      </c>
      <c r="D1" t="s">
        <v>76</v>
      </c>
      <c r="E1" t="s">
        <v>77</v>
      </c>
      <c r="F1" t="s">
        <v>79</v>
      </c>
      <c r="G1" t="s">
        <v>80</v>
      </c>
      <c r="H1" t="s">
        <v>78</v>
      </c>
      <c r="J1" t="s">
        <v>88</v>
      </c>
    </row>
    <row r="2" spans="1:13">
      <c r="A2" s="22" t="s">
        <v>81</v>
      </c>
      <c r="B2">
        <v>0.5</v>
      </c>
      <c r="C2" s="18">
        <v>2500000</v>
      </c>
      <c r="D2" s="23">
        <v>0.03</v>
      </c>
      <c r="E2" s="23">
        <v>0.6</v>
      </c>
      <c r="F2" s="24">
        <f>C2*D2</f>
        <v>75000</v>
      </c>
      <c r="G2" s="24">
        <f>F2*E2</f>
        <v>45000</v>
      </c>
      <c r="H2">
        <f>G2*0.85</f>
        <v>38250</v>
      </c>
      <c r="I2">
        <f>B2*C2</f>
        <v>1250000</v>
      </c>
      <c r="J2" s="20">
        <f t="shared" ref="J2:J6" si="0">I2/H2</f>
        <v>32.679738562091501</v>
      </c>
    </row>
    <row r="3" spans="1:13">
      <c r="A3" s="22" t="s">
        <v>72</v>
      </c>
      <c r="B3">
        <v>0.1</v>
      </c>
      <c r="C3" s="18">
        <v>2000000</v>
      </c>
      <c r="D3" s="23">
        <v>2.5000000000000001E-2</v>
      </c>
      <c r="E3" s="23">
        <v>0.3</v>
      </c>
      <c r="F3" s="24">
        <f>C3*D3</f>
        <v>50000</v>
      </c>
      <c r="G3" s="24">
        <f t="shared" ref="G3:G6" si="1">F3*E3</f>
        <v>15000</v>
      </c>
      <c r="H3">
        <f t="shared" ref="H3:H6" si="2">G3*0.85</f>
        <v>12750</v>
      </c>
      <c r="I3">
        <f t="shared" ref="I3:I6" si="3">B3*C3</f>
        <v>200000</v>
      </c>
      <c r="J3" s="20">
        <f t="shared" si="0"/>
        <v>15.686274509803921</v>
      </c>
    </row>
    <row r="4" spans="1:13">
      <c r="A4" s="22" t="s">
        <v>73</v>
      </c>
      <c r="B4">
        <v>0.05</v>
      </c>
      <c r="C4" s="18">
        <v>3500000</v>
      </c>
      <c r="D4" s="23">
        <v>1.4999999999999999E-2</v>
      </c>
      <c r="E4" s="23">
        <v>0.3</v>
      </c>
      <c r="F4" s="24">
        <f>C4*D4</f>
        <v>52500</v>
      </c>
      <c r="G4" s="24">
        <f t="shared" si="1"/>
        <v>15750</v>
      </c>
      <c r="H4">
        <f>ROUND(G4*0.85,0)</f>
        <v>13388</v>
      </c>
      <c r="I4">
        <f t="shared" si="3"/>
        <v>175000</v>
      </c>
      <c r="J4" s="20">
        <f t="shared" si="0"/>
        <v>13.071407230355542</v>
      </c>
    </row>
    <row r="5" spans="1:13">
      <c r="A5" s="22" t="s">
        <v>71</v>
      </c>
      <c r="B5" t="s">
        <v>74</v>
      </c>
      <c r="C5" s="18">
        <v>60000</v>
      </c>
      <c r="D5" s="23">
        <v>0.25</v>
      </c>
      <c r="E5" s="23">
        <v>0.6</v>
      </c>
      <c r="F5" s="24">
        <f>C5*D5</f>
        <v>15000</v>
      </c>
      <c r="G5" s="24">
        <f t="shared" si="1"/>
        <v>9000</v>
      </c>
      <c r="H5">
        <f t="shared" si="2"/>
        <v>7650</v>
      </c>
      <c r="I5" s="29">
        <f>3000*10</f>
        <v>30000</v>
      </c>
      <c r="J5" s="20">
        <f t="shared" si="0"/>
        <v>3.9215686274509802</v>
      </c>
    </row>
    <row r="6" spans="1:13">
      <c r="A6" s="22" t="s">
        <v>75</v>
      </c>
      <c r="B6">
        <v>1</v>
      </c>
      <c r="C6" s="18">
        <v>50000</v>
      </c>
      <c r="D6" s="23">
        <v>0.5</v>
      </c>
      <c r="E6" s="23">
        <v>0.9</v>
      </c>
      <c r="F6" s="24">
        <f>C6*D6</f>
        <v>25000</v>
      </c>
      <c r="G6" s="24">
        <f t="shared" si="1"/>
        <v>22500</v>
      </c>
      <c r="H6">
        <f t="shared" si="2"/>
        <v>19125</v>
      </c>
      <c r="I6">
        <f t="shared" si="3"/>
        <v>50000</v>
      </c>
      <c r="J6" s="20">
        <f t="shared" si="0"/>
        <v>2.6143790849673203</v>
      </c>
    </row>
    <row r="7" spans="1:13">
      <c r="H7">
        <f>SUM(H2:H6)</f>
        <v>91163</v>
      </c>
      <c r="I7">
        <f>SUM(I2:I6)</f>
        <v>1705000</v>
      </c>
      <c r="J7" s="20">
        <f>I7/H7</f>
        <v>18.702763182431468</v>
      </c>
    </row>
    <row r="8" spans="1:13" ht="24.75">
      <c r="A8" s="22" t="s">
        <v>89</v>
      </c>
      <c r="H8">
        <f>H7-H2</f>
        <v>52913</v>
      </c>
      <c r="I8">
        <f>I7-I2</f>
        <v>455000</v>
      </c>
      <c r="J8" s="20">
        <f>I8/H8</f>
        <v>8.5990210345283771</v>
      </c>
    </row>
    <row r="9" spans="1:13">
      <c r="J9" s="20"/>
    </row>
    <row r="10" spans="1:13">
      <c r="J10" s="20"/>
    </row>
    <row r="11" spans="1:13">
      <c r="J11" s="20"/>
    </row>
    <row r="12" spans="1:13">
      <c r="A12" s="50" t="s">
        <v>82</v>
      </c>
      <c r="B12" s="50"/>
      <c r="C12" s="50"/>
      <c r="I12" t="s">
        <v>87</v>
      </c>
    </row>
    <row r="13" spans="1:13">
      <c r="B13" t="s">
        <v>69</v>
      </c>
      <c r="C13" s="21" t="s">
        <v>70</v>
      </c>
      <c r="D13" t="s">
        <v>76</v>
      </c>
      <c r="E13" t="s">
        <v>77</v>
      </c>
      <c r="F13" t="s">
        <v>79</v>
      </c>
      <c r="G13" t="s">
        <v>80</v>
      </c>
      <c r="H13" t="s">
        <v>78</v>
      </c>
    </row>
    <row r="14" spans="1:13">
      <c r="A14" s="22" t="s">
        <v>81</v>
      </c>
      <c r="B14">
        <v>0.5</v>
      </c>
      <c r="C14" s="25">
        <f>2500000/2</f>
        <v>1250000</v>
      </c>
      <c r="D14" s="23">
        <v>0.03</v>
      </c>
      <c r="E14" s="23">
        <v>0.6</v>
      </c>
      <c r="F14" s="24">
        <f>C14*D14</f>
        <v>37500</v>
      </c>
      <c r="G14" s="24">
        <f>F14*E14</f>
        <v>22500</v>
      </c>
      <c r="H14">
        <f>ROUND(G14*0.85,0)</f>
        <v>19125</v>
      </c>
      <c r="I14" s="29">
        <f>B14*C14</f>
        <v>625000</v>
      </c>
      <c r="J14" s="29">
        <f>I14/H14</f>
        <v>32.679738562091501</v>
      </c>
      <c r="L14">
        <f>D14*E14*0.85</f>
        <v>1.5299999999999998E-2</v>
      </c>
      <c r="M14">
        <f>C14*0.015</f>
        <v>18750</v>
      </c>
    </row>
    <row r="15" spans="1:13">
      <c r="A15" s="22" t="s">
        <v>72</v>
      </c>
      <c r="B15">
        <v>0.1</v>
      </c>
      <c r="C15" s="18">
        <v>2000000</v>
      </c>
      <c r="D15" s="26">
        <f>2.5%</f>
        <v>2.5000000000000001E-2</v>
      </c>
      <c r="E15" s="26">
        <f>30%*0.5</f>
        <v>0.15</v>
      </c>
      <c r="F15" s="24">
        <f>C15*D15</f>
        <v>50000</v>
      </c>
      <c r="G15" s="24">
        <f t="shared" ref="G15:G18" si="4">F15*E15</f>
        <v>7500</v>
      </c>
      <c r="H15">
        <f t="shared" ref="H15:H18" si="5">ROUND(G15*0.85,0)</f>
        <v>6375</v>
      </c>
      <c r="I15" s="29">
        <f>B15*C15</f>
        <v>200000</v>
      </c>
      <c r="J15" s="29">
        <f t="shared" ref="J15:J18" si="6">I15/H15</f>
        <v>31.372549019607842</v>
      </c>
    </row>
    <row r="16" spans="1:13">
      <c r="A16" s="22" t="s">
        <v>73</v>
      </c>
      <c r="B16">
        <v>0.05</v>
      </c>
      <c r="C16" s="18">
        <v>3500000</v>
      </c>
      <c r="D16" s="26">
        <f>1.5%</f>
        <v>1.4999999999999999E-2</v>
      </c>
      <c r="E16" s="26">
        <f>30%*0.5</f>
        <v>0.15</v>
      </c>
      <c r="F16" s="24">
        <f>C16*D16</f>
        <v>52500</v>
      </c>
      <c r="G16" s="24">
        <f t="shared" si="4"/>
        <v>7875</v>
      </c>
      <c r="H16">
        <f t="shared" si="5"/>
        <v>6694</v>
      </c>
      <c r="I16" s="29">
        <f>B16*C16</f>
        <v>175000</v>
      </c>
      <c r="J16" s="29">
        <f t="shared" si="6"/>
        <v>26.142814460711083</v>
      </c>
    </row>
    <row r="17" spans="1:10">
      <c r="A17" s="22" t="s">
        <v>71</v>
      </c>
      <c r="B17" t="s">
        <v>74</v>
      </c>
      <c r="C17" s="18">
        <v>60000</v>
      </c>
      <c r="D17" s="23">
        <v>0.25</v>
      </c>
      <c r="E17" s="23">
        <v>0.6</v>
      </c>
      <c r="F17" s="24">
        <f>C17*D17</f>
        <v>15000</v>
      </c>
      <c r="G17" s="24">
        <f t="shared" si="4"/>
        <v>9000</v>
      </c>
      <c r="H17">
        <f t="shared" si="5"/>
        <v>7650</v>
      </c>
      <c r="I17" s="29">
        <f>3000*10</f>
        <v>30000</v>
      </c>
      <c r="J17" s="29">
        <f t="shared" si="6"/>
        <v>3.9215686274509802</v>
      </c>
    </row>
    <row r="18" spans="1:10">
      <c r="A18" s="22" t="s">
        <v>75</v>
      </c>
      <c r="B18">
        <v>1</v>
      </c>
      <c r="C18" s="18">
        <v>50000</v>
      </c>
      <c r="D18" s="23">
        <v>0.5</v>
      </c>
      <c r="E18" s="23">
        <v>0.9</v>
      </c>
      <c r="F18" s="24">
        <f>C18*D18</f>
        <v>25000</v>
      </c>
      <c r="G18" s="24">
        <f t="shared" si="4"/>
        <v>22500</v>
      </c>
      <c r="H18">
        <f t="shared" si="5"/>
        <v>19125</v>
      </c>
      <c r="I18" s="29">
        <f>B18*C18</f>
        <v>50000</v>
      </c>
      <c r="J18" s="29">
        <f t="shared" si="6"/>
        <v>2.6143790849673203</v>
      </c>
    </row>
    <row r="19" spans="1:10">
      <c r="A19" s="22" t="s">
        <v>83</v>
      </c>
      <c r="C19" s="18">
        <f>SUM(C14:C18)</f>
        <v>6860000</v>
      </c>
      <c r="F19" s="24">
        <f>SUM(F14:F18)</f>
        <v>180000</v>
      </c>
      <c r="G19" s="24">
        <f>SUM(G14:G18)</f>
        <v>69375</v>
      </c>
      <c r="H19" s="28">
        <f>ROUND(SUM(H14:H18),0)</f>
        <v>58969</v>
      </c>
      <c r="I19" s="29">
        <f>SUM(I14:I18)</f>
        <v>1080000</v>
      </c>
      <c r="J19" s="29">
        <f>SUM(I14:I18)/H19</f>
        <v>18.314707727789177</v>
      </c>
    </row>
    <row r="20" spans="1:10" ht="24.75">
      <c r="A20" s="22" t="s">
        <v>89</v>
      </c>
      <c r="H20">
        <f>H19-H14</f>
        <v>39844</v>
      </c>
      <c r="I20" s="29">
        <f>I19-I14</f>
        <v>455000</v>
      </c>
      <c r="J20" s="29">
        <f>I20/H20</f>
        <v>11.419536191145466</v>
      </c>
    </row>
  </sheetData>
  <mergeCells count="1">
    <mergeCell ref="A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abSelected="1" topLeftCell="A4" zoomScaleNormal="100" workbookViewId="0">
      <selection activeCell="G10" sqref="G10"/>
    </sheetView>
  </sheetViews>
  <sheetFormatPr defaultRowHeight="15"/>
  <cols>
    <col min="1" max="1" width="21.85546875" bestFit="1" customWidth="1"/>
    <col min="2" max="2" width="26.85546875" bestFit="1" customWidth="1"/>
    <col min="3" max="3" width="14.7109375" bestFit="1" customWidth="1"/>
    <col min="4" max="4" width="15.7109375" bestFit="1" customWidth="1"/>
    <col min="12" max="12" width="12.7109375" bestFit="1" customWidth="1"/>
    <col min="13" max="13" width="24.85546875" bestFit="1" customWidth="1"/>
    <col min="14" max="14" width="15.42578125" bestFit="1" customWidth="1"/>
    <col min="15" max="15" width="15.7109375" bestFit="1" customWidth="1"/>
  </cols>
  <sheetData>
    <row r="2" spans="1:15">
      <c r="A2" s="52" t="s">
        <v>110</v>
      </c>
      <c r="B2" s="52"/>
      <c r="C2" s="52"/>
      <c r="D2" s="52"/>
      <c r="L2" s="52" t="s">
        <v>111</v>
      </c>
      <c r="M2" s="52"/>
      <c r="N2" s="52"/>
      <c r="O2" s="52"/>
    </row>
    <row r="3" spans="1:15">
      <c r="C3" s="7" t="s">
        <v>93</v>
      </c>
      <c r="D3" s="7" t="s">
        <v>94</v>
      </c>
      <c r="N3" s="7" t="s">
        <v>93</v>
      </c>
      <c r="O3" s="7" t="s">
        <v>94</v>
      </c>
    </row>
    <row r="4" spans="1:15">
      <c r="A4" s="32" t="s">
        <v>95</v>
      </c>
      <c r="B4" s="33"/>
      <c r="C4" s="34">
        <v>50000</v>
      </c>
      <c r="D4" s="34">
        <v>100000</v>
      </c>
      <c r="L4" s="32" t="s">
        <v>95</v>
      </c>
      <c r="M4" s="33"/>
      <c r="N4" s="34">
        <v>50000</v>
      </c>
      <c r="O4" s="34">
        <v>100000</v>
      </c>
    </row>
    <row r="5" spans="1:15">
      <c r="A5" s="35" t="s">
        <v>66</v>
      </c>
      <c r="B5" s="33" t="s">
        <v>100</v>
      </c>
      <c r="C5" s="43">
        <v>163.31</v>
      </c>
      <c r="D5" s="43">
        <v>163.31</v>
      </c>
      <c r="L5" s="35" t="s">
        <v>66</v>
      </c>
      <c r="M5" s="33" t="s">
        <v>100</v>
      </c>
      <c r="N5" s="43">
        <v>122.78</v>
      </c>
      <c r="O5" s="43">
        <v>122.78</v>
      </c>
    </row>
    <row r="6" spans="1:15">
      <c r="A6" s="53" t="s">
        <v>97</v>
      </c>
      <c r="B6" s="36" t="s">
        <v>96</v>
      </c>
      <c r="C6" s="44">
        <v>5000000</v>
      </c>
      <c r="D6" s="44">
        <f>C6+750000</f>
        <v>5750000</v>
      </c>
      <c r="L6" s="53" t="s">
        <v>97</v>
      </c>
      <c r="M6" s="36" t="s">
        <v>96</v>
      </c>
      <c r="N6" s="44">
        <v>5000000</v>
      </c>
      <c r="O6" s="44">
        <f>N6+750000</f>
        <v>5750000</v>
      </c>
    </row>
    <row r="7" spans="1:15">
      <c r="A7" s="54"/>
      <c r="B7" s="38" t="s">
        <v>101</v>
      </c>
      <c r="C7" s="45">
        <v>2000000</v>
      </c>
      <c r="D7" s="45">
        <v>2000000</v>
      </c>
      <c r="L7" s="54"/>
      <c r="M7" s="38" t="s">
        <v>101</v>
      </c>
      <c r="N7" s="45">
        <v>2000000</v>
      </c>
      <c r="O7" s="45">
        <v>2000000</v>
      </c>
    </row>
    <row r="8" spans="1:15">
      <c r="A8" s="53" t="s">
        <v>104</v>
      </c>
      <c r="B8" s="36" t="s">
        <v>98</v>
      </c>
      <c r="C8" s="37">
        <v>50000</v>
      </c>
      <c r="D8" s="37">
        <v>50000</v>
      </c>
      <c r="L8" s="53" t="s">
        <v>104</v>
      </c>
      <c r="M8" s="36" t="s">
        <v>98</v>
      </c>
      <c r="N8" s="37">
        <v>50000</v>
      </c>
      <c r="O8" s="37">
        <v>50000</v>
      </c>
    </row>
    <row r="9" spans="1:15">
      <c r="A9" s="55"/>
      <c r="B9" s="39" t="s">
        <v>99</v>
      </c>
      <c r="C9" s="40">
        <v>0</v>
      </c>
      <c r="D9" s="40">
        <v>50000</v>
      </c>
      <c r="L9" s="55"/>
      <c r="M9" s="39" t="s">
        <v>99</v>
      </c>
      <c r="N9" s="40">
        <v>0</v>
      </c>
      <c r="O9" s="40">
        <v>50000</v>
      </c>
    </row>
    <row r="10" spans="1:15">
      <c r="A10" s="55"/>
      <c r="B10" s="39" t="s">
        <v>102</v>
      </c>
      <c r="C10" s="46">
        <v>20</v>
      </c>
      <c r="D10" s="46">
        <v>17.5</v>
      </c>
      <c r="L10" s="55"/>
      <c r="M10" s="39" t="s">
        <v>102</v>
      </c>
      <c r="N10" s="46">
        <v>20</v>
      </c>
      <c r="O10" s="46">
        <v>17.5</v>
      </c>
    </row>
    <row r="11" spans="1:15">
      <c r="A11" s="55"/>
      <c r="B11" s="39" t="s">
        <v>103</v>
      </c>
      <c r="C11" s="40">
        <v>18.309999999999999</v>
      </c>
      <c r="D11" s="40">
        <v>18.309999999999999</v>
      </c>
      <c r="L11" s="55"/>
      <c r="M11" s="39" t="s">
        <v>103</v>
      </c>
      <c r="N11" s="40">
        <v>18.7</v>
      </c>
      <c r="O11" s="40">
        <v>18.7</v>
      </c>
    </row>
    <row r="12" spans="1:15">
      <c r="A12" s="55"/>
      <c r="B12" s="39" t="s">
        <v>108</v>
      </c>
      <c r="C12" s="46">
        <f>SUM(C10:C11)</f>
        <v>38.31</v>
      </c>
      <c r="D12" s="46">
        <f>SUM(D10:D11)</f>
        <v>35.81</v>
      </c>
      <c r="L12" s="55"/>
      <c r="M12" s="39" t="s">
        <v>108</v>
      </c>
      <c r="N12" s="46">
        <f>SUM(N10:N11)</f>
        <v>38.700000000000003</v>
      </c>
      <c r="O12" s="46">
        <f>SUM(O10:O11)</f>
        <v>36.200000000000003</v>
      </c>
    </row>
    <row r="13" spans="1:15">
      <c r="A13" s="55"/>
      <c r="B13" s="39" t="s">
        <v>109</v>
      </c>
      <c r="C13" s="40">
        <v>0</v>
      </c>
      <c r="D13" s="46">
        <f>D10</f>
        <v>17.5</v>
      </c>
      <c r="L13" s="55"/>
      <c r="M13" s="39" t="s">
        <v>109</v>
      </c>
      <c r="N13" s="40">
        <v>0</v>
      </c>
      <c r="O13" s="46">
        <f>O10</f>
        <v>17.5</v>
      </c>
    </row>
    <row r="14" spans="1:15">
      <c r="A14" s="54"/>
      <c r="B14" s="38"/>
      <c r="C14" s="45">
        <f>(C8*C12)+(C9*C13)</f>
        <v>1915500</v>
      </c>
      <c r="D14" s="45">
        <f>(D8*D12)+(D9*D13)</f>
        <v>2665500</v>
      </c>
      <c r="L14" s="54"/>
      <c r="M14" s="38"/>
      <c r="N14" s="45">
        <f>(N8*N12)+(N9*N13)</f>
        <v>1935000.0000000002</v>
      </c>
      <c r="O14" s="45">
        <f>(O8*O12)+(O9*O13)</f>
        <v>2685000</v>
      </c>
    </row>
    <row r="15" spans="1:15">
      <c r="A15" s="35" t="s">
        <v>105</v>
      </c>
      <c r="B15" s="33"/>
      <c r="C15" s="43">
        <f>SUM(C14,C6:C7)</f>
        <v>8915500</v>
      </c>
      <c r="D15" s="43">
        <f>SUM(D14,D6:D7)</f>
        <v>10415500</v>
      </c>
      <c r="H15">
        <v>8165500</v>
      </c>
      <c r="L15" s="35" t="s">
        <v>105</v>
      </c>
      <c r="M15" s="33"/>
      <c r="N15" s="43">
        <f>SUM(N14,N6:N7)</f>
        <v>8935000</v>
      </c>
      <c r="O15" s="43">
        <f>SUM(O14,O6:O7)</f>
        <v>10435000</v>
      </c>
    </row>
    <row r="16" spans="1:15">
      <c r="A16" s="35" t="s">
        <v>106</v>
      </c>
      <c r="B16" s="33"/>
      <c r="C16" s="43">
        <f>C4*C5</f>
        <v>8165500</v>
      </c>
      <c r="D16" s="43">
        <f>D4*D5</f>
        <v>16331000</v>
      </c>
      <c r="H16">
        <f>50000*17.5</f>
        <v>875000</v>
      </c>
      <c r="L16" s="35" t="s">
        <v>106</v>
      </c>
      <c r="M16" s="33"/>
      <c r="N16" s="43">
        <f>N4*N5</f>
        <v>6139000</v>
      </c>
      <c r="O16" s="43">
        <f>O4*O5</f>
        <v>12278000</v>
      </c>
    </row>
    <row r="17" spans="1:15">
      <c r="A17" s="41" t="s">
        <v>107</v>
      </c>
      <c r="B17" s="42"/>
      <c r="C17" s="47">
        <f>C16-C15</f>
        <v>-750000</v>
      </c>
      <c r="D17" s="48">
        <f>D16-D15</f>
        <v>5915500</v>
      </c>
      <c r="H17">
        <f>H15-H16</f>
        <v>7290500</v>
      </c>
      <c r="I17">
        <v>7750000</v>
      </c>
      <c r="L17" s="41" t="s">
        <v>107</v>
      </c>
      <c r="M17" s="42"/>
      <c r="N17" s="47">
        <f>N16-N15</f>
        <v>-2796000</v>
      </c>
      <c r="O17" s="47">
        <f>O16-O15</f>
        <v>1843000</v>
      </c>
    </row>
    <row r="18" spans="1:15">
      <c r="D18" s="29">
        <f>D17-516</f>
        <v>5914984</v>
      </c>
      <c r="I18">
        <f>H17-I17</f>
        <v>-459500</v>
      </c>
    </row>
    <row r="20" spans="1:15">
      <c r="A20" s="51" t="s">
        <v>112</v>
      </c>
      <c r="B20" s="49"/>
      <c r="C20" s="49"/>
      <c r="D20" s="49"/>
      <c r="H20">
        <f>163.31-35.81</f>
        <v>127.5</v>
      </c>
      <c r="J20">
        <f>I18/H20</f>
        <v>-3603.9215686274511</v>
      </c>
    </row>
    <row r="21" spans="1:15">
      <c r="A21" s="49"/>
      <c r="B21" s="49"/>
      <c r="C21" s="49"/>
      <c r="D21" s="49"/>
      <c r="E21" s="30"/>
      <c r="H21">
        <f>H17/H20</f>
        <v>57180.392156862748</v>
      </c>
    </row>
    <row r="22" spans="1:15">
      <c r="A22" s="49"/>
      <c r="B22" s="49"/>
      <c r="C22" s="49"/>
      <c r="D22" s="49"/>
    </row>
    <row r="23" spans="1:15">
      <c r="A23" s="49"/>
      <c r="B23" s="49"/>
      <c r="C23" s="49"/>
      <c r="D23" s="49"/>
    </row>
    <row r="24" spans="1:15" ht="32.450000000000003" customHeight="1">
      <c r="A24" s="49"/>
      <c r="B24" s="49"/>
      <c r="C24" s="49"/>
      <c r="D24" s="49"/>
    </row>
  </sheetData>
  <mergeCells count="7">
    <mergeCell ref="A20:D24"/>
    <mergeCell ref="A2:D2"/>
    <mergeCell ref="L2:O2"/>
    <mergeCell ref="A6:A7"/>
    <mergeCell ref="A8:A14"/>
    <mergeCell ref="L6:L7"/>
    <mergeCell ref="L8:L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1</vt:lpstr>
      <vt:lpstr>Exhibit 2</vt:lpstr>
      <vt:lpstr>Exhibit 3</vt:lpstr>
      <vt:lpstr>Exhibit 4</vt:lpstr>
      <vt:lpstr>Exhibit 5</vt:lpstr>
      <vt:lpstr>Revenue</vt:lpstr>
      <vt:lpstr>Cost</vt:lpstr>
      <vt:lpstr>Break 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2017-05-24T11:33:12Z</dcterms:created>
  <dcterms:modified xsi:type="dcterms:W3CDTF">2017-05-25T13:00:20Z</dcterms:modified>
</cp:coreProperties>
</file>