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5.xml" ContentType="application/vnd.openxmlformats-officedocument.spreadsheetml.comments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quin Vietto\Documents\UCC\3ro\Modelos y Simulacion\PracticoSimulacion\Practico\5) Simulacion Montecarlo\"/>
    </mc:Choice>
  </mc:AlternateContent>
  <bookViews>
    <workbookView xWindow="0" yWindow="0" windowWidth="21600" windowHeight="9630" tabRatio="819"/>
  </bookViews>
  <sheets>
    <sheet name="Estimación de muestras" sheetId="12" r:id="rId1"/>
    <sheet name="GNA Transformadas inversas" sheetId="4" r:id="rId2"/>
    <sheet name="GNA Método Multiplicativo" sheetId="8" r:id="rId3"/>
    <sheet name="GNA Método Midsquare" sheetId="23" r:id="rId4"/>
    <sheet name="1 Montecarlo Alq trajes " sheetId="1" r:id="rId5"/>
    <sheet name="2 Montecarlo Panadería" sheetId="2" r:id="rId6"/>
    <sheet name="3 Montecarlo Nueva publicidad" sheetId="3" r:id="rId7"/>
    <sheet name="extra 1 Montecarlo Serv Téc" sheetId="9" r:id="rId8"/>
    <sheet name="extra 2 Montecarlo Médico" sheetId="11" r:id="rId9"/>
    <sheet name="extra 3 Montecarlo Vend Diarios" sheetId="10" r:id="rId10"/>
    <sheet name="Simulación de líneas de espera" sheetId="20" r:id="rId11"/>
    <sheet name="S Líneas 1 Tienda manjares" sheetId="13" r:id="rId12"/>
    <sheet name="S Líneas 2 Muelle" sheetId="15" r:id="rId13"/>
    <sheet name="S Líneas 3 Juzgado" sheetId="21" r:id="rId14"/>
    <sheet name="S Líneas 4 Cinta transp" sheetId="18" r:id="rId15"/>
    <sheet name="S Líneas 5 oficina de correos" sheetId="19" r:id="rId16"/>
    <sheet name="S.Stocks 1 Cueros" sheetId="5" r:id="rId17"/>
    <sheet name="S.Stocks 2 Neumáticos V1" sheetId="6" r:id="rId18"/>
    <sheet name="S.Stocks 3 Producto emblemático" sheetId="7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2" l="1"/>
  <c r="D12" i="8" l="1"/>
  <c r="C12" i="8"/>
  <c r="B12" i="8"/>
  <c r="C13" i="23"/>
  <c r="B13" i="23"/>
  <c r="F4" i="12" l="1"/>
  <c r="C4" i="12"/>
  <c r="O3" i="6" l="1"/>
  <c r="N3" i="6"/>
  <c r="M3" i="6"/>
  <c r="L8" i="6"/>
  <c r="L3" i="6"/>
  <c r="J3" i="6"/>
  <c r="J5" i="6" l="1"/>
  <c r="J4" i="6"/>
  <c r="L17" i="6"/>
  <c r="I4" i="6"/>
  <c r="I3" i="6"/>
  <c r="G3" i="6"/>
  <c r="H3" i="6"/>
  <c r="F3" i="6"/>
  <c r="E3" i="6"/>
  <c r="C3" i="6"/>
  <c r="C20" i="5" l="1"/>
  <c r="C19" i="5"/>
  <c r="C18" i="5"/>
  <c r="C17" i="5"/>
  <c r="C16" i="5"/>
  <c r="J7" i="5"/>
  <c r="J6" i="5"/>
  <c r="J4" i="5"/>
  <c r="I5" i="5"/>
  <c r="I4" i="5"/>
  <c r="K4" i="5"/>
  <c r="G4" i="5"/>
  <c r="C7" i="5"/>
  <c r="C6" i="5"/>
  <c r="C5" i="5"/>
  <c r="F5" i="5"/>
  <c r="F4" i="5"/>
  <c r="E4" i="5"/>
  <c r="J5" i="5"/>
  <c r="K5" i="5"/>
  <c r="D7" i="5"/>
  <c r="D6" i="5"/>
  <c r="D5" i="5"/>
  <c r="G36" i="13" l="1"/>
  <c r="G21" i="13"/>
  <c r="K36" i="13"/>
  <c r="R17" i="13"/>
  <c r="R16" i="13"/>
  <c r="R15" i="13"/>
  <c r="P15" i="13"/>
  <c r="E34" i="13"/>
  <c r="M15" i="13"/>
  <c r="L16" i="13"/>
  <c r="L15" i="13"/>
  <c r="J16" i="13" l="1"/>
  <c r="J32" i="13"/>
  <c r="J15" i="13"/>
  <c r="J17" i="13"/>
  <c r="J18" i="13"/>
  <c r="J19" i="13"/>
  <c r="J20" i="13"/>
  <c r="J21" i="13"/>
  <c r="J22" i="13"/>
  <c r="J23" i="13"/>
  <c r="J31" i="13"/>
  <c r="J30" i="13"/>
  <c r="J29" i="13"/>
  <c r="J28" i="13"/>
  <c r="J27" i="13"/>
  <c r="J26" i="13"/>
  <c r="J25" i="13"/>
  <c r="J24" i="13"/>
  <c r="I22" i="13"/>
  <c r="H22" i="13"/>
  <c r="M16" i="13"/>
  <c r="I15" i="13"/>
  <c r="I19" i="13"/>
  <c r="I18" i="13"/>
  <c r="I17" i="13"/>
  <c r="I16" i="13"/>
  <c r="I31" i="13"/>
  <c r="G15" i="13"/>
  <c r="I3" i="13" l="1"/>
  <c r="H15" i="13"/>
  <c r="I2" i="13"/>
  <c r="D15" i="13"/>
  <c r="E16" i="13"/>
  <c r="E15" i="13"/>
  <c r="F8" i="13" l="1"/>
  <c r="F7" i="13"/>
  <c r="I4" i="13" l="1"/>
  <c r="C16" i="15" l="1"/>
  <c r="O3" i="15"/>
  <c r="N3" i="15"/>
  <c r="K4" i="15"/>
  <c r="K3" i="15"/>
  <c r="M4" i="15"/>
  <c r="C4" i="15"/>
  <c r="C17" i="21"/>
  <c r="C16" i="21"/>
  <c r="C15" i="21"/>
  <c r="C14" i="21"/>
  <c r="S6" i="18"/>
  <c r="M6" i="18"/>
  <c r="N6" i="18"/>
  <c r="Q4" i="21" l="1"/>
  <c r="Q5" i="21"/>
  <c r="Q6" i="21"/>
  <c r="P4" i="21"/>
  <c r="P3" i="21"/>
  <c r="L3" i="21"/>
  <c r="L4" i="21"/>
  <c r="K5" i="21"/>
  <c r="K4" i="21"/>
  <c r="O6" i="21"/>
  <c r="K3" i="21"/>
  <c r="N3" i="21"/>
  <c r="O3" i="21"/>
  <c r="J4" i="21"/>
  <c r="J3" i="21"/>
  <c r="Q7" i="21"/>
  <c r="Q15" i="21"/>
  <c r="O4" i="21"/>
  <c r="K6" i="21"/>
  <c r="N4" i="21"/>
  <c r="L6" i="21"/>
  <c r="L5" i="21"/>
  <c r="C4" i="21"/>
  <c r="I6" i="21"/>
  <c r="I5" i="21"/>
  <c r="I4" i="21"/>
  <c r="I3" i="21"/>
  <c r="J10" i="21"/>
  <c r="J17" i="21"/>
  <c r="I20" i="21"/>
  <c r="J9" i="21"/>
  <c r="J8" i="21"/>
  <c r="J5" i="21"/>
  <c r="C5" i="21"/>
  <c r="N12" i="10" l="1"/>
  <c r="N11" i="10"/>
  <c r="M11" i="10"/>
  <c r="L11" i="10"/>
  <c r="K11" i="10"/>
  <c r="J11" i="10"/>
  <c r="H11" i="10"/>
  <c r="G11" i="10"/>
  <c r="G12" i="10"/>
  <c r="F11" i="10"/>
  <c r="E11" i="10"/>
  <c r="E12" i="10"/>
  <c r="F13" i="10"/>
  <c r="F12" i="10"/>
  <c r="E20" i="10"/>
  <c r="E13" i="10"/>
  <c r="H13" i="10"/>
  <c r="N14" i="10"/>
  <c r="M14" i="10"/>
  <c r="L14" i="10"/>
  <c r="K14" i="10"/>
  <c r="J15" i="10"/>
  <c r="G14" i="10"/>
  <c r="E15" i="10"/>
  <c r="G22" i="10" l="1"/>
  <c r="E12" i="11" l="1"/>
  <c r="K12" i="11"/>
  <c r="K16" i="11"/>
  <c r="K18" i="11"/>
  <c r="K17" i="11"/>
  <c r="G15" i="11"/>
  <c r="J16" i="11"/>
  <c r="J17" i="11"/>
  <c r="J15" i="11"/>
  <c r="G16" i="11"/>
  <c r="F18" i="11"/>
  <c r="F15" i="11"/>
  <c r="F16" i="11"/>
  <c r="K28" i="11"/>
  <c r="L6" i="9"/>
  <c r="K6" i="9"/>
  <c r="J6" i="9"/>
  <c r="G7" i="9"/>
  <c r="I6" i="9"/>
  <c r="H7" i="9"/>
  <c r="H6" i="9"/>
  <c r="G6" i="9"/>
  <c r="G17" i="11" l="1"/>
  <c r="G18" i="11" s="1"/>
  <c r="J18" i="11" s="1"/>
  <c r="I27" i="3" l="1"/>
  <c r="H27" i="3"/>
  <c r="I15" i="3"/>
  <c r="H15" i="3"/>
  <c r="G18" i="3"/>
  <c r="G17" i="3"/>
  <c r="G16" i="3"/>
  <c r="G15" i="3"/>
  <c r="F15" i="3"/>
  <c r="G27" i="3"/>
  <c r="F16" i="3"/>
  <c r="D27" i="3"/>
  <c r="E27" i="3"/>
  <c r="E15" i="3"/>
  <c r="L28" i="2"/>
  <c r="L39" i="2"/>
  <c r="J40" i="2"/>
  <c r="J39" i="2"/>
  <c r="E51" i="2"/>
  <c r="E45" i="2"/>
  <c r="E39" i="2"/>
  <c r="I28" i="2"/>
  <c r="H28" i="2"/>
  <c r="J28" i="2"/>
  <c r="H29" i="2"/>
  <c r="G29" i="2"/>
  <c r="F20" i="2"/>
  <c r="H14" i="1"/>
  <c r="H12" i="1"/>
  <c r="I14" i="1"/>
  <c r="J14" i="1"/>
  <c r="J3" i="1"/>
  <c r="I3" i="1"/>
  <c r="H3" i="1"/>
  <c r="H4" i="1"/>
  <c r="G3" i="1"/>
  <c r="F18" i="1"/>
  <c r="F19" i="1"/>
  <c r="E20" i="1"/>
  <c r="E19" i="1"/>
  <c r="D19" i="1"/>
  <c r="D18" i="1"/>
  <c r="N6" i="21" l="1"/>
  <c r="N7" i="21"/>
  <c r="N8" i="21"/>
  <c r="N10" i="21"/>
  <c r="N11" i="21"/>
  <c r="N12" i="21"/>
  <c r="N14" i="21"/>
  <c r="N15" i="21"/>
  <c r="N16" i="21"/>
  <c r="N18" i="21"/>
  <c r="N19" i="21"/>
  <c r="N20" i="21"/>
  <c r="I10" i="21"/>
  <c r="I14" i="21"/>
  <c r="I7" i="21"/>
  <c r="N5" i="21"/>
  <c r="E16" i="3"/>
  <c r="E17" i="3"/>
  <c r="E18" i="3"/>
  <c r="E19" i="3"/>
  <c r="E20" i="3"/>
  <c r="E21" i="3"/>
  <c r="E22" i="3"/>
  <c r="E23" i="3"/>
  <c r="E24" i="3"/>
  <c r="G30" i="2"/>
  <c r="G31" i="2" s="1"/>
  <c r="G32" i="2" s="1"/>
  <c r="G33" i="2" s="1"/>
  <c r="G34" i="2" s="1"/>
  <c r="G35" i="2" s="1"/>
  <c r="G36" i="2" s="1"/>
  <c r="G37" i="2" s="1"/>
  <c r="I4" i="12"/>
  <c r="H4" i="12" s="1"/>
  <c r="D13" i="23" l="1"/>
  <c r="B14" i="23" s="1"/>
  <c r="C14" i="23" s="1"/>
  <c r="D14" i="23" s="1"/>
  <c r="B15" i="23" s="1"/>
  <c r="C15" i="23" s="1"/>
  <c r="D15" i="23" s="1"/>
  <c r="B16" i="23" s="1"/>
  <c r="C16" i="23" s="1"/>
  <c r="D16" i="23" s="1"/>
  <c r="B17" i="23" s="1"/>
  <c r="C17" i="23" s="1"/>
  <c r="D17" i="23" s="1"/>
  <c r="B18" i="23" s="1"/>
  <c r="C18" i="23" s="1"/>
  <c r="D18" i="23" s="1"/>
  <c r="B19" i="23" s="1"/>
  <c r="C19" i="23" s="1"/>
  <c r="D19" i="23" s="1"/>
  <c r="B20" i="23" s="1"/>
  <c r="C20" i="23" s="1"/>
  <c r="D20" i="23" s="1"/>
  <c r="B21" i="23" s="1"/>
  <c r="C21" i="23" s="1"/>
  <c r="D21" i="23" s="1"/>
  <c r="B22" i="23" s="1"/>
  <c r="C22" i="23" s="1"/>
  <c r="D22" i="23" s="1"/>
  <c r="B23" i="23" s="1"/>
  <c r="C23" i="23" s="1"/>
  <c r="D23" i="23" s="1"/>
  <c r="B24" i="23" s="1"/>
  <c r="C24" i="23" s="1"/>
  <c r="D24" i="23" s="1"/>
  <c r="B25" i="23" s="1"/>
  <c r="C25" i="23" s="1"/>
  <c r="D25" i="23" s="1"/>
  <c r="B26" i="23" s="1"/>
  <c r="C26" i="23" s="1"/>
  <c r="D26" i="23" s="1"/>
  <c r="B27" i="23" s="1"/>
  <c r="C27" i="23" s="1"/>
  <c r="D27" i="23" s="1"/>
  <c r="B28" i="23" s="1"/>
  <c r="C28" i="23" s="1"/>
  <c r="D28" i="23" s="1"/>
  <c r="B29" i="23" s="1"/>
  <c r="C29" i="23" s="1"/>
  <c r="D29" i="23" s="1"/>
  <c r="B30" i="23" s="1"/>
  <c r="C30" i="23" s="1"/>
  <c r="D30" i="23" s="1"/>
  <c r="B31" i="23" s="1"/>
  <c r="C31" i="23" s="1"/>
  <c r="D31" i="23" s="1"/>
  <c r="B32" i="23" s="1"/>
  <c r="C32" i="23" s="1"/>
  <c r="D32" i="23" s="1"/>
  <c r="B33" i="23" s="1"/>
  <c r="C33" i="23" s="1"/>
  <c r="D33" i="23" s="1"/>
  <c r="B34" i="23" s="1"/>
  <c r="C34" i="23" s="1"/>
  <c r="D34" i="23" s="1"/>
  <c r="B35" i="23" s="1"/>
  <c r="C35" i="23" s="1"/>
  <c r="D35" i="23" s="1"/>
  <c r="B36" i="23" s="1"/>
  <c r="C36" i="23" s="1"/>
  <c r="D36" i="23" s="1"/>
  <c r="I13" i="21"/>
  <c r="I9" i="21"/>
  <c r="N17" i="21"/>
  <c r="N13" i="21"/>
  <c r="N9" i="21"/>
  <c r="I12" i="21"/>
  <c r="I8" i="21"/>
  <c r="I11" i="21"/>
  <c r="J4" i="12"/>
  <c r="C4" i="6" l="1"/>
  <c r="C5" i="6"/>
  <c r="C6" i="6"/>
  <c r="C7" i="6"/>
  <c r="C8" i="6"/>
  <c r="C9" i="6"/>
  <c r="C10" i="6"/>
  <c r="C11" i="6"/>
  <c r="C12" i="6"/>
  <c r="F17" i="3"/>
  <c r="F18" i="3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Q3" i="19" l="1"/>
  <c r="R3" i="19"/>
  <c r="R4" i="19"/>
  <c r="Q5" i="19"/>
  <c r="R5" i="19"/>
  <c r="Q6" i="19"/>
  <c r="R6" i="19"/>
  <c r="Q7" i="19"/>
  <c r="Q8" i="19"/>
  <c r="R9" i="19"/>
  <c r="Q10" i="19"/>
  <c r="R10" i="19"/>
  <c r="R11" i="19"/>
  <c r="Q12" i="19"/>
  <c r="R12" i="19"/>
  <c r="P4" i="19"/>
  <c r="P7" i="19"/>
  <c r="P8" i="19"/>
  <c r="P9" i="19"/>
  <c r="P11" i="19"/>
  <c r="M6" i="19"/>
  <c r="N6" i="19" s="1"/>
  <c r="M22" i="19"/>
  <c r="N22" i="19" s="1"/>
  <c r="M30" i="19"/>
  <c r="N30" i="19" s="1"/>
  <c r="M38" i="19"/>
  <c r="N38" i="19" s="1"/>
  <c r="M54" i="19"/>
  <c r="N54" i="19" s="1"/>
  <c r="M62" i="19"/>
  <c r="N62" i="19" s="1"/>
  <c r="M70" i="19"/>
  <c r="N70" i="19" s="1"/>
  <c r="M86" i="19"/>
  <c r="N86" i="19" s="1"/>
  <c r="M94" i="19"/>
  <c r="N94" i="19" s="1"/>
  <c r="H3" i="19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C4" i="19"/>
  <c r="M7" i="19" s="1"/>
  <c r="R7" i="19" s="1"/>
  <c r="C16" i="18"/>
  <c r="Q8" i="18"/>
  <c r="Q9" i="18"/>
  <c r="Q10" i="18"/>
  <c r="Q12" i="18"/>
  <c r="Q14" i="18"/>
  <c r="Q15" i="18"/>
  <c r="Q17" i="18"/>
  <c r="Q19" i="18"/>
  <c r="Q20" i="18"/>
  <c r="Q21" i="18"/>
  <c r="Q7" i="18"/>
  <c r="T7" i="18"/>
  <c r="T8" i="18"/>
  <c r="T9" i="18"/>
  <c r="T10" i="18"/>
  <c r="T12" i="18"/>
  <c r="T14" i="18"/>
  <c r="T15" i="18"/>
  <c r="T17" i="18"/>
  <c r="T19" i="18"/>
  <c r="T20" i="18"/>
  <c r="T21" i="18"/>
  <c r="T6" i="18"/>
  <c r="Q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J6" i="18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K2" i="18"/>
  <c r="M2" i="18" s="1"/>
  <c r="I22" i="21"/>
  <c r="I21" i="21"/>
  <c r="I19" i="21"/>
  <c r="I18" i="21"/>
  <c r="I17" i="21"/>
  <c r="I16" i="21"/>
  <c r="I15" i="21"/>
  <c r="C15" i="15"/>
  <c r="F17" i="11"/>
  <c r="F19" i="11"/>
  <c r="F20" i="11"/>
  <c r="F21" i="11"/>
  <c r="F22" i="11"/>
  <c r="F23" i="11"/>
  <c r="F24" i="11"/>
  <c r="M27" i="11"/>
  <c r="K29" i="11"/>
  <c r="K27" i="11"/>
  <c r="L28" i="11" s="1"/>
  <c r="E27" i="11"/>
  <c r="F28" i="11" s="1"/>
  <c r="K30" i="11" l="1"/>
  <c r="M30" i="11" s="1"/>
  <c r="L30" i="11"/>
  <c r="M29" i="11"/>
  <c r="G27" i="11"/>
  <c r="E28" i="11"/>
  <c r="M78" i="19"/>
  <c r="N78" i="19" s="1"/>
  <c r="M46" i="19"/>
  <c r="N46" i="19" s="1"/>
  <c r="M14" i="19"/>
  <c r="N14" i="19" s="1"/>
  <c r="P6" i="19"/>
  <c r="L29" i="11"/>
  <c r="M28" i="11"/>
  <c r="N7" i="19"/>
  <c r="M85" i="19"/>
  <c r="N85" i="19" s="1"/>
  <c r="M69" i="19"/>
  <c r="N69" i="19" s="1"/>
  <c r="M53" i="19"/>
  <c r="N53" i="19" s="1"/>
  <c r="M45" i="19"/>
  <c r="N45" i="19" s="1"/>
  <c r="M37" i="19"/>
  <c r="N37" i="19" s="1"/>
  <c r="M21" i="19"/>
  <c r="N21" i="19" s="1"/>
  <c r="M13" i="19"/>
  <c r="N13" i="19" s="1"/>
  <c r="M5" i="19"/>
  <c r="M92" i="19"/>
  <c r="N92" i="19" s="1"/>
  <c r="M84" i="19"/>
  <c r="N84" i="19" s="1"/>
  <c r="M76" i="19"/>
  <c r="N76" i="19" s="1"/>
  <c r="M68" i="19"/>
  <c r="N68" i="19" s="1"/>
  <c r="M60" i="19"/>
  <c r="N60" i="19" s="1"/>
  <c r="M52" i="19"/>
  <c r="N52" i="19" s="1"/>
  <c r="M44" i="19"/>
  <c r="N44" i="19" s="1"/>
  <c r="M36" i="19"/>
  <c r="N36" i="19" s="1"/>
  <c r="M28" i="19"/>
  <c r="N28" i="19" s="1"/>
  <c r="M20" i="19"/>
  <c r="N20" i="19" s="1"/>
  <c r="M12" i="19"/>
  <c r="M4" i="19"/>
  <c r="M3" i="19"/>
  <c r="M91" i="19"/>
  <c r="N91" i="19" s="1"/>
  <c r="M83" i="19"/>
  <c r="N83" i="19" s="1"/>
  <c r="M75" i="19"/>
  <c r="N75" i="19" s="1"/>
  <c r="M67" i="19"/>
  <c r="N67" i="19" s="1"/>
  <c r="M59" i="19"/>
  <c r="N59" i="19" s="1"/>
  <c r="M51" i="19"/>
  <c r="N51" i="19" s="1"/>
  <c r="M43" i="19"/>
  <c r="N43" i="19" s="1"/>
  <c r="M35" i="19"/>
  <c r="N35" i="19" s="1"/>
  <c r="M27" i="19"/>
  <c r="N27" i="19" s="1"/>
  <c r="M19" i="19"/>
  <c r="N19" i="19" s="1"/>
  <c r="M11" i="19"/>
  <c r="I3" i="19"/>
  <c r="P3" i="19" s="1"/>
  <c r="M93" i="19"/>
  <c r="N93" i="19" s="1"/>
  <c r="M77" i="19"/>
  <c r="N77" i="19" s="1"/>
  <c r="M61" i="19"/>
  <c r="N61" i="19" s="1"/>
  <c r="M29" i="19"/>
  <c r="N29" i="19" s="1"/>
  <c r="M98" i="19"/>
  <c r="N98" i="19" s="1"/>
  <c r="M90" i="19"/>
  <c r="N90" i="19" s="1"/>
  <c r="M82" i="19"/>
  <c r="N82" i="19" s="1"/>
  <c r="M74" i="19"/>
  <c r="N74" i="19" s="1"/>
  <c r="M66" i="19"/>
  <c r="N66" i="19" s="1"/>
  <c r="M58" i="19"/>
  <c r="N58" i="19" s="1"/>
  <c r="M50" i="19"/>
  <c r="N50" i="19" s="1"/>
  <c r="M42" i="19"/>
  <c r="N42" i="19" s="1"/>
  <c r="M34" i="19"/>
  <c r="N34" i="19" s="1"/>
  <c r="M26" i="19"/>
  <c r="N26" i="19" s="1"/>
  <c r="M18" i="19"/>
  <c r="N18" i="19" s="1"/>
  <c r="M10" i="19"/>
  <c r="M97" i="19"/>
  <c r="N97" i="19" s="1"/>
  <c r="M89" i="19"/>
  <c r="N89" i="19" s="1"/>
  <c r="M81" i="19"/>
  <c r="N81" i="19" s="1"/>
  <c r="M73" i="19"/>
  <c r="N73" i="19" s="1"/>
  <c r="M65" i="19"/>
  <c r="N65" i="19" s="1"/>
  <c r="M57" i="19"/>
  <c r="N57" i="19" s="1"/>
  <c r="M49" i="19"/>
  <c r="N49" i="19" s="1"/>
  <c r="M41" i="19"/>
  <c r="N41" i="19" s="1"/>
  <c r="M33" i="19"/>
  <c r="N33" i="19" s="1"/>
  <c r="M25" i="19"/>
  <c r="N25" i="19" s="1"/>
  <c r="M17" i="19"/>
  <c r="N17" i="19" s="1"/>
  <c r="M9" i="19"/>
  <c r="M96" i="19"/>
  <c r="N96" i="19" s="1"/>
  <c r="M88" i="19"/>
  <c r="N88" i="19" s="1"/>
  <c r="M80" i="19"/>
  <c r="N80" i="19" s="1"/>
  <c r="M72" i="19"/>
  <c r="N72" i="19" s="1"/>
  <c r="M64" i="19"/>
  <c r="N64" i="19" s="1"/>
  <c r="M56" i="19"/>
  <c r="N56" i="19" s="1"/>
  <c r="M48" i="19"/>
  <c r="N48" i="19" s="1"/>
  <c r="M40" i="19"/>
  <c r="N40" i="19" s="1"/>
  <c r="M32" i="19"/>
  <c r="N32" i="19" s="1"/>
  <c r="M24" i="19"/>
  <c r="N24" i="19" s="1"/>
  <c r="M16" i="19"/>
  <c r="N16" i="19" s="1"/>
  <c r="M8" i="19"/>
  <c r="M95" i="19"/>
  <c r="N95" i="19" s="1"/>
  <c r="M87" i="19"/>
  <c r="N87" i="19" s="1"/>
  <c r="M79" i="19"/>
  <c r="N79" i="19" s="1"/>
  <c r="M71" i="19"/>
  <c r="N71" i="19" s="1"/>
  <c r="M63" i="19"/>
  <c r="N63" i="19" s="1"/>
  <c r="M55" i="19"/>
  <c r="N55" i="19" s="1"/>
  <c r="M47" i="19"/>
  <c r="N47" i="19" s="1"/>
  <c r="M39" i="19"/>
  <c r="N39" i="19" s="1"/>
  <c r="M31" i="19"/>
  <c r="N31" i="19" s="1"/>
  <c r="M23" i="19"/>
  <c r="N23" i="19" s="1"/>
  <c r="M15" i="19"/>
  <c r="N15" i="19" s="1"/>
  <c r="K6" i="18"/>
  <c r="L3" i="18"/>
  <c r="K3" i="18"/>
  <c r="M3" i="18" s="1"/>
  <c r="W6" i="18" l="1"/>
  <c r="V7" i="18"/>
  <c r="F29" i="11"/>
  <c r="E29" i="11"/>
  <c r="G28" i="11"/>
  <c r="N8" i="19"/>
  <c r="R8" i="19"/>
  <c r="Q9" i="19"/>
  <c r="N9" i="19"/>
  <c r="N10" i="19"/>
  <c r="P10" i="19"/>
  <c r="N3" i="19"/>
  <c r="Q11" i="19"/>
  <c r="N11" i="19"/>
  <c r="Q4" i="19"/>
  <c r="N4" i="19"/>
  <c r="P5" i="19"/>
  <c r="N5" i="19"/>
  <c r="P12" i="19"/>
  <c r="N12" i="19"/>
  <c r="J6" i="21"/>
  <c r="U6" i="18"/>
  <c r="K7" i="18"/>
  <c r="N7" i="18" s="1"/>
  <c r="W7" i="18" s="1"/>
  <c r="C5" i="15"/>
  <c r="M3" i="15" s="1"/>
  <c r="R18" i="13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P32" i="13"/>
  <c r="P31" i="13"/>
  <c r="P30" i="13"/>
  <c r="P29" i="13"/>
  <c r="P28" i="13"/>
  <c r="H16" i="13"/>
  <c r="H17" i="13"/>
  <c r="H18" i="13"/>
  <c r="H19" i="13"/>
  <c r="H20" i="13"/>
  <c r="H21" i="13"/>
  <c r="H23" i="13"/>
  <c r="H24" i="13"/>
  <c r="H25" i="13"/>
  <c r="H26" i="13"/>
  <c r="H27" i="13"/>
  <c r="H28" i="13"/>
  <c r="H29" i="13"/>
  <c r="H30" i="13"/>
  <c r="H31" i="13"/>
  <c r="H32" i="13"/>
  <c r="G16" i="13"/>
  <c r="G17" i="13"/>
  <c r="G18" i="13"/>
  <c r="G19" i="13"/>
  <c r="G20" i="13"/>
  <c r="G22" i="13"/>
  <c r="G23" i="13"/>
  <c r="G24" i="13"/>
  <c r="G25" i="13"/>
  <c r="G26" i="13"/>
  <c r="G27" i="13"/>
  <c r="G28" i="13"/>
  <c r="G29" i="13"/>
  <c r="G30" i="13"/>
  <c r="G31" i="13"/>
  <c r="G32" i="13"/>
  <c r="D34" i="13"/>
  <c r="D33" i="13"/>
  <c r="D32" i="13"/>
  <c r="D31" i="13"/>
  <c r="D30" i="13"/>
  <c r="D29" i="13"/>
  <c r="D28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G19" i="11" l="1"/>
  <c r="J19" i="11" s="1"/>
  <c r="E30" i="11"/>
  <c r="G29" i="11"/>
  <c r="F30" i="11"/>
  <c r="J7" i="21"/>
  <c r="J11" i="21" s="1"/>
  <c r="J12" i="21" s="1"/>
  <c r="J13" i="21" s="1"/>
  <c r="J14" i="21" s="1"/>
  <c r="J15" i="21" s="1"/>
  <c r="J16" i="21" s="1"/>
  <c r="J18" i="21" s="1"/>
  <c r="J19" i="21" s="1"/>
  <c r="J20" i="21" s="1"/>
  <c r="K19" i="11"/>
  <c r="V8" i="18"/>
  <c r="U7" i="18"/>
  <c r="K8" i="18"/>
  <c r="N8" i="18" s="1"/>
  <c r="W8" i="18" s="1"/>
  <c r="I4" i="15"/>
  <c r="I12" i="15"/>
  <c r="I5" i="15"/>
  <c r="I3" i="15"/>
  <c r="J3" i="15" s="1"/>
  <c r="I6" i="15"/>
  <c r="I9" i="15"/>
  <c r="I11" i="15"/>
  <c r="I7" i="15"/>
  <c r="I8" i="15"/>
  <c r="I10" i="15"/>
  <c r="N12" i="8"/>
  <c r="O12" i="8" s="1"/>
  <c r="J12" i="8"/>
  <c r="K12" i="8" s="1"/>
  <c r="F12" i="8"/>
  <c r="G12" i="8" s="1"/>
  <c r="B13" i="8"/>
  <c r="C13" i="8" s="1"/>
  <c r="O24" i="7"/>
  <c r="M24" i="7"/>
  <c r="P24" i="7" s="1"/>
  <c r="O4" i="7"/>
  <c r="M4" i="7"/>
  <c r="N4" i="7" s="1"/>
  <c r="B59" i="7"/>
  <c r="C59" i="7" s="1"/>
  <c r="B60" i="7" s="1"/>
  <c r="C60" i="7" s="1"/>
  <c r="B49" i="7"/>
  <c r="C49" i="7" s="1"/>
  <c r="B50" i="7" s="1"/>
  <c r="C50" i="7" s="1"/>
  <c r="B39" i="7"/>
  <c r="C39" i="7" s="1"/>
  <c r="B40" i="7" s="1"/>
  <c r="C40" i="7" s="1"/>
  <c r="B29" i="7"/>
  <c r="C29" i="7" s="1"/>
  <c r="B30" i="7" s="1"/>
  <c r="C30" i="7" s="1"/>
  <c r="D30" i="7" s="1"/>
  <c r="G20" i="11" l="1"/>
  <c r="K20" i="11"/>
  <c r="E31" i="11"/>
  <c r="G31" i="11" s="1"/>
  <c r="G30" i="11"/>
  <c r="F31" i="11"/>
  <c r="O5" i="21"/>
  <c r="V9" i="18"/>
  <c r="K9" i="18"/>
  <c r="N9" i="18" s="1"/>
  <c r="U8" i="18"/>
  <c r="J4" i="15"/>
  <c r="B14" i="8"/>
  <c r="C14" i="8" s="1"/>
  <c r="D13" i="8"/>
  <c r="F13" i="8"/>
  <c r="G13" i="8" s="1"/>
  <c r="H12" i="8"/>
  <c r="N13" i="8"/>
  <c r="O13" i="8" s="1"/>
  <c r="P12" i="8"/>
  <c r="J13" i="8"/>
  <c r="K13" i="8" s="1"/>
  <c r="L12" i="8"/>
  <c r="R24" i="7"/>
  <c r="U24" i="7" s="1"/>
  <c r="T24" i="7"/>
  <c r="N24" i="7"/>
  <c r="P4" i="7"/>
  <c r="D39" i="7"/>
  <c r="D49" i="7"/>
  <c r="D29" i="7"/>
  <c r="D59" i="7"/>
  <c r="D60" i="7"/>
  <c r="B61" i="7"/>
  <c r="C61" i="7" s="1"/>
  <c r="D50" i="7"/>
  <c r="B51" i="7"/>
  <c r="C51" i="7" s="1"/>
  <c r="D40" i="7"/>
  <c r="B41" i="7"/>
  <c r="C41" i="7" s="1"/>
  <c r="B31" i="7"/>
  <c r="C31" i="7" s="1"/>
  <c r="B32" i="7" s="1"/>
  <c r="J20" i="11" l="1"/>
  <c r="K21" i="11" s="1"/>
  <c r="J5" i="15"/>
  <c r="P5" i="21"/>
  <c r="V10" i="18"/>
  <c r="W9" i="18"/>
  <c r="K10" i="18"/>
  <c r="N10" i="18" s="1"/>
  <c r="W10" i="18" s="1"/>
  <c r="U9" i="18"/>
  <c r="J14" i="8"/>
  <c r="K14" i="8" s="1"/>
  <c r="L13" i="8"/>
  <c r="H13" i="8"/>
  <c r="F14" i="8"/>
  <c r="G14" i="8" s="1"/>
  <c r="P13" i="8"/>
  <c r="N14" i="8"/>
  <c r="O14" i="8" s="1"/>
  <c r="D14" i="8"/>
  <c r="B15" i="8"/>
  <c r="C15" i="8" s="1"/>
  <c r="Y24" i="7"/>
  <c r="W24" i="7"/>
  <c r="Z24" i="7" s="1"/>
  <c r="S24" i="7"/>
  <c r="R4" i="7"/>
  <c r="T4" i="7"/>
  <c r="D61" i="7"/>
  <c r="B62" i="7"/>
  <c r="C62" i="7" s="1"/>
  <c r="B52" i="7"/>
  <c r="C52" i="7" s="1"/>
  <c r="D51" i="7"/>
  <c r="B42" i="7"/>
  <c r="C42" i="7" s="1"/>
  <c r="D41" i="7"/>
  <c r="D31" i="7"/>
  <c r="C32" i="7"/>
  <c r="D32" i="7" s="1"/>
  <c r="G21" i="11" l="1"/>
  <c r="X24" i="7"/>
  <c r="S4" i="7"/>
  <c r="U4" i="7"/>
  <c r="P6" i="21"/>
  <c r="K7" i="21"/>
  <c r="V11" i="18"/>
  <c r="K11" i="18"/>
  <c r="N11" i="18" s="1"/>
  <c r="U10" i="18"/>
  <c r="B16" i="8"/>
  <c r="C16" i="8" s="1"/>
  <c r="D15" i="8"/>
  <c r="N15" i="8"/>
  <c r="O15" i="8" s="1"/>
  <c r="P14" i="8"/>
  <c r="F15" i="8"/>
  <c r="G15" i="8" s="1"/>
  <c r="H14" i="8"/>
  <c r="J15" i="8"/>
  <c r="K15" i="8" s="1"/>
  <c r="L14" i="8"/>
  <c r="AB24" i="7"/>
  <c r="AE24" i="7" s="1"/>
  <c r="AD24" i="7"/>
  <c r="D62" i="7"/>
  <c r="B63" i="7"/>
  <c r="C63" i="7" s="1"/>
  <c r="B53" i="7"/>
  <c r="C53" i="7" s="1"/>
  <c r="D52" i="7"/>
  <c r="B43" i="7"/>
  <c r="C43" i="7" s="1"/>
  <c r="D42" i="7"/>
  <c r="B33" i="7"/>
  <c r="C33" i="7" s="1"/>
  <c r="J21" i="11" l="1"/>
  <c r="G22" i="11" s="1"/>
  <c r="O7" i="21"/>
  <c r="P7" i="21" s="1"/>
  <c r="L7" i="21"/>
  <c r="Q8" i="21"/>
  <c r="V12" i="18"/>
  <c r="W11" i="18"/>
  <c r="Q11" i="18"/>
  <c r="T11" i="18" s="1"/>
  <c r="U11" i="18" s="1"/>
  <c r="K12" i="18"/>
  <c r="N12" i="18" s="1"/>
  <c r="L15" i="8"/>
  <c r="J16" i="8"/>
  <c r="K16" i="8" s="1"/>
  <c r="H15" i="8"/>
  <c r="F16" i="8"/>
  <c r="G16" i="8" s="1"/>
  <c r="N16" i="8"/>
  <c r="O16" i="8" s="1"/>
  <c r="P15" i="8"/>
  <c r="B17" i="8"/>
  <c r="C17" i="8" s="1"/>
  <c r="D16" i="8"/>
  <c r="AI24" i="7"/>
  <c r="AG24" i="7"/>
  <c r="AJ24" i="7" s="1"/>
  <c r="AC24" i="7"/>
  <c r="W4" i="7"/>
  <c r="Y4" i="7"/>
  <c r="B64" i="7"/>
  <c r="C64" i="7" s="1"/>
  <c r="D63" i="7"/>
  <c r="B54" i="7"/>
  <c r="C54" i="7" s="1"/>
  <c r="D53" i="7"/>
  <c r="D43" i="7"/>
  <c r="B44" i="7"/>
  <c r="C44" i="7" s="1"/>
  <c r="B34" i="7"/>
  <c r="C34" i="7" s="1"/>
  <c r="D33" i="7"/>
  <c r="J22" i="11" l="1"/>
  <c r="G23" i="11" s="1"/>
  <c r="J23" i="11" s="1"/>
  <c r="K22" i="11"/>
  <c r="X4" i="7"/>
  <c r="Z4" i="7"/>
  <c r="K8" i="21"/>
  <c r="V13" i="18"/>
  <c r="W12" i="18"/>
  <c r="K13" i="18"/>
  <c r="N13" i="18" s="1"/>
  <c r="W13" i="18" s="1"/>
  <c r="U12" i="18"/>
  <c r="B18" i="8"/>
  <c r="C18" i="8" s="1"/>
  <c r="D17" i="8"/>
  <c r="P16" i="8"/>
  <c r="N17" i="8"/>
  <c r="O17" i="8" s="1"/>
  <c r="L16" i="8"/>
  <c r="J17" i="8"/>
  <c r="K17" i="8" s="1"/>
  <c r="F17" i="8"/>
  <c r="G17" i="8" s="1"/>
  <c r="H16" i="8"/>
  <c r="AL24" i="7"/>
  <c r="AO24" i="7" s="1"/>
  <c r="AN24" i="7"/>
  <c r="AH24" i="7"/>
  <c r="AD4" i="7"/>
  <c r="AB4" i="7"/>
  <c r="B65" i="7"/>
  <c r="C65" i="7" s="1"/>
  <c r="D65" i="7" s="1"/>
  <c r="D64" i="7"/>
  <c r="B55" i="7"/>
  <c r="C55" i="7" s="1"/>
  <c r="D55" i="7" s="1"/>
  <c r="D54" i="7"/>
  <c r="D44" i="7"/>
  <c r="B45" i="7"/>
  <c r="C45" i="7" s="1"/>
  <c r="D45" i="7" s="1"/>
  <c r="B35" i="7"/>
  <c r="C35" i="7" s="1"/>
  <c r="D34" i="7"/>
  <c r="K23" i="11" l="1"/>
  <c r="G24" i="11"/>
  <c r="J24" i="11" s="1"/>
  <c r="K24" i="11"/>
  <c r="O8" i="21"/>
  <c r="L8" i="21"/>
  <c r="AC4" i="7"/>
  <c r="AE4" i="7"/>
  <c r="V14" i="18"/>
  <c r="Q13" i="18"/>
  <c r="T13" i="18" s="1"/>
  <c r="U13" i="18" s="1"/>
  <c r="K14" i="18"/>
  <c r="N14" i="18" s="1"/>
  <c r="D18" i="8"/>
  <c r="B19" i="8"/>
  <c r="C19" i="8" s="1"/>
  <c r="F18" i="8"/>
  <c r="G18" i="8" s="1"/>
  <c r="H17" i="8"/>
  <c r="L17" i="8"/>
  <c r="J18" i="8"/>
  <c r="K18" i="8" s="1"/>
  <c r="P17" i="8"/>
  <c r="N18" i="8"/>
  <c r="O18" i="8" s="1"/>
  <c r="AS24" i="7"/>
  <c r="AV24" i="7" s="1"/>
  <c r="AQ24" i="7"/>
  <c r="K25" i="7" s="1"/>
  <c r="AM24" i="7"/>
  <c r="AI4" i="7"/>
  <c r="AG4" i="7"/>
  <c r="D35" i="7"/>
  <c r="AH4" i="7" l="1"/>
  <c r="AJ4" i="7"/>
  <c r="AL4" i="7" s="1"/>
  <c r="P8" i="21"/>
  <c r="K9" i="21"/>
  <c r="Q9" i="21"/>
  <c r="V15" i="18"/>
  <c r="W14" i="18"/>
  <c r="K15" i="18"/>
  <c r="N15" i="18" s="1"/>
  <c r="U14" i="18"/>
  <c r="P18" i="8"/>
  <c r="N19" i="8"/>
  <c r="O19" i="8" s="1"/>
  <c r="L18" i="8"/>
  <c r="J19" i="8"/>
  <c r="K19" i="8" s="1"/>
  <c r="H18" i="8"/>
  <c r="F19" i="8"/>
  <c r="G19" i="8" s="1"/>
  <c r="D19" i="8"/>
  <c r="B20" i="8"/>
  <c r="C20" i="8" s="1"/>
  <c r="O25" i="7"/>
  <c r="M25" i="7"/>
  <c r="P25" i="7" s="1"/>
  <c r="AR24" i="7"/>
  <c r="AT24" i="7" s="1"/>
  <c r="AW24" i="7" s="1"/>
  <c r="AN4" i="7"/>
  <c r="O9" i="21" l="1"/>
  <c r="L9" i="21"/>
  <c r="V16" i="18"/>
  <c r="W15" i="18"/>
  <c r="K16" i="18"/>
  <c r="N16" i="18" s="1"/>
  <c r="U15" i="18"/>
  <c r="H19" i="8"/>
  <c r="F20" i="8"/>
  <c r="G20" i="8" s="1"/>
  <c r="J20" i="8"/>
  <c r="K20" i="8" s="1"/>
  <c r="L19" i="8"/>
  <c r="N20" i="8"/>
  <c r="O20" i="8" s="1"/>
  <c r="P19" i="8"/>
  <c r="D20" i="8"/>
  <c r="B21" i="8"/>
  <c r="C21" i="8" s="1"/>
  <c r="R25" i="7"/>
  <c r="U25" i="7" s="1"/>
  <c r="T25" i="7"/>
  <c r="N25" i="7"/>
  <c r="AM4" i="7"/>
  <c r="AO4" i="7"/>
  <c r="AQ4" i="7"/>
  <c r="P9" i="21" l="1"/>
  <c r="Q10" i="21"/>
  <c r="K10" i="21"/>
  <c r="V17" i="18"/>
  <c r="W16" i="18"/>
  <c r="Q16" i="18"/>
  <c r="T16" i="18" s="1"/>
  <c r="U16" i="18" s="1"/>
  <c r="K17" i="18"/>
  <c r="N17" i="18" s="1"/>
  <c r="H20" i="8"/>
  <c r="F21" i="8"/>
  <c r="G21" i="8" s="1"/>
  <c r="P20" i="8"/>
  <c r="N21" i="8"/>
  <c r="O21" i="8" s="1"/>
  <c r="L20" i="8"/>
  <c r="J21" i="8"/>
  <c r="K21" i="8" s="1"/>
  <c r="D21" i="8"/>
  <c r="B22" i="8"/>
  <c r="C22" i="8" s="1"/>
  <c r="S25" i="7"/>
  <c r="Y25" i="7"/>
  <c r="W25" i="7"/>
  <c r="Z25" i="7" s="1"/>
  <c r="AS4" i="7"/>
  <c r="AV4" i="7" s="1"/>
  <c r="AR4" i="7"/>
  <c r="AT4" i="7" s="1"/>
  <c r="K5" i="7"/>
  <c r="O5" i="7" s="1"/>
  <c r="AW4" i="7" l="1"/>
  <c r="O10" i="21"/>
  <c r="L10" i="21"/>
  <c r="V18" i="18"/>
  <c r="W17" i="18"/>
  <c r="K18" i="18"/>
  <c r="N18" i="18" s="1"/>
  <c r="U17" i="18"/>
  <c r="L21" i="8"/>
  <c r="J22" i="8"/>
  <c r="K22" i="8" s="1"/>
  <c r="P21" i="8"/>
  <c r="N22" i="8"/>
  <c r="O22" i="8" s="1"/>
  <c r="H21" i="8"/>
  <c r="F22" i="8"/>
  <c r="G22" i="8" s="1"/>
  <c r="D22" i="8"/>
  <c r="B23" i="8"/>
  <c r="C23" i="8" s="1"/>
  <c r="X25" i="7"/>
  <c r="AB25" i="7"/>
  <c r="AE25" i="7" s="1"/>
  <c r="AD25" i="7"/>
  <c r="M5" i="7"/>
  <c r="P5" i="7" s="1"/>
  <c r="Q11" i="21" l="1"/>
  <c r="P10" i="21"/>
  <c r="K11" i="21"/>
  <c r="V19" i="18"/>
  <c r="W18" i="18"/>
  <c r="Q18" i="18"/>
  <c r="T18" i="18" s="1"/>
  <c r="U18" i="18" s="1"/>
  <c r="K19" i="18"/>
  <c r="N19" i="18" s="1"/>
  <c r="J23" i="8"/>
  <c r="K23" i="8" s="1"/>
  <c r="L22" i="8"/>
  <c r="H22" i="8"/>
  <c r="F23" i="8"/>
  <c r="G23" i="8" s="1"/>
  <c r="N23" i="8"/>
  <c r="O23" i="8" s="1"/>
  <c r="P22" i="8"/>
  <c r="D23" i="8"/>
  <c r="B24" i="8"/>
  <c r="C24" i="8" s="1"/>
  <c r="AC25" i="7"/>
  <c r="AI25" i="7"/>
  <c r="AG25" i="7"/>
  <c r="AJ25" i="7" s="1"/>
  <c r="N5" i="7"/>
  <c r="R5" i="7"/>
  <c r="T5" i="7"/>
  <c r="O11" i="21" l="1"/>
  <c r="L11" i="21"/>
  <c r="V20" i="18"/>
  <c r="W19" i="18"/>
  <c r="K20" i="18"/>
  <c r="N20" i="18" s="1"/>
  <c r="U19" i="18"/>
  <c r="J24" i="8"/>
  <c r="K24" i="8" s="1"/>
  <c r="L23" i="8"/>
  <c r="N24" i="8"/>
  <c r="O24" i="8" s="1"/>
  <c r="P23" i="8"/>
  <c r="H23" i="8"/>
  <c r="F24" i="8"/>
  <c r="G24" i="8" s="1"/>
  <c r="B25" i="8"/>
  <c r="C25" i="8" s="1"/>
  <c r="D24" i="8"/>
  <c r="AL25" i="7"/>
  <c r="AO25" i="7" s="1"/>
  <c r="AN25" i="7"/>
  <c r="AH25" i="7"/>
  <c r="S5" i="7"/>
  <c r="U5" i="7"/>
  <c r="Y5" i="7" s="1"/>
  <c r="E8" i="13"/>
  <c r="E17" i="13"/>
  <c r="Q12" i="21" l="1"/>
  <c r="P11" i="21"/>
  <c r="K12" i="21"/>
  <c r="V21" i="18"/>
  <c r="W20" i="18"/>
  <c r="K21" i="18"/>
  <c r="N21" i="18" s="1"/>
  <c r="U20" i="18"/>
  <c r="E18" i="13"/>
  <c r="E9" i="13"/>
  <c r="F9" i="13"/>
  <c r="H24" i="8"/>
  <c r="F25" i="8"/>
  <c r="G25" i="8" s="1"/>
  <c r="P24" i="8"/>
  <c r="N25" i="8"/>
  <c r="O25" i="8" s="1"/>
  <c r="L24" i="8"/>
  <c r="J25" i="8"/>
  <c r="K25" i="8" s="1"/>
  <c r="B26" i="8"/>
  <c r="C26" i="8" s="1"/>
  <c r="D25" i="8"/>
  <c r="AM25" i="7"/>
  <c r="AS25" i="7"/>
  <c r="AV25" i="7" s="1"/>
  <c r="AQ25" i="7"/>
  <c r="AR25" i="7" s="1"/>
  <c r="AT25" i="7" s="1"/>
  <c r="W5" i="7"/>
  <c r="Z5" i="7" s="1"/>
  <c r="AD5" i="7"/>
  <c r="N4" i="15"/>
  <c r="O12" i="21" l="1"/>
  <c r="L12" i="21"/>
  <c r="X5" i="7"/>
  <c r="AB5" i="7" s="1"/>
  <c r="V22" i="18"/>
  <c r="W21" i="18"/>
  <c r="K22" i="18"/>
  <c r="N22" i="18" s="1"/>
  <c r="U21" i="18"/>
  <c r="E19" i="13"/>
  <c r="L25" i="8"/>
  <c r="J26" i="8"/>
  <c r="K26" i="8" s="1"/>
  <c r="F26" i="8"/>
  <c r="G26" i="8" s="1"/>
  <c r="H25" i="8"/>
  <c r="P25" i="8"/>
  <c r="N26" i="8"/>
  <c r="O26" i="8" s="1"/>
  <c r="B27" i="8"/>
  <c r="C27" i="8" s="1"/>
  <c r="D26" i="8"/>
  <c r="AW25" i="7"/>
  <c r="AC5" i="7"/>
  <c r="AE5" i="7"/>
  <c r="AG5" i="7" s="1"/>
  <c r="AJ5" i="7" s="1"/>
  <c r="O4" i="15"/>
  <c r="E5" i="5"/>
  <c r="E6" i="5"/>
  <c r="E7" i="5"/>
  <c r="E8" i="5"/>
  <c r="E9" i="5"/>
  <c r="E10" i="5"/>
  <c r="E11" i="5"/>
  <c r="E12" i="5"/>
  <c r="E13" i="5"/>
  <c r="H22" i="3"/>
  <c r="I22" i="3" s="1"/>
  <c r="H16" i="3"/>
  <c r="I16" i="3" s="1"/>
  <c r="H17" i="3"/>
  <c r="I17" i="3" s="1"/>
  <c r="D9" i="3"/>
  <c r="F9" i="3" s="1"/>
  <c r="E10" i="3" s="1"/>
  <c r="D20" i="2"/>
  <c r="E21" i="2" s="1"/>
  <c r="P20" i="2"/>
  <c r="P21" i="2" s="1"/>
  <c r="P22" i="2" s="1"/>
  <c r="P23" i="2" s="1"/>
  <c r="P24" i="2" s="1"/>
  <c r="P25" i="2" s="1"/>
  <c r="R25" i="2" s="1"/>
  <c r="J20" i="2"/>
  <c r="L20" i="2" s="1"/>
  <c r="K21" i="2" s="1"/>
  <c r="H5" i="1"/>
  <c r="G4" i="1"/>
  <c r="G5" i="1"/>
  <c r="G6" i="1"/>
  <c r="H6" i="1" s="1"/>
  <c r="G7" i="1"/>
  <c r="G8" i="1"/>
  <c r="G9" i="1"/>
  <c r="G10" i="1"/>
  <c r="G11" i="1"/>
  <c r="G12" i="1"/>
  <c r="D25" i="10"/>
  <c r="D22" i="10"/>
  <c r="G20" i="10"/>
  <c r="L20" i="10" s="1"/>
  <c r="H19" i="10"/>
  <c r="M19" i="10" s="1"/>
  <c r="G19" i="10"/>
  <c r="L19" i="10" s="1"/>
  <c r="F19" i="10"/>
  <c r="K19" i="10" s="1"/>
  <c r="E19" i="10"/>
  <c r="J19" i="10" s="1"/>
  <c r="J18" i="10"/>
  <c r="N18" i="10" s="1"/>
  <c r="H18" i="10"/>
  <c r="M18" i="10" s="1"/>
  <c r="G18" i="10"/>
  <c r="L18" i="10" s="1"/>
  <c r="E18" i="10"/>
  <c r="F18" i="10" s="1"/>
  <c r="K18" i="10" s="1"/>
  <c r="E17" i="10"/>
  <c r="G17" i="10" s="1"/>
  <c r="L17" i="10" s="1"/>
  <c r="J16" i="10"/>
  <c r="E16" i="10"/>
  <c r="H16" i="10" s="1"/>
  <c r="M16" i="10" s="1"/>
  <c r="E14" i="10"/>
  <c r="J14" i="10" s="1"/>
  <c r="G13" i="10"/>
  <c r="L13" i="10" s="1"/>
  <c r="J12" i="10"/>
  <c r="D21" i="9"/>
  <c r="L20" i="9"/>
  <c r="K21" i="9" s="1"/>
  <c r="J20" i="9"/>
  <c r="J21" i="9" s="1"/>
  <c r="D20" i="9"/>
  <c r="F17" i="9"/>
  <c r="D17" i="9"/>
  <c r="H15" i="9"/>
  <c r="K15" i="9" s="1"/>
  <c r="G15" i="9"/>
  <c r="K14" i="9"/>
  <c r="H14" i="9"/>
  <c r="G14" i="9"/>
  <c r="I13" i="9"/>
  <c r="J13" i="9" s="1"/>
  <c r="H13" i="9"/>
  <c r="K13" i="9" s="1"/>
  <c r="G13" i="9"/>
  <c r="H12" i="9"/>
  <c r="K12" i="9" s="1"/>
  <c r="G12" i="9"/>
  <c r="I12" i="9" s="1"/>
  <c r="J12" i="9" s="1"/>
  <c r="H11" i="9"/>
  <c r="K11" i="9" s="1"/>
  <c r="G11" i="9"/>
  <c r="H10" i="9"/>
  <c r="K10" i="9" s="1"/>
  <c r="G10" i="9"/>
  <c r="H9" i="9"/>
  <c r="K9" i="9" s="1"/>
  <c r="G9" i="9"/>
  <c r="I9" i="9" s="1"/>
  <c r="J9" i="9" s="1"/>
  <c r="H8" i="9"/>
  <c r="K8" i="9" s="1"/>
  <c r="G8" i="9"/>
  <c r="K7" i="9"/>
  <c r="M12" i="6"/>
  <c r="L12" i="6"/>
  <c r="M11" i="6"/>
  <c r="L11" i="6"/>
  <c r="M10" i="6"/>
  <c r="L10" i="6"/>
  <c r="M9" i="6"/>
  <c r="L9" i="6"/>
  <c r="M8" i="6"/>
  <c r="M7" i="6"/>
  <c r="L7" i="6"/>
  <c r="M6" i="6"/>
  <c r="L6" i="6"/>
  <c r="M5" i="6"/>
  <c r="L5" i="6"/>
  <c r="M4" i="6"/>
  <c r="L4" i="6"/>
  <c r="D8" i="5"/>
  <c r="D9" i="5" s="1"/>
  <c r="D10" i="5" s="1"/>
  <c r="D11" i="5" s="1"/>
  <c r="D12" i="5" s="1"/>
  <c r="D13" i="5" s="1"/>
  <c r="I11" i="9" l="1"/>
  <c r="J11" i="9" s="1"/>
  <c r="I14" i="9"/>
  <c r="J14" i="9" s="1"/>
  <c r="H17" i="10"/>
  <c r="M17" i="10" s="1"/>
  <c r="D10" i="3"/>
  <c r="I7" i="9"/>
  <c r="J7" i="9" s="1"/>
  <c r="I10" i="9"/>
  <c r="J10" i="9" s="1"/>
  <c r="J17" i="10"/>
  <c r="D22" i="9"/>
  <c r="F21" i="9"/>
  <c r="E22" i="9"/>
  <c r="E26" i="10"/>
  <c r="F25" i="10"/>
  <c r="I8" i="9"/>
  <c r="J8" i="9" s="1"/>
  <c r="L12" i="9"/>
  <c r="I15" i="9"/>
  <c r="J15" i="9" s="1"/>
  <c r="E21" i="9"/>
  <c r="F20" i="9"/>
  <c r="F17" i="10"/>
  <c r="K17" i="10" s="1"/>
  <c r="D26" i="10"/>
  <c r="Q13" i="21"/>
  <c r="K13" i="21"/>
  <c r="P12" i="21"/>
  <c r="J21" i="21"/>
  <c r="R24" i="2"/>
  <c r="Q25" i="2" s="1"/>
  <c r="R23" i="2"/>
  <c r="Q24" i="2" s="1"/>
  <c r="V23" i="18"/>
  <c r="W22" i="18"/>
  <c r="Q22" i="18"/>
  <c r="T22" i="18" s="1"/>
  <c r="U22" i="18" s="1"/>
  <c r="K23" i="18"/>
  <c r="N23" i="18" s="1"/>
  <c r="H24" i="3"/>
  <c r="I24" i="3" s="1"/>
  <c r="H23" i="3"/>
  <c r="I23" i="3" s="1"/>
  <c r="H21" i="3"/>
  <c r="I21" i="3" s="1"/>
  <c r="H20" i="3"/>
  <c r="I20" i="3" s="1"/>
  <c r="H19" i="3"/>
  <c r="I19" i="3" s="1"/>
  <c r="H18" i="3"/>
  <c r="I18" i="3" s="1"/>
  <c r="E4" i="6"/>
  <c r="E20" i="13"/>
  <c r="N27" i="8"/>
  <c r="O27" i="8" s="1"/>
  <c r="P26" i="8"/>
  <c r="F27" i="8"/>
  <c r="G27" i="8" s="1"/>
  <c r="H26" i="8"/>
  <c r="J27" i="8"/>
  <c r="K27" i="8" s="1"/>
  <c r="L26" i="8"/>
  <c r="D27" i="8"/>
  <c r="B28" i="8"/>
  <c r="C28" i="8" s="1"/>
  <c r="AH5" i="7"/>
  <c r="AN5" i="7"/>
  <c r="AI5" i="7"/>
  <c r="G5" i="5"/>
  <c r="C14" i="15"/>
  <c r="P16" i="13"/>
  <c r="D21" i="2"/>
  <c r="F21" i="2" s="1"/>
  <c r="R21" i="2"/>
  <c r="Q22" i="2" s="1"/>
  <c r="R20" i="2"/>
  <c r="Q21" i="2" s="1"/>
  <c r="R22" i="2"/>
  <c r="Q23" i="2" s="1"/>
  <c r="J21" i="2"/>
  <c r="N17" i="10"/>
  <c r="N19" i="10"/>
  <c r="F20" i="10"/>
  <c r="K20" i="10" s="1"/>
  <c r="L12" i="10"/>
  <c r="E22" i="10"/>
  <c r="F14" i="10"/>
  <c r="H20" i="10"/>
  <c r="M20" i="10" s="1"/>
  <c r="M13" i="10"/>
  <c r="F15" i="10"/>
  <c r="K15" i="10" s="1"/>
  <c r="N15" i="10" s="1"/>
  <c r="J20" i="10"/>
  <c r="J13" i="10"/>
  <c r="H14" i="10"/>
  <c r="G15" i="10"/>
  <c r="L15" i="10" s="1"/>
  <c r="F16" i="10"/>
  <c r="K16" i="10" s="1"/>
  <c r="N16" i="10" s="1"/>
  <c r="K13" i="10"/>
  <c r="H12" i="10"/>
  <c r="M12" i="10" s="1"/>
  <c r="H15" i="10"/>
  <c r="M15" i="10" s="1"/>
  <c r="G16" i="10"/>
  <c r="L16" i="10" s="1"/>
  <c r="K12" i="10"/>
  <c r="L21" i="9"/>
  <c r="K22" i="9" s="1"/>
  <c r="J22" i="9"/>
  <c r="D23" i="9"/>
  <c r="L9" i="9"/>
  <c r="L15" i="9"/>
  <c r="L7" i="9"/>
  <c r="L10" i="9"/>
  <c r="L13" i="9"/>
  <c r="L8" i="9"/>
  <c r="L11" i="9"/>
  <c r="J17" i="9"/>
  <c r="I17" i="9"/>
  <c r="L14" i="9"/>
  <c r="G17" i="9"/>
  <c r="K17" i="9"/>
  <c r="D27" i="10" l="1"/>
  <c r="F26" i="10"/>
  <c r="E27" i="10"/>
  <c r="F22" i="9"/>
  <c r="E23" i="9"/>
  <c r="F10" i="3"/>
  <c r="E11" i="3" s="1"/>
  <c r="D11" i="3"/>
  <c r="F23" i="9"/>
  <c r="E24" i="9"/>
  <c r="N20" i="10"/>
  <c r="O13" i="21"/>
  <c r="L13" i="21"/>
  <c r="V24" i="18"/>
  <c r="W23" i="18"/>
  <c r="Q23" i="18"/>
  <c r="T23" i="18" s="1"/>
  <c r="U23" i="18" s="1"/>
  <c r="K24" i="18"/>
  <c r="N24" i="18" s="1"/>
  <c r="W24" i="18" s="1"/>
  <c r="C15" i="18" s="1"/>
  <c r="E21" i="13"/>
  <c r="L27" i="8"/>
  <c r="J28" i="8"/>
  <c r="K28" i="8" s="1"/>
  <c r="H27" i="8"/>
  <c r="F28" i="8"/>
  <c r="G28" i="8" s="1"/>
  <c r="P27" i="8"/>
  <c r="N28" i="8"/>
  <c r="O28" i="8" s="1"/>
  <c r="B29" i="8"/>
  <c r="C29" i="8" s="1"/>
  <c r="D28" i="8"/>
  <c r="AL5" i="7"/>
  <c r="AO5" i="7" s="1"/>
  <c r="F6" i="5"/>
  <c r="J22" i="2"/>
  <c r="L21" i="2"/>
  <c r="K22" i="2" s="1"/>
  <c r="N13" i="10"/>
  <c r="F22" i="10"/>
  <c r="H22" i="10"/>
  <c r="L17" i="9"/>
  <c r="D24" i="9"/>
  <c r="F24" i="9" s="1"/>
  <c r="L22" i="9"/>
  <c r="K23" i="9" s="1"/>
  <c r="J23" i="9"/>
  <c r="D4" i="6"/>
  <c r="G6" i="5"/>
  <c r="N22" i="10" l="1"/>
  <c r="F27" i="10"/>
  <c r="E28" i="10"/>
  <c r="D28" i="10"/>
  <c r="K14" i="21"/>
  <c r="P13" i="21"/>
  <c r="Q14" i="21"/>
  <c r="F11" i="3"/>
  <c r="E12" i="3" s="1"/>
  <c r="D12" i="3"/>
  <c r="F12" i="3" s="1"/>
  <c r="K25" i="18"/>
  <c r="Q24" i="18"/>
  <c r="T24" i="18" s="1"/>
  <c r="U24" i="18" s="1"/>
  <c r="G4" i="6"/>
  <c r="H4" i="6"/>
  <c r="E22" i="13"/>
  <c r="P28" i="8"/>
  <c r="N29" i="8"/>
  <c r="O29" i="8" s="1"/>
  <c r="F29" i="8"/>
  <c r="G29" i="8" s="1"/>
  <c r="H28" i="8"/>
  <c r="J29" i="8"/>
  <c r="K29" i="8" s="1"/>
  <c r="L28" i="8"/>
  <c r="D29" i="8"/>
  <c r="B30" i="8"/>
  <c r="C30" i="8" s="1"/>
  <c r="AM5" i="7"/>
  <c r="AQ5" i="7"/>
  <c r="K6" i="7" s="1"/>
  <c r="M6" i="7" s="1"/>
  <c r="P6" i="7" s="1"/>
  <c r="T6" i="7" s="1"/>
  <c r="F7" i="5"/>
  <c r="I6" i="5"/>
  <c r="J23" i="2"/>
  <c r="L22" i="2"/>
  <c r="K23" i="2" s="1"/>
  <c r="J24" i="9"/>
  <c r="L24" i="9" s="1"/>
  <c r="L23" i="9"/>
  <c r="K24" i="9" s="1"/>
  <c r="G7" i="5"/>
  <c r="C8" i="5" s="1"/>
  <c r="F4" i="6"/>
  <c r="O14" i="21" l="1"/>
  <c r="L14" i="21"/>
  <c r="F28" i="10"/>
  <c r="E29" i="10"/>
  <c r="D29" i="10"/>
  <c r="L17" i="13"/>
  <c r="E23" i="13"/>
  <c r="L29" i="8"/>
  <c r="J30" i="8"/>
  <c r="K30" i="8" s="1"/>
  <c r="H29" i="8"/>
  <c r="F30" i="8"/>
  <c r="G30" i="8" s="1"/>
  <c r="P29" i="8"/>
  <c r="N30" i="8"/>
  <c r="O30" i="8" s="1"/>
  <c r="D30" i="8"/>
  <c r="B31" i="8"/>
  <c r="C31" i="8" s="1"/>
  <c r="AR5" i="7"/>
  <c r="AT5" i="7" s="1"/>
  <c r="AS5" i="7"/>
  <c r="AV5" i="7" s="1"/>
  <c r="N6" i="7"/>
  <c r="O6" i="7"/>
  <c r="R6" i="7"/>
  <c r="U6" i="7" s="1"/>
  <c r="F8" i="5"/>
  <c r="I7" i="5"/>
  <c r="K7" i="5" s="1"/>
  <c r="P17" i="13"/>
  <c r="J24" i="2"/>
  <c r="L23" i="2"/>
  <c r="K24" i="2" s="1"/>
  <c r="O4" i="6"/>
  <c r="D5" i="6" s="1"/>
  <c r="E5" i="6"/>
  <c r="G8" i="5"/>
  <c r="C9" i="5" s="1"/>
  <c r="F29" i="10" l="1"/>
  <c r="E30" i="10"/>
  <c r="D30" i="10"/>
  <c r="F30" i="10" s="1"/>
  <c r="P14" i="21"/>
  <c r="K15" i="21"/>
  <c r="H5" i="6"/>
  <c r="I5" i="6" s="1"/>
  <c r="M17" i="13"/>
  <c r="I23" i="13"/>
  <c r="E24" i="13"/>
  <c r="N31" i="8"/>
  <c r="O31" i="8" s="1"/>
  <c r="P30" i="8"/>
  <c r="L30" i="8"/>
  <c r="J31" i="8"/>
  <c r="K31" i="8" s="1"/>
  <c r="H30" i="8"/>
  <c r="F31" i="8"/>
  <c r="G31" i="8" s="1"/>
  <c r="D31" i="8"/>
  <c r="B32" i="8"/>
  <c r="C32" i="8" s="1"/>
  <c r="G5" i="6"/>
  <c r="AW5" i="7"/>
  <c r="S6" i="7"/>
  <c r="Y6" i="7"/>
  <c r="F9" i="5"/>
  <c r="I8" i="5"/>
  <c r="K6" i="5"/>
  <c r="J25" i="2"/>
  <c r="L25" i="2" s="1"/>
  <c r="L24" i="2"/>
  <c r="K25" i="2" s="1"/>
  <c r="G9" i="5"/>
  <c r="C10" i="5" s="1"/>
  <c r="J8" i="5"/>
  <c r="K8" i="5" s="1"/>
  <c r="F5" i="6"/>
  <c r="O15" i="21" l="1"/>
  <c r="L15" i="21"/>
  <c r="L18" i="13"/>
  <c r="I24" i="13"/>
  <c r="E25" i="13"/>
  <c r="E26" i="13" s="1"/>
  <c r="E27" i="13" s="1"/>
  <c r="E28" i="13" s="1"/>
  <c r="E29" i="13" s="1"/>
  <c r="E30" i="13" s="1"/>
  <c r="E31" i="13" s="1"/>
  <c r="E32" i="13" s="1"/>
  <c r="E33" i="13" s="1"/>
  <c r="M23" i="13"/>
  <c r="L23" i="13"/>
  <c r="F32" i="8"/>
  <c r="G32" i="8" s="1"/>
  <c r="H31" i="8"/>
  <c r="L31" i="8"/>
  <c r="J32" i="8"/>
  <c r="K32" i="8" s="1"/>
  <c r="N32" i="8"/>
  <c r="O32" i="8" s="1"/>
  <c r="P31" i="8"/>
  <c r="B33" i="8"/>
  <c r="C33" i="8" s="1"/>
  <c r="D32" i="8"/>
  <c r="E6" i="6"/>
  <c r="W6" i="7"/>
  <c r="Z6" i="7" s="1"/>
  <c r="F10" i="5"/>
  <c r="I9" i="5"/>
  <c r="O5" i="6"/>
  <c r="D6" i="6" s="1"/>
  <c r="N4" i="6"/>
  <c r="G10" i="5"/>
  <c r="C11" i="5" s="1"/>
  <c r="Q16" i="21" l="1"/>
  <c r="P15" i="21"/>
  <c r="K16" i="21"/>
  <c r="H6" i="6"/>
  <c r="I6" i="6" s="1"/>
  <c r="J6" i="6" s="1"/>
  <c r="M18" i="13"/>
  <c r="L24" i="13"/>
  <c r="P32" i="8"/>
  <c r="N33" i="8"/>
  <c r="O33" i="8" s="1"/>
  <c r="L32" i="8"/>
  <c r="J33" i="8"/>
  <c r="K33" i="8" s="1"/>
  <c r="F33" i="8"/>
  <c r="G33" i="8" s="1"/>
  <c r="H32" i="8"/>
  <c r="B34" i="8"/>
  <c r="C34" i="8" s="1"/>
  <c r="D33" i="8"/>
  <c r="G6" i="6"/>
  <c r="F6" i="6"/>
  <c r="X6" i="7"/>
  <c r="AD6" i="7"/>
  <c r="AB6" i="7"/>
  <c r="F11" i="5"/>
  <c r="I10" i="5"/>
  <c r="J10" i="5" s="1"/>
  <c r="P18" i="13"/>
  <c r="J9" i="5"/>
  <c r="G11" i="5"/>
  <c r="C12" i="5" s="1"/>
  <c r="I11" i="5" l="1"/>
  <c r="O16" i="21"/>
  <c r="L16" i="21"/>
  <c r="I25" i="13"/>
  <c r="M24" i="13"/>
  <c r="L19" i="13"/>
  <c r="F34" i="8"/>
  <c r="G34" i="8" s="1"/>
  <c r="H33" i="8"/>
  <c r="N34" i="8"/>
  <c r="O34" i="8" s="1"/>
  <c r="P33" i="8"/>
  <c r="J34" i="8"/>
  <c r="K34" i="8" s="1"/>
  <c r="L33" i="8"/>
  <c r="B35" i="8"/>
  <c r="C35" i="8" s="1"/>
  <c r="D35" i="8" s="1"/>
  <c r="D34" i="8"/>
  <c r="E7" i="6"/>
  <c r="AC6" i="7"/>
  <c r="AE6" i="7"/>
  <c r="AI6" i="7" s="1"/>
  <c r="F12" i="5"/>
  <c r="K9" i="5"/>
  <c r="G12" i="5"/>
  <c r="C13" i="5" s="1"/>
  <c r="N5" i="6"/>
  <c r="O6" i="6"/>
  <c r="D7" i="6" s="1"/>
  <c r="P16" i="21" l="1"/>
  <c r="K17" i="21"/>
  <c r="Q17" i="21"/>
  <c r="I26" i="13"/>
  <c r="M25" i="13"/>
  <c r="L25" i="13"/>
  <c r="I20" i="13"/>
  <c r="M19" i="13"/>
  <c r="L34" i="8"/>
  <c r="J35" i="8"/>
  <c r="K35" i="8" s="1"/>
  <c r="L35" i="8" s="1"/>
  <c r="N35" i="8"/>
  <c r="O35" i="8" s="1"/>
  <c r="P35" i="8" s="1"/>
  <c r="P34" i="8"/>
  <c r="F35" i="8"/>
  <c r="G35" i="8" s="1"/>
  <c r="H35" i="8" s="1"/>
  <c r="H34" i="8"/>
  <c r="G7" i="6"/>
  <c r="H7" i="6"/>
  <c r="I7" i="6" s="1"/>
  <c r="J7" i="6" s="1"/>
  <c r="F7" i="6"/>
  <c r="AG6" i="7"/>
  <c r="F13" i="5"/>
  <c r="I12" i="5"/>
  <c r="J11" i="5"/>
  <c r="K11" i="5" s="1"/>
  <c r="G13" i="5"/>
  <c r="I13" i="5" s="1"/>
  <c r="K10" i="5"/>
  <c r="J13" i="5" l="1"/>
  <c r="O17" i="21"/>
  <c r="L17" i="21"/>
  <c r="I27" i="13"/>
  <c r="M26" i="13"/>
  <c r="L26" i="13"/>
  <c r="L20" i="13"/>
  <c r="E8" i="6"/>
  <c r="AH6" i="7"/>
  <c r="AJ6" i="7"/>
  <c r="P19" i="13"/>
  <c r="J12" i="5"/>
  <c r="K13" i="5"/>
  <c r="N6" i="6"/>
  <c r="O7" i="6"/>
  <c r="D8" i="6" s="1"/>
  <c r="Q18" i="21" l="1"/>
  <c r="K18" i="21"/>
  <c r="P17" i="21"/>
  <c r="AN6" i="7"/>
  <c r="AL6" i="7"/>
  <c r="AO6" i="7" s="1"/>
  <c r="AS6" i="7" s="1"/>
  <c r="AV6" i="7" s="1"/>
  <c r="I28" i="13"/>
  <c r="L28" i="13" s="1"/>
  <c r="M27" i="13"/>
  <c r="L27" i="13"/>
  <c r="I21" i="13"/>
  <c r="M20" i="13"/>
  <c r="H8" i="6"/>
  <c r="I8" i="6" s="1"/>
  <c r="J8" i="6" s="1"/>
  <c r="N8" i="6" s="1"/>
  <c r="G8" i="6"/>
  <c r="F8" i="6"/>
  <c r="AQ6" i="7"/>
  <c r="K7" i="7" s="1"/>
  <c r="O7" i="7" s="1"/>
  <c r="K12" i="5"/>
  <c r="O18" i="21" l="1"/>
  <c r="L18" i="21"/>
  <c r="AM6" i="7"/>
  <c r="O8" i="6"/>
  <c r="D9" i="6" s="1"/>
  <c r="L21" i="13"/>
  <c r="E9" i="6"/>
  <c r="M7" i="7"/>
  <c r="N7" i="7" s="1"/>
  <c r="AR6" i="7"/>
  <c r="N7" i="6"/>
  <c r="AT6" i="7" l="1"/>
  <c r="AW6" i="7" s="1"/>
  <c r="Q19" i="21"/>
  <c r="P18" i="21"/>
  <c r="K19" i="21"/>
  <c r="M21" i="13"/>
  <c r="I29" i="13"/>
  <c r="M28" i="13"/>
  <c r="G9" i="6"/>
  <c r="E10" i="6" s="1"/>
  <c r="H9" i="6"/>
  <c r="I9" i="6" s="1"/>
  <c r="J9" i="6" s="1"/>
  <c r="F9" i="6"/>
  <c r="P7" i="7"/>
  <c r="R7" i="7" s="1"/>
  <c r="U7" i="7" s="1"/>
  <c r="Y7" i="7" s="1"/>
  <c r="P20" i="13"/>
  <c r="O19" i="21" l="1"/>
  <c r="L19" i="21"/>
  <c r="O9" i="6"/>
  <c r="D10" i="6" s="1"/>
  <c r="G10" i="6" s="1"/>
  <c r="M22" i="13"/>
  <c r="L22" i="13"/>
  <c r="L29" i="13"/>
  <c r="N9" i="6"/>
  <c r="T7" i="7"/>
  <c r="S7" i="7"/>
  <c r="W7" i="7"/>
  <c r="Z7" i="7" s="1"/>
  <c r="AD7" i="7" s="1"/>
  <c r="P21" i="13"/>
  <c r="Q20" i="21" l="1"/>
  <c r="K20" i="21"/>
  <c r="P19" i="21"/>
  <c r="H10" i="6"/>
  <c r="I10" i="6" s="1"/>
  <c r="J10" i="6" s="1"/>
  <c r="N10" i="6" s="1"/>
  <c r="F10" i="6"/>
  <c r="I30" i="13"/>
  <c r="M29" i="13"/>
  <c r="X7" i="7"/>
  <c r="AB7" i="7"/>
  <c r="AC7" i="7" s="1"/>
  <c r="P22" i="13"/>
  <c r="E11" i="6"/>
  <c r="O20" i="21" l="1"/>
  <c r="P20" i="21" s="1"/>
  <c r="L20" i="21"/>
  <c r="O10" i="6"/>
  <c r="D11" i="6" s="1"/>
  <c r="H11" i="6" s="1"/>
  <c r="L30" i="13"/>
  <c r="AE7" i="7"/>
  <c r="AG7" i="7" s="1"/>
  <c r="AJ7" i="7" s="1"/>
  <c r="AL7" i="7" s="1"/>
  <c r="AO7" i="7" s="1"/>
  <c r="AH7" i="7"/>
  <c r="P23" i="13"/>
  <c r="G11" i="6" l="1"/>
  <c r="E12" i="6" s="1"/>
  <c r="F11" i="6"/>
  <c r="I11" i="6"/>
  <c r="J11" i="6" s="1"/>
  <c r="N11" i="6" s="1"/>
  <c r="M30" i="13"/>
  <c r="AI7" i="7"/>
  <c r="AM7" i="7"/>
  <c r="AQ7" i="7"/>
  <c r="AR7" i="7" s="1"/>
  <c r="AT7" i="7" s="1"/>
  <c r="AN7" i="7"/>
  <c r="P24" i="13"/>
  <c r="O11" i="6"/>
  <c r="D12" i="6" s="1"/>
  <c r="L31" i="13" l="1"/>
  <c r="H12" i="6"/>
  <c r="I12" i="6" s="1"/>
  <c r="J12" i="6" s="1"/>
  <c r="L18" i="6"/>
  <c r="G12" i="6"/>
  <c r="F12" i="6"/>
  <c r="AS7" i="7"/>
  <c r="AV7" i="7" s="1"/>
  <c r="AW7" i="7" s="1"/>
  <c r="AW8" i="7" s="1"/>
  <c r="P25" i="13"/>
  <c r="I32" i="13" l="1"/>
  <c r="M31" i="13"/>
  <c r="P26" i="13"/>
  <c r="O12" i="6"/>
  <c r="M32" i="13" l="1"/>
  <c r="L32" i="13"/>
  <c r="L16" i="6"/>
  <c r="P27" i="13" l="1"/>
  <c r="N12" i="6"/>
  <c r="L15" i="6" s="1"/>
  <c r="D26" i="1" l="1"/>
  <c r="I12" i="1"/>
  <c r="J11" i="1"/>
  <c r="I11" i="1"/>
  <c r="I10" i="1"/>
  <c r="I9" i="1"/>
  <c r="I8" i="1"/>
  <c r="J7" i="1"/>
  <c r="I7" i="1"/>
  <c r="I6" i="1"/>
  <c r="I5" i="1"/>
  <c r="I4" i="1"/>
  <c r="E27" i="1" l="1"/>
  <c r="F26" i="1"/>
  <c r="J8" i="1"/>
  <c r="J5" i="1"/>
  <c r="J9" i="1"/>
  <c r="J12" i="1"/>
  <c r="J4" i="1"/>
  <c r="J6" i="1"/>
  <c r="J10" i="1"/>
  <c r="D20" i="1"/>
  <c r="H7" i="1"/>
  <c r="H8" i="1"/>
  <c r="H9" i="1"/>
  <c r="H10" i="1"/>
  <c r="H11" i="1"/>
  <c r="D27" i="1"/>
  <c r="F27" i="1" s="1"/>
  <c r="E21" i="1" l="1"/>
  <c r="F20" i="1"/>
  <c r="E28" i="1"/>
  <c r="D28" i="1"/>
  <c r="F28" i="1" s="1"/>
  <c r="D21" i="1"/>
  <c r="E42" i="2"/>
  <c r="F21" i="1" l="1"/>
  <c r="E22" i="1"/>
  <c r="E29" i="1"/>
  <c r="D29" i="1"/>
  <c r="F29" i="1" s="1"/>
  <c r="D22" i="1"/>
  <c r="F22" i="1" s="1"/>
  <c r="J29" i="2"/>
  <c r="I29" i="2" l="1"/>
  <c r="L29" i="2" l="1"/>
  <c r="J30" i="2"/>
  <c r="H30" i="2" s="1"/>
  <c r="I30" i="2"/>
  <c r="L30" i="2" l="1"/>
  <c r="I31" i="2"/>
  <c r="J31" i="2"/>
  <c r="H31" i="2" s="1"/>
  <c r="AW26" i="7" l="1"/>
  <c r="L31" i="2"/>
  <c r="J32" i="2"/>
  <c r="H32" i="2" s="1"/>
  <c r="I32" i="2"/>
  <c r="L32" i="2" l="1"/>
  <c r="J33" i="2"/>
  <c r="H33" i="2" s="1"/>
  <c r="I33" i="2"/>
  <c r="L33" i="2" l="1"/>
  <c r="I34" i="2"/>
  <c r="J34" i="2"/>
  <c r="H34" i="2" s="1"/>
  <c r="L34" i="2" l="1"/>
  <c r="I35" i="2"/>
  <c r="J35" i="2"/>
  <c r="H35" i="2" s="1"/>
  <c r="L35" i="2" l="1"/>
  <c r="J36" i="2"/>
  <c r="H36" i="2" s="1"/>
  <c r="I36" i="2"/>
  <c r="L36" i="2" l="1"/>
  <c r="I37" i="2"/>
  <c r="J37" i="2"/>
  <c r="H37" i="2" s="1"/>
  <c r="L37" i="2" l="1"/>
</calcChain>
</file>

<file path=xl/comments1.xml><?xml version="1.0" encoding="utf-8"?>
<comments xmlns="http://schemas.openxmlformats.org/spreadsheetml/2006/main">
  <authors>
    <author>Guillermo</author>
    <author>Ing. Guillermo Vega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Guillermo:</t>
        </r>
        <r>
          <rPr>
            <sz val="8"/>
            <color indexed="81"/>
            <rFont val="Tahoma"/>
            <family val="2"/>
          </rPr>
          <t xml:space="preserve">
Ramdom demanda</t>
        </r>
      </text>
    </comment>
    <comment ref="D2" authorId="1" shapeId="0">
      <text>
        <r>
          <rPr>
            <b/>
            <sz val="8"/>
            <color indexed="81"/>
            <rFont val="Tahoma"/>
            <family val="2"/>
          </rPr>
          <t>Ing. Guillermo Vega:</t>
        </r>
        <r>
          <rPr>
            <sz val="8"/>
            <color indexed="81"/>
            <rFont val="Tahoma"/>
            <family val="2"/>
          </rPr>
          <t xml:space="preserve">
Resultado deducido en función del rango en el que "cae" el número random.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>Guillermo:</t>
        </r>
        <r>
          <rPr>
            <sz val="8"/>
            <color indexed="81"/>
            <rFont val="Tahoma"/>
            <family val="2"/>
          </rPr>
          <t xml:space="preserve">
ramdom de faltantes
</t>
        </r>
      </text>
    </comment>
    <comment ref="B16" authorId="1" shapeId="0">
      <text>
        <r>
          <rPr>
            <b/>
            <sz val="8"/>
            <color indexed="81"/>
            <rFont val="Tahoma"/>
            <family val="2"/>
          </rPr>
          <t>Ing. Guillermo Vega:</t>
        </r>
        <r>
          <rPr>
            <sz val="8"/>
            <color indexed="81"/>
            <rFont val="Tahoma"/>
            <family val="2"/>
          </rPr>
          <t xml:space="preserve">
Ordenar de menor a mayor</t>
        </r>
      </text>
    </comment>
    <comment ref="B24" authorId="1" shapeId="0">
      <text>
        <r>
          <rPr>
            <b/>
            <sz val="8"/>
            <color indexed="81"/>
            <rFont val="Tahoma"/>
            <family val="2"/>
          </rPr>
          <t>Ing. Guillermo Vega:</t>
        </r>
        <r>
          <rPr>
            <sz val="8"/>
            <color indexed="81"/>
            <rFont val="Tahoma"/>
            <family val="2"/>
          </rPr>
          <t xml:space="preserve">
Ordenar de menor a mayor</t>
        </r>
      </text>
    </comment>
  </commentList>
</comments>
</file>

<file path=xl/comments2.xml><?xml version="1.0" encoding="utf-8"?>
<comments xmlns="http://schemas.openxmlformats.org/spreadsheetml/2006/main">
  <authors>
    <author>Guillermo</author>
  </authors>
  <commentList>
    <comment ref="F14" authorId="0" shapeId="0">
      <text>
        <r>
          <rPr>
            <b/>
            <sz val="8"/>
            <color indexed="81"/>
            <rFont val="Tahoma"/>
            <family val="2"/>
          </rPr>
          <t>Guillermo:</t>
        </r>
        <r>
          <rPr>
            <sz val="8"/>
            <color indexed="81"/>
            <rFont val="Tahoma"/>
            <family val="2"/>
          </rPr>
          <t xml:space="preserve">
Media 0 y Desviación std 1</t>
        </r>
      </text>
    </comment>
  </commentList>
</comments>
</file>

<file path=xl/comments3.xml><?xml version="1.0" encoding="utf-8"?>
<comments xmlns="http://schemas.openxmlformats.org/spreadsheetml/2006/main">
  <authors>
    <author>Ing. Guillermo Vega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Ing. Guillermo Vega:</t>
        </r>
        <r>
          <rPr>
            <sz val="8"/>
            <color indexed="81"/>
            <rFont val="Tahoma"/>
            <family val="2"/>
          </rPr>
          <t xml:space="preserve">
Resultado deducido en función del rango en el que "cae" el número random.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Ing. Guillermo Vega:</t>
        </r>
        <r>
          <rPr>
            <sz val="8"/>
            <color indexed="81"/>
            <rFont val="Tahoma"/>
            <family val="2"/>
          </rPr>
          <t xml:space="preserve">
Ordenar de menor a mayor</t>
        </r>
      </text>
    </comment>
    <comment ref="H19" authorId="0" shapeId="0">
      <text>
        <r>
          <rPr>
            <b/>
            <sz val="8"/>
            <color indexed="81"/>
            <rFont val="Tahoma"/>
            <family val="2"/>
          </rPr>
          <t>Ing. Guillermo Vega:</t>
        </r>
        <r>
          <rPr>
            <sz val="8"/>
            <color indexed="81"/>
            <rFont val="Tahoma"/>
            <family val="2"/>
          </rPr>
          <t xml:space="preserve">
Ordenar de menor a mayor</t>
        </r>
      </text>
    </comment>
  </commentList>
</comments>
</file>

<file path=xl/comments4.xml><?xml version="1.0" encoding="utf-8"?>
<comments xmlns="http://schemas.openxmlformats.org/spreadsheetml/2006/main">
  <authors>
    <author>Ing. Guillermo Vega</author>
  </authors>
  <commentList>
    <comment ref="B24" authorId="0" shapeId="0">
      <text>
        <r>
          <rPr>
            <b/>
            <sz val="8"/>
            <color indexed="81"/>
            <rFont val="Tahoma"/>
            <family val="2"/>
          </rPr>
          <t>Ing. Guillermo Vega:</t>
        </r>
        <r>
          <rPr>
            <sz val="8"/>
            <color indexed="81"/>
            <rFont val="Tahoma"/>
            <family val="2"/>
          </rPr>
          <t xml:space="preserve">
Ordenar de menor a mayor</t>
        </r>
      </text>
    </comment>
  </commentList>
</comments>
</file>

<file path=xl/comments5.xml><?xml version="1.0" encoding="utf-8"?>
<comments xmlns="http://schemas.openxmlformats.org/spreadsheetml/2006/main">
  <authors>
    <author>Guillermo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Guillermo:</t>
        </r>
        <r>
          <rPr>
            <sz val="8"/>
            <color indexed="81"/>
            <rFont val="Tahoma"/>
            <family val="2"/>
          </rPr>
          <t xml:space="preserve">
Media 0 y Desviación std 1</t>
        </r>
      </text>
    </comment>
  </commentList>
</comments>
</file>

<file path=xl/sharedStrings.xml><?xml version="1.0" encoding="utf-8"?>
<sst xmlns="http://schemas.openxmlformats.org/spreadsheetml/2006/main" count="627" uniqueCount="329">
  <si>
    <t>Probabilidad</t>
  </si>
  <si>
    <t>Rango</t>
  </si>
  <si>
    <t>Nº A1</t>
  </si>
  <si>
    <t xml:space="preserve">Costos </t>
  </si>
  <si>
    <t>Publicidad</t>
  </si>
  <si>
    <t>Desarrollo</t>
  </si>
  <si>
    <t xml:space="preserve">Precio de venta </t>
  </si>
  <si>
    <t>$/u</t>
  </si>
  <si>
    <t>$</t>
  </si>
  <si>
    <t>Costo MOD</t>
  </si>
  <si>
    <t>D. Uniforme</t>
  </si>
  <si>
    <t>Demanda</t>
  </si>
  <si>
    <t>D. Normal</t>
  </si>
  <si>
    <t>$ MOD</t>
  </si>
  <si>
    <t>$ MP</t>
  </si>
  <si>
    <t>Z</t>
  </si>
  <si>
    <t>Media (µ)</t>
  </si>
  <si>
    <t>Desv. Est. (σ)</t>
  </si>
  <si>
    <t>X= µ ± Z*σ</t>
  </si>
  <si>
    <t>Promedio</t>
  </si>
  <si>
    <t>Porcentaje</t>
  </si>
  <si>
    <t>Tipo de demanda</t>
  </si>
  <si>
    <t xml:space="preserve">Alta </t>
  </si>
  <si>
    <t>Baja</t>
  </si>
  <si>
    <t>Prob.</t>
  </si>
  <si>
    <t>alta</t>
  </si>
  <si>
    <t>Tipo Demanda</t>
  </si>
  <si>
    <t>NºA2</t>
  </si>
  <si>
    <t>A</t>
  </si>
  <si>
    <t>B</t>
  </si>
  <si>
    <t>COSTO DOC</t>
  </si>
  <si>
    <t>PV DOC</t>
  </si>
  <si>
    <t>PV RECUPERO</t>
  </si>
  <si>
    <t>Producción</t>
  </si>
  <si>
    <t>Faltaron</t>
  </si>
  <si>
    <t>Sobraron</t>
  </si>
  <si>
    <t>Vendidos</t>
  </si>
  <si>
    <t>Resultado</t>
  </si>
  <si>
    <t>Total</t>
  </si>
  <si>
    <t xml:space="preserve">a </t>
  </si>
  <si>
    <t>limite inferor</t>
  </si>
  <si>
    <t xml:space="preserve">b </t>
  </si>
  <si>
    <t>limite superior</t>
  </si>
  <si>
    <t>media</t>
  </si>
  <si>
    <t>desviación estándar</t>
  </si>
  <si>
    <t>Moda</t>
  </si>
  <si>
    <t>Media</t>
  </si>
  <si>
    <t>Desviación</t>
  </si>
  <si>
    <t>COSTO PÉRDIDA</t>
  </si>
  <si>
    <t>Distribución de prob. de tipo de demanda</t>
  </si>
  <si>
    <t>Distribución de probabilida de la demanda alta</t>
  </si>
  <si>
    <t>Distribución de probabilida de la demanda baja</t>
  </si>
  <si>
    <t>Óptimo</t>
  </si>
  <si>
    <t>Respuesta:</t>
  </si>
  <si>
    <t>Día</t>
  </si>
  <si>
    <t>Rd</t>
  </si>
  <si>
    <t>Rf</t>
  </si>
  <si>
    <t>faltas</t>
  </si>
  <si>
    <t>Dem real</t>
  </si>
  <si>
    <t>Alquilados</t>
  </si>
  <si>
    <t>Insatif&gt;100</t>
  </si>
  <si>
    <t>Días &gt;100</t>
  </si>
  <si>
    <t>Prom</t>
  </si>
  <si>
    <t>Cant Pedidos</t>
  </si>
  <si>
    <t>Faltas</t>
  </si>
  <si>
    <t>Prob</t>
  </si>
  <si>
    <t>Prob ac.</t>
  </si>
  <si>
    <t>"&gt;=" lim inf</t>
  </si>
  <si>
    <t>"&lt;" lim sup</t>
  </si>
  <si>
    <t>Costo total</t>
  </si>
  <si>
    <t>Ingreso neto</t>
  </si>
  <si>
    <t>Resultados prom.</t>
  </si>
  <si>
    <t>Stock inicio de semana</t>
  </si>
  <si>
    <t>Ingreso de unidades</t>
  </si>
  <si>
    <t>Demanda semanal</t>
  </si>
  <si>
    <t>Stock Final</t>
  </si>
  <si>
    <t>Costo Pedido</t>
  </si>
  <si>
    <t>Stock Promedio</t>
  </si>
  <si>
    <t>Costo del stock promedio</t>
  </si>
  <si>
    <t>semanas  simuladas</t>
  </si>
  <si>
    <t>a)</t>
  </si>
  <si>
    <t>Costo total de la política</t>
  </si>
  <si>
    <t>b)</t>
  </si>
  <si>
    <t>stock promedio de unidades</t>
  </si>
  <si>
    <t>c)</t>
  </si>
  <si>
    <t>costo promedio del inventario</t>
  </si>
  <si>
    <t>d)</t>
  </si>
  <si>
    <t>costo promedio de pedido</t>
  </si>
  <si>
    <t>e)</t>
  </si>
  <si>
    <t>demanda promedio de unidades</t>
  </si>
  <si>
    <t>Demanda Satisfecha</t>
  </si>
  <si>
    <t>Demanda insatisfecha</t>
  </si>
  <si>
    <t>Pedido</t>
  </si>
  <si>
    <t>Costo de Pedido</t>
  </si>
  <si>
    <t>Costo de la compra</t>
  </si>
  <si>
    <t>μ:</t>
  </si>
  <si>
    <t>1/μ:</t>
  </si>
  <si>
    <t>Unidades / hora</t>
  </si>
  <si>
    <t xml:space="preserve">r: </t>
  </si>
  <si>
    <t>random</t>
  </si>
  <si>
    <t>λ:</t>
  </si>
  <si>
    <t xml:space="preserve">z: </t>
  </si>
  <si>
    <t>parametro de tabla</t>
  </si>
  <si>
    <t>σ:</t>
  </si>
  <si>
    <t>0.5 personas por minuto (personas entre minutos)</t>
  </si>
  <si>
    <t>1/λ:</t>
  </si>
  <si>
    <t>0.5 piezas por minuto (piezas entre minutos)</t>
  </si>
  <si>
    <t>Costo hora</t>
  </si>
  <si>
    <t>$/hr</t>
  </si>
  <si>
    <t>Tiempo sim.</t>
  </si>
  <si>
    <t>semanas</t>
  </si>
  <si>
    <t>Nº Semana</t>
  </si>
  <si>
    <t>Rt</t>
  </si>
  <si>
    <t>Xt = Hr de taller</t>
  </si>
  <si>
    <t>Rs</t>
  </si>
  <si>
    <t>Xs = Hrs Servicio</t>
  </si>
  <si>
    <t>Dem total</t>
  </si>
  <si>
    <t>Hrs fijas</t>
  </si>
  <si>
    <t>Hrs Faltantes</t>
  </si>
  <si>
    <t>Costo variable</t>
  </si>
  <si>
    <t>Costo Fijo</t>
  </si>
  <si>
    <t>Costo Total</t>
  </si>
  <si>
    <t>Dem Hrs taller</t>
  </si>
  <si>
    <t>Dem Hrs Serv. Tec.</t>
  </si>
  <si>
    <t>Compra</t>
  </si>
  <si>
    <t>Vende</t>
  </si>
  <si>
    <t>Devuelve</t>
  </si>
  <si>
    <t>Dem insatif.</t>
  </si>
  <si>
    <t>=&gt;</t>
  </si>
  <si>
    <t>Igual a cantidad demandada en el día anterior</t>
  </si>
  <si>
    <t xml:space="preserve">Dem inicial </t>
  </si>
  <si>
    <t>días</t>
  </si>
  <si>
    <t>Nº día</t>
  </si>
  <si>
    <t>Rdn</t>
  </si>
  <si>
    <t>Xd = Dem día</t>
  </si>
  <si>
    <t>Gasta</t>
  </si>
  <si>
    <t>Ingresa</t>
  </si>
  <si>
    <t>Recupera</t>
  </si>
  <si>
    <t>Pierde</t>
  </si>
  <si>
    <t>Dem x día</t>
  </si>
  <si>
    <t>A)</t>
  </si>
  <si>
    <t>B)</t>
  </si>
  <si>
    <t>C)</t>
  </si>
  <si>
    <t>Acum.</t>
  </si>
  <si>
    <t>Cubre el 96.55% de la cantidad demandada</t>
  </si>
  <si>
    <t>Tiempo de atención de una persona</t>
  </si>
  <si>
    <t>Arribo de piezas desde otro proceso</t>
  </si>
  <si>
    <t>Acum</t>
  </si>
  <si>
    <t>Año</t>
  </si>
  <si>
    <t>R MO</t>
  </si>
  <si>
    <t>Costo de material MP</t>
  </si>
  <si>
    <t>X=a+R(b-a) = 60+r(90-60)</t>
  </si>
  <si>
    <t>Stock inicial</t>
  </si>
  <si>
    <t>R demanda</t>
  </si>
  <si>
    <t>Desvición estándar [min]</t>
  </si>
  <si>
    <t>Tamaño de muestra requerido</t>
  </si>
  <si>
    <t>Nº A3 Tipo de cliente</t>
  </si>
  <si>
    <t>Pérdidas</t>
  </si>
  <si>
    <t>Tiempo de salida/fin</t>
  </si>
  <si>
    <t>Tiempo de inicio de atención</t>
  </si>
  <si>
    <t>Cola de clientes</t>
  </si>
  <si>
    <t>Nº A2 Tiempo de atención</t>
  </si>
  <si>
    <t>Tiempo acumulado (Tiempo de llegada)</t>
  </si>
  <si>
    <t>Nº A1 Llegadas</t>
  </si>
  <si>
    <t>Nº DE CLIENTE</t>
  </si>
  <si>
    <t>Perdida por clientes que no ingresan</t>
  </si>
  <si>
    <t>Distribución de probabilidad de Ingresos $</t>
  </si>
  <si>
    <t>personas</t>
  </si>
  <si>
    <t>Capacidad</t>
  </si>
  <si>
    <t>personas/min</t>
  </si>
  <si>
    <t>&gt;&gt;&gt;</t>
  </si>
  <si>
    <t>min/persona - Si hay más de 1 cliente</t>
  </si>
  <si>
    <t>Exponencial N.</t>
  </si>
  <si>
    <t>min/persona - Si hay 1 cliente</t>
  </si>
  <si>
    <t>Atención/Servicio</t>
  </si>
  <si>
    <t>personas/hora</t>
  </si>
  <si>
    <t>Ingresos</t>
  </si>
  <si>
    <t>Para Distribuciones Exponencial y Poisson</t>
  </si>
  <si>
    <t>[u/t]</t>
  </si>
  <si>
    <t>Ra</t>
  </si>
  <si>
    <t>Xs</t>
  </si>
  <si>
    <t>Sist. Vacio</t>
  </si>
  <si>
    <t>Tiempo de simulación:</t>
  </si>
  <si>
    <t>min</t>
  </si>
  <si>
    <t>[barcos/día]</t>
  </si>
  <si>
    <t>Nº Barco</t>
  </si>
  <si>
    <t>Nº Random</t>
  </si>
  <si>
    <t>Cálculo</t>
  </si>
  <si>
    <t>Nº</t>
  </si>
  <si>
    <t>Lunes</t>
  </si>
  <si>
    <t>D. de adelanto</t>
  </si>
  <si>
    <t>Semilla</t>
  </si>
  <si>
    <t>Costo semanal stock</t>
  </si>
  <si>
    <t>Costo de pedido</t>
  </si>
  <si>
    <t>Costo ruptura</t>
  </si>
  <si>
    <t>Costo total semanal</t>
  </si>
  <si>
    <t>Lu</t>
  </si>
  <si>
    <t>Ma</t>
  </si>
  <si>
    <t>Mi</t>
  </si>
  <si>
    <t>Ju</t>
  </si>
  <si>
    <t>Vi</t>
  </si>
  <si>
    <t>Sa</t>
  </si>
  <si>
    <t>Do</t>
  </si>
  <si>
    <t>Stock Prom.</t>
  </si>
  <si>
    <t>Instisfechos</t>
  </si>
  <si>
    <t>Stock Inicial</t>
  </si>
  <si>
    <t>Martes</t>
  </si>
  <si>
    <t>Miércoles</t>
  </si>
  <si>
    <t>Jueves</t>
  </si>
  <si>
    <t>Viernes</t>
  </si>
  <si>
    <t>Sábado</t>
  </si>
  <si>
    <t>Domingo</t>
  </si>
  <si>
    <t>Lu.</t>
  </si>
  <si>
    <t>Ma.</t>
  </si>
  <si>
    <t>Mi.</t>
  </si>
  <si>
    <t>Ju.</t>
  </si>
  <si>
    <t>Adelanto=1</t>
  </si>
  <si>
    <t>Adelanto=2</t>
  </si>
  <si>
    <t>Pedido al final de la semana</t>
  </si>
  <si>
    <t>Nuevo Stock inicio de seman</t>
  </si>
  <si>
    <t>Simulación de llegadas</t>
  </si>
  <si>
    <t>Simulación de tiempos de atención</t>
  </si>
  <si>
    <t>Cálculo de cola de espera</t>
  </si>
  <si>
    <t>Tiempo de permanencia en el sistema</t>
  </si>
  <si>
    <t>Tiempo en cola de espera</t>
  </si>
  <si>
    <t>lim inf</t>
  </si>
  <si>
    <t>lim sup</t>
  </si>
  <si>
    <t>Min ENTRE llegadas</t>
  </si>
  <si>
    <t>Tiempo de atencón si tam fila &gt;1 persona</t>
  </si>
  <si>
    <t>Tiempo de atencón si tam fila &lt;= 1 persona</t>
  </si>
  <si>
    <t>Tiempo de espera en cola</t>
  </si>
  <si>
    <t>Tiempo en el sistema</t>
  </si>
  <si>
    <t>Tamaño promedio</t>
  </si>
  <si>
    <t>Tiempo promedio</t>
  </si>
  <si>
    <t>Cola = 4</t>
  </si>
  <si>
    <t>ganancia acumulada</t>
  </si>
  <si>
    <t>Gasto de cliente</t>
  </si>
  <si>
    <t>a</t>
  </si>
  <si>
    <t>b</t>
  </si>
  <si>
    <t>%</t>
  </si>
  <si>
    <t>LI</t>
  </si>
  <si>
    <t>LS</t>
  </si>
  <si>
    <t>nº</t>
  </si>
  <si>
    <t>R adelanto</t>
  </si>
  <si>
    <t>Hr llegada</t>
  </si>
  <si>
    <t>Ran Atención</t>
  </si>
  <si>
    <t>Hr inicio at.</t>
  </si>
  <si>
    <t>Hr salida</t>
  </si>
  <si>
    <t>Cola</t>
  </si>
  <si>
    <t>Hora</t>
  </si>
  <si>
    <t>hr</t>
  </si>
  <si>
    <t>Longitud de la jornada:</t>
  </si>
  <si>
    <t>Tiempo promedio de atención:</t>
  </si>
  <si>
    <t>Atención
[m]</t>
  </si>
  <si>
    <t>Adelanto
[m]</t>
  </si>
  <si>
    <t>Adelanto 
[min]</t>
  </si>
  <si>
    <t>Duración
[m]</t>
  </si>
  <si>
    <t>Tiempo entre arribos (a) Poison:</t>
  </si>
  <si>
    <t>Tiempo de servicio (s) Exponencial:</t>
  </si>
  <si>
    <t>Días entre arribos</t>
  </si>
  <si>
    <t>Día de salida</t>
  </si>
  <si>
    <t>Día de arribo</t>
  </si>
  <si>
    <t>Tiempo de servicio</t>
  </si>
  <si>
    <t>Días en sistema</t>
  </si>
  <si>
    <t>Tamaño de cola</t>
  </si>
  <si>
    <t>Tiempo promedio en el sistema</t>
  </si>
  <si>
    <t>Probabilidad del sistema vacío</t>
  </si>
  <si>
    <t>Longitud promedio de fila</t>
  </si>
  <si>
    <t>Inicio de atención</t>
  </si>
  <si>
    <t>Nº Exped.</t>
  </si>
  <si>
    <t>Nº item</t>
  </si>
  <si>
    <t>Tiempos de inspección</t>
  </si>
  <si>
    <t>Tiempos de ajuste</t>
  </si>
  <si>
    <t>ok</t>
  </si>
  <si>
    <t>no ok</t>
  </si>
  <si>
    <t>acum</t>
  </si>
  <si>
    <t>Llegan dispositivos por hora (fijo)</t>
  </si>
  <si>
    <t>ok?</t>
  </si>
  <si>
    <t>R insp</t>
  </si>
  <si>
    <t>min insp</t>
  </si>
  <si>
    <t>inicio insp</t>
  </si>
  <si>
    <t>fin insp</t>
  </si>
  <si>
    <t>R ok?</t>
  </si>
  <si>
    <t>s</t>
  </si>
  <si>
    <t>n</t>
  </si>
  <si>
    <t>R aj</t>
  </si>
  <si>
    <t>X aj</t>
  </si>
  <si>
    <t>inicio aj</t>
  </si>
  <si>
    <t>fin aj</t>
  </si>
  <si>
    <t>min de salida</t>
  </si>
  <si>
    <t>En cola p/ insp</t>
  </si>
  <si>
    <t>min de entrada</t>
  </si>
  <si>
    <t>T en sistema insp</t>
  </si>
  <si>
    <t>Tiempo promedio hasta fin insp:</t>
  </si>
  <si>
    <t>Porgentaje de reinspecciones</t>
  </si>
  <si>
    <t>Tasa fija de llegadas :</t>
  </si>
  <si>
    <t>Tiempo servicio exponencial</t>
  </si>
  <si>
    <t>Nº Cli</t>
  </si>
  <si>
    <t>min llegada</t>
  </si>
  <si>
    <t>fin atención</t>
  </si>
  <si>
    <t>c/min</t>
  </si>
  <si>
    <t>ini atención 1</t>
  </si>
  <si>
    <t>ini atención 2</t>
  </si>
  <si>
    <t>ini atención 3</t>
  </si>
  <si>
    <t>Trabajo de 1</t>
  </si>
  <si>
    <t>Trabajo de 2</t>
  </si>
  <si>
    <t>Trabajo de 3</t>
  </si>
  <si>
    <t>Priorida 1, 2, 3</t>
  </si>
  <si>
    <t>tiempo / unidad</t>
  </si>
  <si>
    <t>Error admitido (en unidades de la muestra)</t>
  </si>
  <si>
    <t>Z para 95% de confianza (0.05/2=0.025)</t>
  </si>
  <si>
    <t>Video de ejemplo:</t>
  </si>
  <si>
    <t>https://www.youtube.com/watch?v=2gmRBxVQXnU</t>
  </si>
  <si>
    <t>Poisson ( tasas de arribos = tiempo entre arribos)</t>
  </si>
  <si>
    <t>2 minutos entre piezas</t>
  </si>
  <si>
    <t>Exponencial (tiempos de servicios)</t>
  </si>
  <si>
    <t>2 minutos por persona</t>
  </si>
  <si>
    <t>Uniforme</t>
  </si>
  <si>
    <t>Normal</t>
  </si>
  <si>
    <t>Semilla^2</t>
  </si>
  <si>
    <t>Nº Central</t>
  </si>
  <si>
    <t>xxxx</t>
  </si>
  <si>
    <t>Registro</t>
  </si>
  <si>
    <t>Min (a)</t>
  </si>
  <si>
    <t>Máx (b)</t>
  </si>
  <si>
    <t>[exp/día]</t>
  </si>
  <si>
    <t>Tiempo de espera</t>
  </si>
  <si>
    <t>Tiempo promedio de espera</t>
  </si>
  <si>
    <t>expedientes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</si>
</sst>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 &quot;$&quot;\ * #,##0.00_ ;_ &quot;$&quot;\ * \-#,##0.00_ ;_ &quot;$&quot;\ * &quot;-&quot;??_ ;_ @_ "/>
    <numFmt numFmtId="164" formatCode="_-* #,##0.00\ &quot;€&quot;_-;\-* #,##0.00\ &quot;€&quot;_-;_-* &quot;-&quot;??\ &quot;€&quot;_-;_-@_-"/>
    <numFmt numFmtId="165" formatCode="_ [$$-2C0A]\ * #,##0.00_ ;_ [$$-2C0A]\ * \-#,##0.00_ ;_ [$$-2C0A]\ * &quot;-&quot;??_ ;_ @_ "/>
    <numFmt numFmtId="166" formatCode="0.000"/>
    <numFmt numFmtId="167" formatCode="0.0%"/>
    <numFmt numFmtId="168" formatCode="0.0"/>
    <numFmt numFmtId="169" formatCode="0.0000"/>
    <numFmt numFmtId="170" formatCode="0.00_ ;[Red]\-0.00\ "/>
    <numFmt numFmtId="171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1" applyFont="1"/>
    <xf numFmtId="2" fontId="0" fillId="0" borderId="0" xfId="0" applyNumberFormat="1"/>
    <xf numFmtId="0" fontId="2" fillId="0" borderId="0" xfId="0" applyFont="1"/>
    <xf numFmtId="165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65" fontId="2" fillId="0" borderId="1" xfId="0" applyNumberFormat="1" applyFont="1" applyBorder="1"/>
    <xf numFmtId="9" fontId="0" fillId="0" borderId="0" xfId="0" applyNumberFormat="1"/>
    <xf numFmtId="0" fontId="3" fillId="0" borderId="0" xfId="0" applyFont="1"/>
    <xf numFmtId="0" fontId="2" fillId="0" borderId="1" xfId="0" applyFont="1" applyFill="1" applyBorder="1"/>
    <xf numFmtId="0" fontId="0" fillId="0" borderId="0" xfId="0" applyFont="1"/>
    <xf numFmtId="0" fontId="0" fillId="0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9" fontId="2" fillId="0" borderId="0" xfId="1" applyFont="1" applyAlignment="1">
      <alignment horizontal="center"/>
    </xf>
    <xf numFmtId="1" fontId="0" fillId="0" borderId="0" xfId="0" applyNumberFormat="1"/>
    <xf numFmtId="1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left"/>
    </xf>
    <xf numFmtId="9" fontId="1" fillId="0" borderId="0" xfId="1" applyFont="1"/>
    <xf numFmtId="166" fontId="0" fillId="0" borderId="0" xfId="0" applyNumberFormat="1" applyBorder="1"/>
    <xf numFmtId="0" fontId="2" fillId="0" borderId="1" xfId="0" applyFont="1" applyBorder="1" applyAlignment="1">
      <alignment horizontal="center" vertical="center" wrapText="1"/>
    </xf>
    <xf numFmtId="165" fontId="0" fillId="0" borderId="1" xfId="0" applyNumberFormat="1" applyBorder="1"/>
    <xf numFmtId="168" fontId="0" fillId="0" borderId="0" xfId="1" applyNumberFormat="1" applyFont="1"/>
    <xf numFmtId="2" fontId="0" fillId="0" borderId="0" xfId="1" applyNumberFormat="1" applyFont="1"/>
    <xf numFmtId="0" fontId="2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6" fontId="0" fillId="0" borderId="1" xfId="0" applyNumberFormat="1" applyBorder="1" applyAlignment="1">
      <alignment wrapText="1"/>
    </xf>
    <xf numFmtId="1" fontId="0" fillId="0" borderId="1" xfId="0" applyNumberFormat="1" applyBorder="1"/>
    <xf numFmtId="1" fontId="0" fillId="0" borderId="1" xfId="0" applyNumberFormat="1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/>
    <xf numFmtId="0" fontId="0" fillId="0" borderId="0" xfId="0" applyBorder="1" applyAlignment="1">
      <alignment horizontal="right"/>
    </xf>
    <xf numFmtId="165" fontId="0" fillId="0" borderId="0" xfId="0" applyNumberFormat="1" applyBorder="1"/>
    <xf numFmtId="1" fontId="0" fillId="0" borderId="0" xfId="0" applyNumberFormat="1" applyBorder="1"/>
    <xf numFmtId="168" fontId="2" fillId="0" borderId="0" xfId="0" applyNumberFormat="1" applyFont="1" applyBorder="1" applyAlignment="1">
      <alignment wrapText="1"/>
    </xf>
    <xf numFmtId="0" fontId="0" fillId="0" borderId="0" xfId="0" applyBorder="1" applyAlignment="1"/>
    <xf numFmtId="0" fontId="2" fillId="0" borderId="0" xfId="0" applyFont="1" applyBorder="1" applyAlignment="1">
      <alignment horizontal="right" wrapText="1"/>
    </xf>
    <xf numFmtId="44" fontId="2" fillId="0" borderId="0" xfId="2" applyFont="1" applyBorder="1"/>
    <xf numFmtId="0" fontId="2" fillId="0" borderId="0" xfId="0" applyFont="1" applyBorder="1" applyAlignment="1">
      <alignment horizontal="right"/>
    </xf>
    <xf numFmtId="168" fontId="2" fillId="0" borderId="0" xfId="0" applyNumberFormat="1" applyFont="1" applyBorder="1"/>
    <xf numFmtId="0" fontId="0" fillId="0" borderId="0" xfId="0" applyFill="1" applyBorder="1"/>
    <xf numFmtId="9" fontId="0" fillId="0" borderId="0" xfId="0" applyNumberFormat="1" applyBorder="1"/>
    <xf numFmtId="0" fontId="2" fillId="0" borderId="0" xfId="0" applyFont="1" applyBorder="1" applyAlignment="1">
      <alignment horizontal="left" vertical="top" wrapText="1"/>
    </xf>
    <xf numFmtId="0" fontId="2" fillId="0" borderId="0" xfId="0" applyFont="1" applyFill="1" applyBorder="1"/>
    <xf numFmtId="0" fontId="3" fillId="0" borderId="0" xfId="0" applyFont="1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9" fontId="0" fillId="0" borderId="1" xfId="0" applyNumberFormat="1" applyBorder="1" applyAlignment="1">
      <alignment wrapText="1"/>
    </xf>
    <xf numFmtId="166" fontId="0" fillId="0" borderId="1" xfId="0" applyNumberFormat="1" applyBorder="1"/>
    <xf numFmtId="166" fontId="2" fillId="0" borderId="1" xfId="0" applyNumberFormat="1" applyFont="1" applyBorder="1" applyAlignment="1">
      <alignment wrapText="1"/>
    </xf>
    <xf numFmtId="169" fontId="0" fillId="0" borderId="1" xfId="0" applyNumberFormat="1" applyBorder="1"/>
    <xf numFmtId="10" fontId="2" fillId="0" borderId="0" xfId="1" applyNumberFormat="1" applyFont="1" applyFill="1" applyBorder="1"/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9" fontId="2" fillId="0" borderId="1" xfId="1" applyFont="1" applyBorder="1" applyAlignment="1">
      <alignment horizontal="center"/>
    </xf>
    <xf numFmtId="1" fontId="2" fillId="0" borderId="1" xfId="1" applyNumberFormat="1" applyFont="1" applyBorder="1"/>
    <xf numFmtId="1" fontId="2" fillId="0" borderId="1" xfId="0" applyNumberFormat="1" applyFont="1" applyBorder="1"/>
    <xf numFmtId="1" fontId="0" fillId="0" borderId="1" xfId="1" applyNumberFormat="1" applyFont="1" applyBorder="1"/>
    <xf numFmtId="166" fontId="0" fillId="0" borderId="1" xfId="1" applyNumberFormat="1" applyFont="1" applyBorder="1"/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170" fontId="0" fillId="0" borderId="1" xfId="0" applyNumberFormat="1" applyBorder="1"/>
    <xf numFmtId="170" fontId="0" fillId="0" borderId="1" xfId="0" quotePrefix="1" applyNumberFormat="1" applyBorder="1" applyAlignment="1">
      <alignment horizontal="right"/>
    </xf>
    <xf numFmtId="170" fontId="0" fillId="0" borderId="0" xfId="0" applyNumberFormat="1"/>
    <xf numFmtId="170" fontId="0" fillId="3" borderId="0" xfId="0" applyNumberFormat="1" applyFill="1"/>
    <xf numFmtId="0" fontId="2" fillId="0" borderId="0" xfId="0" applyFont="1" applyBorder="1" applyAlignment="1">
      <alignment horizontal="center"/>
    </xf>
    <xf numFmtId="2" fontId="0" fillId="0" borderId="1" xfId="1" applyNumberFormat="1" applyFont="1" applyBorder="1"/>
    <xf numFmtId="2" fontId="0" fillId="0" borderId="1" xfId="0" applyNumberFormat="1" applyBorder="1"/>
    <xf numFmtId="2" fontId="1" fillId="0" borderId="1" xfId="1" applyNumberFormat="1" applyFont="1" applyBorder="1" applyAlignment="1">
      <alignment horizontal="center"/>
    </xf>
    <xf numFmtId="166" fontId="0" fillId="2" borderId="1" xfId="1" applyNumberFormat="1" applyFont="1" applyFill="1" applyBorder="1"/>
    <xf numFmtId="2" fontId="2" fillId="0" borderId="1" xfId="1" applyNumberFormat="1" applyFont="1" applyBorder="1" applyAlignment="1">
      <alignment horizontal="center"/>
    </xf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1" fontId="6" fillId="0" borderId="1" xfId="0" applyNumberFormat="1" applyFont="1" applyBorder="1"/>
    <xf numFmtId="1" fontId="7" fillId="0" borderId="1" xfId="0" applyNumberFormat="1" applyFont="1" applyBorder="1"/>
    <xf numFmtId="166" fontId="0" fillId="0" borderId="1" xfId="1" applyNumberFormat="1" applyFon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8" fillId="0" borderId="1" xfId="0" applyFont="1" applyBorder="1"/>
    <xf numFmtId="0" fontId="0" fillId="2" borderId="1" xfId="0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6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2" fontId="0" fillId="0" borderId="1" xfId="1" applyNumberFormat="1" applyFont="1" applyBorder="1" applyAlignment="1">
      <alignment wrapText="1"/>
    </xf>
    <xf numFmtId="2" fontId="0" fillId="0" borderId="1" xfId="1" applyNumberFormat="1" applyFont="1" applyFill="1" applyBorder="1"/>
    <xf numFmtId="166" fontId="0" fillId="2" borderId="1" xfId="0" applyNumberForma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44" fontId="2" fillId="2" borderId="0" xfId="2" applyFon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0" xfId="3" applyFont="1" applyFill="1" applyBorder="1"/>
    <xf numFmtId="9" fontId="0" fillId="0" borderId="1" xfId="0" applyNumberFormat="1" applyBorder="1"/>
    <xf numFmtId="9" fontId="0" fillId="0" borderId="1" xfId="1" applyFont="1" applyBorder="1"/>
    <xf numFmtId="9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8" borderId="0" xfId="0" applyFill="1" applyBorder="1"/>
    <xf numFmtId="2" fontId="0" fillId="8" borderId="1" xfId="0" applyNumberFormat="1" applyFill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 wrapText="1"/>
    </xf>
    <xf numFmtId="1" fontId="0" fillId="7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8" borderId="0" xfId="0" applyNumberFormat="1" applyFill="1" applyBorder="1"/>
    <xf numFmtId="2" fontId="0" fillId="8" borderId="0" xfId="0" applyNumberFormat="1" applyFill="1" applyBorder="1" applyAlignment="1">
      <alignment wrapText="1"/>
    </xf>
    <xf numFmtId="0" fontId="0" fillId="8" borderId="0" xfId="0" applyFill="1" applyBorder="1" applyAlignment="1">
      <alignment wrapText="1"/>
    </xf>
    <xf numFmtId="2" fontId="0" fillId="8" borderId="1" xfId="0" applyNumberFormat="1" applyFill="1" applyBorder="1" applyAlignment="1">
      <alignment horizontal="center"/>
    </xf>
    <xf numFmtId="1" fontId="0" fillId="8" borderId="0" xfId="0" applyNumberFormat="1" applyFill="1" applyBorder="1"/>
    <xf numFmtId="2" fontId="0" fillId="8" borderId="1" xfId="0" applyNumberFormat="1" applyFill="1" applyBorder="1" applyAlignment="1">
      <alignment wrapText="1"/>
    </xf>
    <xf numFmtId="2" fontId="0" fillId="8" borderId="0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0" fontId="0" fillId="0" borderId="1" xfId="0" applyBorder="1" applyAlignment="1">
      <alignment horizontal="left" vertical="center" wrapText="1"/>
    </xf>
    <xf numFmtId="164" fontId="0" fillId="0" borderId="1" xfId="3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1" xfId="0" applyFill="1" applyBorder="1"/>
    <xf numFmtId="16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/>
    <xf numFmtId="16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1" xfId="3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wrapText="1"/>
    </xf>
    <xf numFmtId="0" fontId="0" fillId="1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6" fontId="6" fillId="5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8" fontId="0" fillId="0" borderId="1" xfId="0" applyNumberFormat="1" applyBorder="1" applyAlignment="1">
      <alignment horizontal="center" wrapText="1"/>
    </xf>
    <xf numFmtId="168" fontId="0" fillId="0" borderId="0" xfId="0" applyNumberFormat="1"/>
    <xf numFmtId="168" fontId="0" fillId="0" borderId="1" xfId="0" applyNumberFormat="1" applyBorder="1" applyAlignment="1">
      <alignment horizontal="center"/>
    </xf>
    <xf numFmtId="166" fontId="0" fillId="13" borderId="1" xfId="0" applyNumberForma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0" fontId="0" fillId="8" borderId="0" xfId="0" applyFill="1"/>
    <xf numFmtId="164" fontId="0" fillId="8" borderId="1" xfId="3" applyFont="1" applyFill="1" applyBorder="1"/>
    <xf numFmtId="9" fontId="0" fillId="8" borderId="1" xfId="1" applyNumberFormat="1" applyFont="1" applyFill="1" applyBorder="1"/>
    <xf numFmtId="9" fontId="0" fillId="8" borderId="1" xfId="0" applyNumberFormat="1" applyFill="1" applyBorder="1"/>
    <xf numFmtId="164" fontId="0" fillId="0" borderId="1" xfId="5" applyFont="1" applyFill="1" applyBorder="1" applyAlignment="1">
      <alignment horizontal="center" vertical="center"/>
    </xf>
    <xf numFmtId="164" fontId="0" fillId="3" borderId="1" xfId="5" applyFont="1" applyFill="1" applyBorder="1" applyAlignment="1">
      <alignment horizontal="center" vertical="center"/>
    </xf>
    <xf numFmtId="2" fontId="0" fillId="2" borderId="0" xfId="0" applyNumberFormat="1" applyFill="1"/>
    <xf numFmtId="166" fontId="0" fillId="3" borderId="1" xfId="0" applyNumberForma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NumberFormat="1" applyBorder="1"/>
    <xf numFmtId="168" fontId="0" fillId="0" borderId="1" xfId="0" applyNumberFormat="1" applyBorder="1"/>
    <xf numFmtId="9" fontId="2" fillId="0" borderId="1" xfId="0" applyNumberFormat="1" applyFont="1" applyBorder="1"/>
    <xf numFmtId="0" fontId="2" fillId="0" borderId="1" xfId="0" applyNumberFormat="1" applyFont="1" applyBorder="1"/>
    <xf numFmtId="2" fontId="0" fillId="2" borderId="1" xfId="0" applyNumberFormat="1" applyFill="1" applyBorder="1"/>
    <xf numFmtId="0" fontId="12" fillId="0" borderId="1" xfId="0" applyFont="1" applyBorder="1"/>
    <xf numFmtId="2" fontId="12" fillId="0" borderId="1" xfId="0" applyNumberFormat="1" applyFont="1" applyBorder="1"/>
    <xf numFmtId="0" fontId="11" fillId="12" borderId="1" xfId="0" applyFont="1" applyFill="1" applyBorder="1"/>
    <xf numFmtId="0" fontId="11" fillId="12" borderId="1" xfId="0" applyFont="1" applyFill="1" applyBorder="1" applyAlignment="1">
      <alignment horizontal="center" vertical="center" wrapText="1"/>
    </xf>
    <xf numFmtId="166" fontId="11" fillId="12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164" fontId="11" fillId="12" borderId="1" xfId="3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168" fontId="0" fillId="2" borderId="1" xfId="0" applyNumberFormat="1" applyFill="1" applyBorder="1"/>
    <xf numFmtId="168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168" fontId="6" fillId="0" borderId="1" xfId="0" applyNumberFormat="1" applyFont="1" applyBorder="1"/>
    <xf numFmtId="168" fontId="6" fillId="2" borderId="1" xfId="0" applyNumberFormat="1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horizontal="left"/>
    </xf>
    <xf numFmtId="9" fontId="1" fillId="0" borderId="1" xfId="1" applyFont="1" applyBorder="1"/>
    <xf numFmtId="0" fontId="0" fillId="0" borderId="0" xfId="0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9" fontId="2" fillId="0" borderId="1" xfId="1" applyFont="1" applyFill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2" borderId="1" xfId="1" applyNumberFormat="1" applyFont="1" applyFill="1" applyBorder="1"/>
    <xf numFmtId="9" fontId="0" fillId="2" borderId="1" xfId="1" applyFont="1" applyFill="1" applyBorder="1"/>
    <xf numFmtId="168" fontId="0" fillId="2" borderId="1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left"/>
    </xf>
    <xf numFmtId="168" fontId="0" fillId="0" borderId="0" xfId="0" applyNumberFormat="1" applyBorder="1"/>
    <xf numFmtId="0" fontId="2" fillId="0" borderId="1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1" fontId="2" fillId="2" borderId="1" xfId="1" applyNumberFormat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1" applyFont="1" applyBorder="1"/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8" borderId="1" xfId="0" applyNumberFormat="1" applyFill="1" applyBorder="1"/>
    <xf numFmtId="1" fontId="0" fillId="8" borderId="1" xfId="0" applyNumberFormat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wrapText="1"/>
    </xf>
    <xf numFmtId="2" fontId="0" fillId="8" borderId="0" xfId="0" applyNumberFormat="1" applyFill="1" applyBorder="1" applyAlignment="1">
      <alignment horizontal="center" wrapText="1"/>
    </xf>
    <xf numFmtId="2" fontId="13" fillId="8" borderId="1" xfId="0" quotePrefix="1" applyNumberFormat="1" applyFont="1" applyFill="1" applyBorder="1" applyAlignment="1">
      <alignment horizontal="center" wrapText="1"/>
    </xf>
    <xf numFmtId="1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left"/>
    </xf>
    <xf numFmtId="1" fontId="13" fillId="0" borderId="1" xfId="0" quotePrefix="1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left"/>
    </xf>
    <xf numFmtId="1" fontId="0" fillId="0" borderId="0" xfId="0" applyNumberFormat="1" applyFill="1" applyBorder="1"/>
    <xf numFmtId="10" fontId="2" fillId="0" borderId="1" xfId="1" applyNumberFormat="1" applyFont="1" applyBorder="1" applyAlignment="1">
      <alignment horizontal="center"/>
    </xf>
    <xf numFmtId="2" fontId="0" fillId="3" borderId="0" xfId="1" applyNumberFormat="1" applyFont="1" applyFill="1"/>
    <xf numFmtId="0" fontId="14" fillId="0" borderId="0" xfId="6" applyAlignment="1">
      <alignment vertical="center"/>
    </xf>
    <xf numFmtId="1" fontId="2" fillId="2" borderId="0" xfId="0" applyNumberFormat="1" applyFont="1" applyFill="1"/>
    <xf numFmtId="166" fontId="0" fillId="8" borderId="1" xfId="0" applyNumberFormat="1" applyFill="1" applyBorder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</cellXfs>
  <cellStyles count="7">
    <cellStyle name="Hipervínculo" xfId="6" builtinId="8"/>
    <cellStyle name="Millares 2" xfId="4"/>
    <cellStyle name="Moneda" xfId="5" builtinId="4"/>
    <cellStyle name="Moneda 2" xfId="2"/>
    <cellStyle name="Moneda 2 2" xf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9.png"/><Relationship Id="rId1" Type="http://schemas.openxmlformats.org/officeDocument/2006/relationships/image" Target="../media/image2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2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7.emf"/><Relationship Id="rId4" Type="http://schemas.openxmlformats.org/officeDocument/2006/relationships/image" Target="../media/image28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2" Type="http://schemas.openxmlformats.org/officeDocument/2006/relationships/image" Target="../media/image30.emf"/><Relationship Id="rId1" Type="http://schemas.openxmlformats.org/officeDocument/2006/relationships/image" Target="../media/image29.png"/><Relationship Id="rId6" Type="http://schemas.openxmlformats.org/officeDocument/2006/relationships/image" Target="../media/image34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Relationship Id="rId9" Type="http://schemas.openxmlformats.org/officeDocument/2006/relationships/image" Target="../media/image37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5</xdr:row>
      <xdr:rowOff>19050</xdr:rowOff>
    </xdr:from>
    <xdr:to>
      <xdr:col>5</xdr:col>
      <xdr:colOff>1715179</xdr:colOff>
      <xdr:row>51</xdr:row>
      <xdr:rowOff>133350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1" y="971550"/>
          <a:ext cx="6382428" cy="887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1143000</xdr:colOff>
      <xdr:row>40</xdr:row>
      <xdr:rowOff>66675</xdr:rowOff>
    </xdr:from>
    <xdr:to>
      <xdr:col>4</xdr:col>
      <xdr:colOff>781050</xdr:colOff>
      <xdr:row>40</xdr:row>
      <xdr:rowOff>85726</xdr:rowOff>
    </xdr:to>
    <xdr:cxnSp macro="">
      <xdr:nvCxnSpPr>
        <xdr:cNvPr id="3" name="Conector recto de flecha 2"/>
        <xdr:cNvCxnSpPr/>
      </xdr:nvCxnSpPr>
      <xdr:spPr>
        <a:xfrm flipV="1">
          <a:off x="2428875" y="7686675"/>
          <a:ext cx="2867025" cy="19051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1076325</xdr:colOff>
      <xdr:row>22</xdr:row>
      <xdr:rowOff>180975</xdr:rowOff>
    </xdr:from>
    <xdr:to>
      <xdr:col>4</xdr:col>
      <xdr:colOff>1133475</xdr:colOff>
      <xdr:row>39</xdr:row>
      <xdr:rowOff>114300</xdr:rowOff>
    </xdr:to>
    <xdr:cxnSp macro="">
      <xdr:nvCxnSpPr>
        <xdr:cNvPr id="4" name="Conector recto de flecha 3"/>
        <xdr:cNvCxnSpPr/>
      </xdr:nvCxnSpPr>
      <xdr:spPr>
        <a:xfrm>
          <a:off x="5591175" y="4371975"/>
          <a:ext cx="57150" cy="3171825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885825</xdr:colOff>
      <xdr:row>39</xdr:row>
      <xdr:rowOff>142875</xdr:rowOff>
    </xdr:from>
    <xdr:to>
      <xdr:col>4</xdr:col>
      <xdr:colOff>1371600</xdr:colOff>
      <xdr:row>40</xdr:row>
      <xdr:rowOff>161925</xdr:rowOff>
    </xdr:to>
    <xdr:sp macro="" textlink="">
      <xdr:nvSpPr>
        <xdr:cNvPr id="8" name="Rectángulo 7"/>
        <xdr:cNvSpPr/>
      </xdr:nvSpPr>
      <xdr:spPr>
        <a:xfrm>
          <a:off x="5400675" y="7572375"/>
          <a:ext cx="485775" cy="209550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209774</xdr:colOff>
      <xdr:row>31</xdr:row>
      <xdr:rowOff>20229</xdr:rowOff>
    </xdr:from>
    <xdr:to>
      <xdr:col>10</xdr:col>
      <xdr:colOff>270213</xdr:colOff>
      <xdr:row>45</xdr:row>
      <xdr:rowOff>57575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774" y="5925729"/>
          <a:ext cx="7280389" cy="270434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81130</xdr:colOff>
      <xdr:row>4</xdr:row>
      <xdr:rowOff>32845</xdr:rowOff>
    </xdr:from>
    <xdr:to>
      <xdr:col>3</xdr:col>
      <xdr:colOff>2062655</xdr:colOff>
      <xdr:row>12</xdr:row>
      <xdr:rowOff>183931</xdr:rowOff>
    </xdr:to>
    <xdr:grpSp>
      <xdr:nvGrpSpPr>
        <xdr:cNvPr id="14" name="Grupo 13"/>
        <xdr:cNvGrpSpPr/>
      </xdr:nvGrpSpPr>
      <xdr:grpSpPr>
        <a:xfrm>
          <a:off x="4780130" y="985345"/>
          <a:ext cx="1981525" cy="1675086"/>
          <a:chOff x="4804217" y="1983828"/>
          <a:chExt cx="2021778" cy="1162706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804217" y="2548758"/>
            <a:ext cx="2021778" cy="597776"/>
          </a:xfrm>
          <a:prstGeom prst="rect">
            <a:avLst/>
          </a:prstGeom>
        </xdr:spPr>
      </xdr:pic>
      <xdr:sp macro="" textlink="">
        <xdr:nvSpPr>
          <xdr:cNvPr id="5" name="Flecha arriba 4"/>
          <xdr:cNvSpPr/>
        </xdr:nvSpPr>
        <xdr:spPr>
          <a:xfrm>
            <a:off x="5452242" y="1983828"/>
            <a:ext cx="151086" cy="978776"/>
          </a:xfrm>
          <a:prstGeom prst="upArrow">
            <a:avLst/>
          </a:prstGeom>
          <a:solidFill>
            <a:srgbClr val="5B9BD5">
              <a:alpha val="1882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4</xdr:col>
      <xdr:colOff>224601</xdr:colOff>
      <xdr:row>5</xdr:row>
      <xdr:rowOff>6568</xdr:rowOff>
    </xdr:from>
    <xdr:to>
      <xdr:col>4</xdr:col>
      <xdr:colOff>2029810</xdr:colOff>
      <xdr:row>16</xdr:row>
      <xdr:rowOff>85397</xdr:rowOff>
    </xdr:to>
    <xdr:grpSp>
      <xdr:nvGrpSpPr>
        <xdr:cNvPr id="15" name="Grupo 14"/>
        <xdr:cNvGrpSpPr/>
      </xdr:nvGrpSpPr>
      <xdr:grpSpPr>
        <a:xfrm>
          <a:off x="7161976" y="1149568"/>
          <a:ext cx="1805209" cy="2174329"/>
          <a:chOff x="7187706" y="2148051"/>
          <a:chExt cx="1732950" cy="1413642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87706" y="2594742"/>
            <a:ext cx="1732950" cy="512379"/>
          </a:xfrm>
          <a:prstGeom prst="rect">
            <a:avLst/>
          </a:prstGeom>
        </xdr:spPr>
      </xdr:pic>
      <xdr:sp macro="" textlink="">
        <xdr:nvSpPr>
          <xdr:cNvPr id="6" name="Flecha izquierda y derecha 5"/>
          <xdr:cNvSpPr/>
        </xdr:nvSpPr>
        <xdr:spPr>
          <a:xfrm>
            <a:off x="7725103" y="3021725"/>
            <a:ext cx="170793" cy="98534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cxnSp macro="">
        <xdr:nvCxnSpPr>
          <xdr:cNvPr id="10" name="Conector recto 9"/>
          <xdr:cNvCxnSpPr/>
        </xdr:nvCxnSpPr>
        <xdr:spPr>
          <a:xfrm>
            <a:off x="7685689" y="2148051"/>
            <a:ext cx="0" cy="1412328"/>
          </a:xfrm>
          <a:prstGeom prst="line">
            <a:avLst/>
          </a:prstGeom>
          <a:ln w="12700"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1" name="Conector recto 10"/>
          <xdr:cNvCxnSpPr/>
        </xdr:nvCxnSpPr>
        <xdr:spPr>
          <a:xfrm>
            <a:off x="7930055" y="2149365"/>
            <a:ext cx="0" cy="1412328"/>
          </a:xfrm>
          <a:prstGeom prst="line">
            <a:avLst/>
          </a:prstGeom>
          <a:ln w="12700"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78827</xdr:colOff>
      <xdr:row>6</xdr:row>
      <xdr:rowOff>179988</xdr:rowOff>
    </xdr:from>
    <xdr:to>
      <xdr:col>5</xdr:col>
      <xdr:colOff>2143636</xdr:colOff>
      <xdr:row>16</xdr:row>
      <xdr:rowOff>118241</xdr:rowOff>
    </xdr:to>
    <xdr:grpSp>
      <xdr:nvGrpSpPr>
        <xdr:cNvPr id="16" name="Grupo 15"/>
        <xdr:cNvGrpSpPr/>
      </xdr:nvGrpSpPr>
      <xdr:grpSpPr>
        <a:xfrm>
          <a:off x="9254577" y="1513488"/>
          <a:ext cx="2064809" cy="1843253"/>
          <a:chOff x="9311841" y="2255782"/>
          <a:chExt cx="2021778" cy="1424153"/>
        </a:xfrm>
      </xdr:grpSpPr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311841" y="2510658"/>
            <a:ext cx="2021778" cy="597776"/>
          </a:xfrm>
          <a:prstGeom prst="rect">
            <a:avLst/>
          </a:prstGeom>
        </xdr:spPr>
      </xdr:pic>
      <xdr:sp macro="" textlink="">
        <xdr:nvSpPr>
          <xdr:cNvPr id="8" name="Flecha izquierda y derecha 7"/>
          <xdr:cNvSpPr/>
        </xdr:nvSpPr>
        <xdr:spPr>
          <a:xfrm>
            <a:off x="9761483" y="3220109"/>
            <a:ext cx="1149569" cy="110358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cxnSp macro="">
        <xdr:nvCxnSpPr>
          <xdr:cNvPr id="12" name="Conector recto 11"/>
          <xdr:cNvCxnSpPr/>
        </xdr:nvCxnSpPr>
        <xdr:spPr>
          <a:xfrm>
            <a:off x="9729952" y="2267607"/>
            <a:ext cx="0" cy="1412328"/>
          </a:xfrm>
          <a:prstGeom prst="line">
            <a:avLst/>
          </a:prstGeom>
          <a:ln w="12700"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" name="Conector recto 12"/>
          <xdr:cNvCxnSpPr/>
        </xdr:nvCxnSpPr>
        <xdr:spPr>
          <a:xfrm>
            <a:off x="10946525" y="2255782"/>
            <a:ext cx="0" cy="1412328"/>
          </a:xfrm>
          <a:prstGeom prst="line">
            <a:avLst/>
          </a:prstGeom>
          <a:ln w="12700"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102150</xdr:colOff>
      <xdr:row>6</xdr:row>
      <xdr:rowOff>34488</xdr:rowOff>
    </xdr:from>
    <xdr:to>
      <xdr:col>1</xdr:col>
      <xdr:colOff>2075794</xdr:colOff>
      <xdr:row>12</xdr:row>
      <xdr:rowOff>59121</xdr:rowOff>
    </xdr:to>
    <xdr:grpSp>
      <xdr:nvGrpSpPr>
        <xdr:cNvPr id="29" name="Grupo 28"/>
        <xdr:cNvGrpSpPr/>
      </xdr:nvGrpSpPr>
      <xdr:grpSpPr>
        <a:xfrm>
          <a:off x="324400" y="1367988"/>
          <a:ext cx="1973644" cy="1167633"/>
          <a:chOff x="344754" y="2366471"/>
          <a:chExt cx="2021778" cy="728825"/>
        </a:xfrm>
      </xdr:grpSpPr>
      <xdr:pic>
        <xdr:nvPicPr>
          <xdr:cNvPr id="22" name="Imagen 2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4754" y="2497520"/>
            <a:ext cx="2021778" cy="597776"/>
          </a:xfrm>
          <a:prstGeom prst="rect">
            <a:avLst/>
          </a:prstGeom>
        </xdr:spPr>
      </xdr:pic>
      <xdr:sp macro="" textlink="">
        <xdr:nvSpPr>
          <xdr:cNvPr id="23" name="Flecha arriba 22"/>
          <xdr:cNvSpPr/>
        </xdr:nvSpPr>
        <xdr:spPr>
          <a:xfrm rot="5400000">
            <a:off x="550972" y="2297870"/>
            <a:ext cx="151086" cy="288287"/>
          </a:xfrm>
          <a:prstGeom prst="upArrow">
            <a:avLst/>
          </a:prstGeom>
          <a:solidFill>
            <a:srgbClr val="5B9BD5">
              <a:alpha val="1882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</xdr:col>
      <xdr:colOff>36460</xdr:colOff>
      <xdr:row>3</xdr:row>
      <xdr:rowOff>75840</xdr:rowOff>
    </xdr:from>
    <xdr:to>
      <xdr:col>2</xdr:col>
      <xdr:colOff>2154621</xdr:colOff>
      <xdr:row>12</xdr:row>
      <xdr:rowOff>183931</xdr:rowOff>
    </xdr:to>
    <xdr:grpSp>
      <xdr:nvGrpSpPr>
        <xdr:cNvPr id="28" name="Grupo 27"/>
        <xdr:cNvGrpSpPr/>
      </xdr:nvGrpSpPr>
      <xdr:grpSpPr>
        <a:xfrm>
          <a:off x="2497085" y="837840"/>
          <a:ext cx="2118161" cy="1822591"/>
          <a:chOff x="2517440" y="1836323"/>
          <a:chExt cx="2021778" cy="1417970"/>
        </a:xfrm>
      </xdr:grpSpPr>
      <xdr:pic>
        <xdr:nvPicPr>
          <xdr:cNvPr id="20" name="Imagen 19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517440" y="2517227"/>
            <a:ext cx="2021778" cy="597776"/>
          </a:xfrm>
          <a:prstGeom prst="rect">
            <a:avLst/>
          </a:prstGeom>
        </xdr:spPr>
      </xdr:pic>
      <xdr:sp macro="" textlink="">
        <xdr:nvSpPr>
          <xdr:cNvPr id="25" name="Flecha izquierda y derecha 24"/>
          <xdr:cNvSpPr/>
        </xdr:nvSpPr>
        <xdr:spPr>
          <a:xfrm>
            <a:off x="3593523" y="2415887"/>
            <a:ext cx="285750" cy="11152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cxnSp macro="">
        <xdr:nvCxnSpPr>
          <xdr:cNvPr id="26" name="Conector recto 25"/>
          <xdr:cNvCxnSpPr/>
        </xdr:nvCxnSpPr>
        <xdr:spPr>
          <a:xfrm>
            <a:off x="3584479" y="1836323"/>
            <a:ext cx="0" cy="1412328"/>
          </a:xfrm>
          <a:prstGeom prst="line">
            <a:avLst/>
          </a:prstGeom>
          <a:ln w="12700"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27" name="Conector recto 26"/>
          <xdr:cNvCxnSpPr/>
        </xdr:nvCxnSpPr>
        <xdr:spPr>
          <a:xfrm>
            <a:off x="3893788" y="1841965"/>
            <a:ext cx="0" cy="1412328"/>
          </a:xfrm>
          <a:prstGeom prst="line">
            <a:avLst/>
          </a:prstGeom>
          <a:ln w="12700"/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557297</xdr:colOff>
      <xdr:row>0</xdr:row>
      <xdr:rowOff>74058</xdr:rowOff>
    </xdr:from>
    <xdr:to>
      <xdr:col>17</xdr:col>
      <xdr:colOff>454082</xdr:colOff>
      <xdr:row>10</xdr:row>
      <xdr:rowOff>546490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0150" y="74058"/>
          <a:ext cx="4199844" cy="237743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152846</xdr:colOff>
      <xdr:row>5</xdr:row>
      <xdr:rowOff>100525</xdr:rowOff>
    </xdr:from>
    <xdr:to>
      <xdr:col>10</xdr:col>
      <xdr:colOff>537334</xdr:colOff>
      <xdr:row>9</xdr:row>
      <xdr:rowOff>25202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84170" y="1053025"/>
          <a:ext cx="1818840" cy="68667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</xdr:colOff>
      <xdr:row>7</xdr:row>
      <xdr:rowOff>123463</xdr:rowOff>
    </xdr:from>
    <xdr:to>
      <xdr:col>1</xdr:col>
      <xdr:colOff>1555112</xdr:colOff>
      <xdr:row>10</xdr:row>
      <xdr:rowOff>132523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748" y="1647463"/>
          <a:ext cx="1531560" cy="5805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1953213</xdr:colOff>
      <xdr:row>7</xdr:row>
      <xdr:rowOff>183428</xdr:rowOff>
    </xdr:from>
    <xdr:to>
      <xdr:col>3</xdr:col>
      <xdr:colOff>304369</xdr:colOff>
      <xdr:row>11</xdr:row>
      <xdr:rowOff>24850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3409" y="1707428"/>
          <a:ext cx="1415721" cy="60342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1327</xdr:colOff>
      <xdr:row>12</xdr:row>
      <xdr:rowOff>141527</xdr:rowOff>
    </xdr:from>
    <xdr:to>
      <xdr:col>17</xdr:col>
      <xdr:colOff>137787</xdr:colOff>
      <xdr:row>21</xdr:row>
      <xdr:rowOff>115956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05849" y="2618027"/>
          <a:ext cx="6149634" cy="16889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56209</xdr:colOff>
      <xdr:row>6</xdr:row>
      <xdr:rowOff>63591</xdr:rowOff>
    </xdr:from>
    <xdr:to>
      <xdr:col>1</xdr:col>
      <xdr:colOff>1587769</xdr:colOff>
      <xdr:row>9</xdr:row>
      <xdr:rowOff>72651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695" y="1397091"/>
          <a:ext cx="1531560" cy="5805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1995488</xdr:colOff>
      <xdr:row>6</xdr:row>
      <xdr:rowOff>163535</xdr:rowOff>
    </xdr:from>
    <xdr:to>
      <xdr:col>3</xdr:col>
      <xdr:colOff>345623</xdr:colOff>
      <xdr:row>10</xdr:row>
      <xdr:rowOff>4957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33613" y="1687535"/>
          <a:ext cx="1410041" cy="60342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8281</xdr:colOff>
      <xdr:row>17</xdr:row>
      <xdr:rowOff>149087</xdr:rowOff>
    </xdr:from>
    <xdr:to>
      <xdr:col>4</xdr:col>
      <xdr:colOff>8283</xdr:colOff>
      <xdr:row>30</xdr:row>
      <xdr:rowOff>99391</xdr:rowOff>
    </xdr:to>
    <xdr:grpSp>
      <xdr:nvGrpSpPr>
        <xdr:cNvPr id="6" name="Grupo 5"/>
        <xdr:cNvGrpSpPr/>
      </xdr:nvGrpSpPr>
      <xdr:grpSpPr>
        <a:xfrm>
          <a:off x="250736" y="3768587"/>
          <a:ext cx="3827320" cy="2426804"/>
          <a:chOff x="1538654" y="1011849"/>
          <a:chExt cx="8543192" cy="3885045"/>
        </a:xfrm>
      </xdr:grpSpPr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98758" y="1011849"/>
            <a:ext cx="8164835" cy="3076190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8" name="Imagen 7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74628"/>
          <a:stretch/>
        </xdr:blipFill>
        <xdr:spPr>
          <a:xfrm>
            <a:off x="1538654" y="4300904"/>
            <a:ext cx="8543192" cy="595990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47625</xdr:rowOff>
    </xdr:from>
    <xdr:to>
      <xdr:col>7</xdr:col>
      <xdr:colOff>66675</xdr:colOff>
      <xdr:row>29</xdr:row>
      <xdr:rowOff>133350</xdr:rowOff>
    </xdr:to>
    <xdr:grpSp>
      <xdr:nvGrpSpPr>
        <xdr:cNvPr id="8" name="Grupo 7"/>
        <xdr:cNvGrpSpPr/>
      </xdr:nvGrpSpPr>
      <xdr:grpSpPr>
        <a:xfrm>
          <a:off x="76200" y="3484908"/>
          <a:ext cx="5133975" cy="2371725"/>
          <a:chOff x="4819650" y="2333625"/>
          <a:chExt cx="9305926" cy="3879360"/>
        </a:xfrm>
      </xdr:grpSpPr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819650" y="2333625"/>
            <a:ext cx="9305926" cy="2667082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6" name="Imagen 5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79512"/>
          <a:stretch/>
        </xdr:blipFill>
        <xdr:spPr>
          <a:xfrm>
            <a:off x="4895849" y="5162553"/>
            <a:ext cx="9158653" cy="1050432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  <xdr:twoCellAnchor editAs="oneCell">
    <xdr:from>
      <xdr:col>1</xdr:col>
      <xdr:colOff>209550</xdr:colOff>
      <xdr:row>11</xdr:row>
      <xdr:rowOff>114300</xdr:rowOff>
    </xdr:from>
    <xdr:to>
      <xdr:col>1</xdr:col>
      <xdr:colOff>1704975</xdr:colOff>
      <xdr:row>13</xdr:row>
      <xdr:rowOff>80271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88152" r="44279" b="474"/>
        <a:stretch>
          <a:fillRect/>
        </a:stretch>
      </xdr:blipFill>
      <xdr:spPr bwMode="auto">
        <a:xfrm>
          <a:off x="447675" y="2409825"/>
          <a:ext cx="1495425" cy="3469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15702</xdr:colOff>
      <xdr:row>6</xdr:row>
      <xdr:rowOff>8284</xdr:rowOff>
    </xdr:from>
    <xdr:to>
      <xdr:col>4</xdr:col>
      <xdr:colOff>289892</xdr:colOff>
      <xdr:row>14</xdr:row>
      <xdr:rowOff>33130</xdr:rowOff>
    </xdr:to>
    <xdr:grpSp>
      <xdr:nvGrpSpPr>
        <xdr:cNvPr id="7" name="Grupo 6"/>
        <xdr:cNvGrpSpPr/>
      </xdr:nvGrpSpPr>
      <xdr:grpSpPr>
        <a:xfrm>
          <a:off x="255898" y="1532284"/>
          <a:ext cx="3620364" cy="1548846"/>
          <a:chOff x="310976" y="3057525"/>
          <a:chExt cx="6727999" cy="2154477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10976" y="3057525"/>
            <a:ext cx="6727999" cy="1865012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4161" t="88401" r="15792" b="6922"/>
          <a:stretch/>
        </xdr:blipFill>
        <xdr:spPr>
          <a:xfrm>
            <a:off x="371475" y="4991100"/>
            <a:ext cx="6657975" cy="220902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  <xdr:twoCellAnchor editAs="oneCell">
    <xdr:from>
      <xdr:col>1</xdr:col>
      <xdr:colOff>170976</xdr:colOff>
      <xdr:row>15</xdr:row>
      <xdr:rowOff>34859</xdr:rowOff>
    </xdr:from>
    <xdr:to>
      <xdr:col>13</xdr:col>
      <xdr:colOff>546653</xdr:colOff>
      <xdr:row>40</xdr:row>
      <xdr:rowOff>137991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818" t="33205" r="43538" b="21948"/>
        <a:stretch/>
      </xdr:blipFill>
      <xdr:spPr>
        <a:xfrm>
          <a:off x="411172" y="3273359"/>
          <a:ext cx="8235872" cy="486563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21228</xdr:colOff>
      <xdr:row>14</xdr:row>
      <xdr:rowOff>109906</xdr:rowOff>
    </xdr:from>
    <xdr:to>
      <xdr:col>15</xdr:col>
      <xdr:colOff>51289</xdr:colOff>
      <xdr:row>28</xdr:row>
      <xdr:rowOff>142340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3113" y="3187214"/>
          <a:ext cx="6023484" cy="269943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165718</xdr:colOff>
      <xdr:row>19</xdr:row>
      <xdr:rowOff>35124</xdr:rowOff>
    </xdr:from>
    <xdr:to>
      <xdr:col>11</xdr:col>
      <xdr:colOff>33618</xdr:colOff>
      <xdr:row>69</xdr:row>
      <xdr:rowOff>149171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5967"/>
        <a:stretch/>
      </xdr:blipFill>
      <xdr:spPr bwMode="auto">
        <a:xfrm>
          <a:off x="401042" y="4069242"/>
          <a:ext cx="7218958" cy="9639047"/>
        </a:xfrm>
        <a:prstGeom prst="rect">
          <a:avLst/>
        </a:prstGeom>
        <a:noFill/>
      </xdr:spPr>
    </xdr:pic>
    <xdr:clientData/>
  </xdr:twoCellAnchor>
  <xdr:twoCellAnchor>
    <xdr:from>
      <xdr:col>16</xdr:col>
      <xdr:colOff>302990</xdr:colOff>
      <xdr:row>1</xdr:row>
      <xdr:rowOff>193948</xdr:rowOff>
    </xdr:from>
    <xdr:to>
      <xdr:col>26</xdr:col>
      <xdr:colOff>324541</xdr:colOff>
      <xdr:row>21</xdr:row>
      <xdr:rowOff>123264</xdr:rowOff>
    </xdr:to>
    <xdr:grpSp>
      <xdr:nvGrpSpPr>
        <xdr:cNvPr id="7" name="Grupo 6"/>
        <xdr:cNvGrpSpPr/>
      </xdr:nvGrpSpPr>
      <xdr:grpSpPr>
        <a:xfrm>
          <a:off x="11239931" y="384448"/>
          <a:ext cx="7439845" cy="4153934"/>
          <a:chOff x="7037725" y="877507"/>
          <a:chExt cx="7439845" cy="4153934"/>
        </a:xfrm>
      </xdr:grpSpPr>
      <xdr:grpSp>
        <xdr:nvGrpSpPr>
          <xdr:cNvPr id="6" name="Grupo 5"/>
          <xdr:cNvGrpSpPr/>
        </xdr:nvGrpSpPr>
        <xdr:grpSpPr>
          <a:xfrm>
            <a:off x="7037725" y="877507"/>
            <a:ext cx="7439845" cy="3488907"/>
            <a:chOff x="10958283" y="-49781"/>
            <a:chExt cx="5172516" cy="2630282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pic>
          <xdr:nvPicPr>
            <xdr:cNvPr id="4" name="Imagen 3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58283" y="-49781"/>
              <a:ext cx="5172516" cy="1589942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</xdr:spPr>
        </xdr:pic>
        <xdr:pic>
          <xdr:nvPicPr>
            <xdr:cNvPr id="5" name="Imagen 4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098898" y="1631741"/>
              <a:ext cx="3377712" cy="948760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</xdr:spPr>
        </xdr:pic>
      </xdr:grpSp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94176" y="4515970"/>
            <a:ext cx="6485341" cy="515471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</xdr:grpSp>
    <xdr:clientData/>
  </xdr:twoCellAnchor>
  <xdr:twoCellAnchor>
    <xdr:from>
      <xdr:col>3</xdr:col>
      <xdr:colOff>179295</xdr:colOff>
      <xdr:row>12</xdr:row>
      <xdr:rowOff>134470</xdr:rowOff>
    </xdr:from>
    <xdr:to>
      <xdr:col>5</xdr:col>
      <xdr:colOff>697607</xdr:colOff>
      <xdr:row>17</xdr:row>
      <xdr:rowOff>115421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871383" y="2835088"/>
          <a:ext cx="1975077" cy="9334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es-AR" sz="2800" b="0" i="0" u="none" strike="noStrike" baseline="0">
              <a:solidFill>
                <a:srgbClr val="000000"/>
              </a:solidFill>
              <a:latin typeface="+mn-lt"/>
            </a:rPr>
            <a:t>X= µ ± Z*</a:t>
          </a:r>
          <a:r>
            <a:rPr lang="el-GR" sz="2800" b="0" i="0" u="none" strike="noStrike" baseline="0">
              <a:solidFill>
                <a:srgbClr val="000000"/>
              </a:solidFill>
              <a:latin typeface="+mn-lt"/>
            </a:rPr>
            <a:t>σ</a:t>
          </a:r>
          <a:endParaRPr lang="es-ES" sz="2800" b="0" i="0" u="none" strike="noStrike" baseline="0">
            <a:solidFill>
              <a:srgbClr val="000000"/>
            </a:solidFill>
            <a:latin typeface="+mn-lt"/>
          </a:endParaRPr>
        </a:p>
        <a:p>
          <a:pPr algn="ctr" rtl="0">
            <a:defRPr sz="1000"/>
          </a:pPr>
          <a:r>
            <a:rPr lang="es-ES" sz="2800" b="0" i="0" u="none" strike="noStrike" baseline="0">
              <a:solidFill>
                <a:srgbClr val="000000"/>
              </a:solidFill>
              <a:latin typeface="+mn-lt"/>
            </a:rPr>
            <a:t>X=70±Z*10</a:t>
          </a:r>
          <a:endParaRPr lang="el-GR" sz="2800" b="0" i="0" u="none" strike="noStrike" baseline="0">
            <a:solidFill>
              <a:srgbClr val="000000"/>
            </a:solidFill>
            <a:latin typeface="+mn-lt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170722</xdr:colOff>
      <xdr:row>1</xdr:row>
      <xdr:rowOff>43962</xdr:rowOff>
    </xdr:from>
    <xdr:to>
      <xdr:col>6</xdr:col>
      <xdr:colOff>529139</xdr:colOff>
      <xdr:row>25</xdr:row>
      <xdr:rowOff>80594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22" y="234462"/>
          <a:ext cx="4564071" cy="4557344"/>
        </a:xfrm>
        <a:prstGeom prst="rect">
          <a:avLst/>
        </a:prstGeom>
      </xdr:spPr>
    </xdr:pic>
    <xdr:clientData/>
  </xdr:twoCellAnchor>
  <xdr:twoCellAnchor editAs="oneCell">
    <xdr:from>
      <xdr:col>10</xdr:col>
      <xdr:colOff>401877</xdr:colOff>
      <xdr:row>8</xdr:row>
      <xdr:rowOff>85397</xdr:rowOff>
    </xdr:from>
    <xdr:to>
      <xdr:col>13</xdr:col>
      <xdr:colOff>303670</xdr:colOff>
      <xdr:row>13</xdr:row>
      <xdr:rowOff>74532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3187" y="1602828"/>
          <a:ext cx="2049845" cy="935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534865</xdr:colOff>
      <xdr:row>7</xdr:row>
      <xdr:rowOff>189768</xdr:rowOff>
    </xdr:from>
    <xdr:to>
      <xdr:col>45</xdr:col>
      <xdr:colOff>0</xdr:colOff>
      <xdr:row>20</xdr:row>
      <xdr:rowOff>29307</xdr:rowOff>
    </xdr:to>
    <xdr:grpSp>
      <xdr:nvGrpSpPr>
        <xdr:cNvPr id="23" name="Grupo 22"/>
        <xdr:cNvGrpSpPr/>
      </xdr:nvGrpSpPr>
      <xdr:grpSpPr>
        <a:xfrm>
          <a:off x="26723012" y="1512062"/>
          <a:ext cx="5426664" cy="2271216"/>
          <a:chOff x="4125057" y="1414097"/>
          <a:chExt cx="9042889" cy="3240700"/>
        </a:xfrm>
      </xdr:grpSpPr>
      <xdr:pic>
        <xdr:nvPicPr>
          <xdr:cNvPr id="6" name="Imagen 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98018" y="3444123"/>
            <a:ext cx="2058866" cy="12106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22" name="Grupo 21"/>
          <xdr:cNvGrpSpPr/>
        </xdr:nvGrpSpPr>
        <xdr:grpSpPr>
          <a:xfrm>
            <a:off x="4125057" y="1414097"/>
            <a:ext cx="9042889" cy="1738679"/>
            <a:chOff x="4125057" y="1414097"/>
            <a:chExt cx="9042889" cy="1738679"/>
          </a:xfrm>
        </xdr:grpSpPr>
        <xdr:pic>
          <xdr:nvPicPr>
            <xdr:cNvPr id="18" name="Imagen 1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125057" y="1450731"/>
              <a:ext cx="2213464" cy="168006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Imagen 1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403730" y="1428751"/>
              <a:ext cx="2206869" cy="17240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Imagen 1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667750" y="1421423"/>
              <a:ext cx="2206869" cy="17240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" name="Imagen 2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961077" y="1414097"/>
              <a:ext cx="2206869" cy="17240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 editAs="oneCell">
    <xdr:from>
      <xdr:col>13</xdr:col>
      <xdr:colOff>453513</xdr:colOff>
      <xdr:row>7</xdr:row>
      <xdr:rowOff>126178</xdr:rowOff>
    </xdr:from>
    <xdr:to>
      <xdr:col>17</xdr:col>
      <xdr:colOff>173795</xdr:colOff>
      <xdr:row>13</xdr:row>
      <xdr:rowOff>83377</xdr:rowOff>
    </xdr:to>
    <xdr:pic>
      <xdr:nvPicPr>
        <xdr:cNvPr id="28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2875" y="1453109"/>
          <a:ext cx="2643472" cy="1093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162914</xdr:colOff>
      <xdr:row>26</xdr:row>
      <xdr:rowOff>3339</xdr:rowOff>
    </xdr:from>
    <xdr:to>
      <xdr:col>11</xdr:col>
      <xdr:colOff>374533</xdr:colOff>
      <xdr:row>33</xdr:row>
      <xdr:rowOff>184546</xdr:rowOff>
    </xdr:to>
    <xdr:pic>
      <xdr:nvPicPr>
        <xdr:cNvPr id="30" name="Imagen 2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648" y="4896808"/>
          <a:ext cx="1896354" cy="1514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656281</xdr:colOff>
      <xdr:row>27</xdr:row>
      <xdr:rowOff>183930</xdr:rowOff>
    </xdr:from>
    <xdr:to>
      <xdr:col>10</xdr:col>
      <xdr:colOff>735108</xdr:colOff>
      <xdr:row>28</xdr:row>
      <xdr:rowOff>78827</xdr:rowOff>
    </xdr:to>
    <xdr:sp macro="" textlink="">
      <xdr:nvSpPr>
        <xdr:cNvPr id="31" name="Elipse 30"/>
        <xdr:cNvSpPr/>
      </xdr:nvSpPr>
      <xdr:spPr>
        <a:xfrm>
          <a:off x="7073750" y="5267899"/>
          <a:ext cx="78827" cy="853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19</xdr:col>
      <xdr:colOff>247507</xdr:colOff>
      <xdr:row>35</xdr:row>
      <xdr:rowOff>7578</xdr:rowOff>
    </xdr:from>
    <xdr:to>
      <xdr:col>21</xdr:col>
      <xdr:colOff>182493</xdr:colOff>
      <xdr:row>38</xdr:row>
      <xdr:rowOff>105530</xdr:rowOff>
    </xdr:to>
    <xdr:pic>
      <xdr:nvPicPr>
        <xdr:cNvPr id="32" name="Imagen 3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47490" y="6622526"/>
          <a:ext cx="1465555" cy="669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37411</xdr:colOff>
      <xdr:row>22</xdr:row>
      <xdr:rowOff>168583</xdr:rowOff>
    </xdr:from>
    <xdr:to>
      <xdr:col>10</xdr:col>
      <xdr:colOff>247777</xdr:colOff>
      <xdr:row>24</xdr:row>
      <xdr:rowOff>8685</xdr:rowOff>
    </xdr:to>
    <xdr:sp macro="" textlink="">
      <xdr:nvSpPr>
        <xdr:cNvPr id="34" name="CuadroTexto 33"/>
        <xdr:cNvSpPr txBox="1"/>
      </xdr:nvSpPr>
      <xdr:spPr>
        <a:xfrm>
          <a:off x="6458382" y="4303554"/>
          <a:ext cx="210366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1</a:t>
          </a:r>
        </a:p>
      </xdr:txBody>
    </xdr:sp>
    <xdr:clientData/>
  </xdr:twoCellAnchor>
  <xdr:twoCellAnchor>
    <xdr:from>
      <xdr:col>24</xdr:col>
      <xdr:colOff>738360</xdr:colOff>
      <xdr:row>22</xdr:row>
      <xdr:rowOff>169045</xdr:rowOff>
    </xdr:from>
    <xdr:to>
      <xdr:col>25</xdr:col>
      <xdr:colOff>174819</xdr:colOff>
      <xdr:row>24</xdr:row>
      <xdr:rowOff>9147</xdr:rowOff>
    </xdr:to>
    <xdr:sp macro="" textlink="">
      <xdr:nvSpPr>
        <xdr:cNvPr id="35" name="CuadroTexto 34"/>
        <xdr:cNvSpPr txBox="1"/>
      </xdr:nvSpPr>
      <xdr:spPr>
        <a:xfrm>
          <a:off x="17419016" y="4300514"/>
          <a:ext cx="210366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1</a:t>
          </a:r>
        </a:p>
      </xdr:txBody>
    </xdr:sp>
    <xdr:clientData/>
  </xdr:twoCellAnchor>
  <xdr:twoCellAnchor editAs="oneCell">
    <xdr:from>
      <xdr:col>14</xdr:col>
      <xdr:colOff>20037</xdr:colOff>
      <xdr:row>26</xdr:row>
      <xdr:rowOff>9293</xdr:rowOff>
    </xdr:from>
    <xdr:to>
      <xdr:col>16</xdr:col>
      <xdr:colOff>380485</xdr:colOff>
      <xdr:row>34</xdr:row>
      <xdr:rowOff>0</xdr:rowOff>
    </xdr:to>
    <xdr:pic>
      <xdr:nvPicPr>
        <xdr:cNvPr id="42" name="Imagen 4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2631" y="4902762"/>
          <a:ext cx="1896354" cy="1514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709858</xdr:colOff>
      <xdr:row>28</xdr:row>
      <xdr:rowOff>172024</xdr:rowOff>
    </xdr:from>
    <xdr:to>
      <xdr:col>16</xdr:col>
      <xdr:colOff>26685</xdr:colOff>
      <xdr:row>29</xdr:row>
      <xdr:rowOff>66921</xdr:rowOff>
    </xdr:to>
    <xdr:sp macro="" textlink="">
      <xdr:nvSpPr>
        <xdr:cNvPr id="43" name="Elipse 42"/>
        <xdr:cNvSpPr/>
      </xdr:nvSpPr>
      <xdr:spPr>
        <a:xfrm>
          <a:off x="10806358" y="5446493"/>
          <a:ext cx="78827" cy="853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76980</xdr:colOff>
      <xdr:row>22</xdr:row>
      <xdr:rowOff>185743</xdr:rowOff>
    </xdr:from>
    <xdr:to>
      <xdr:col>15</xdr:col>
      <xdr:colOff>287346</xdr:colOff>
      <xdr:row>24</xdr:row>
      <xdr:rowOff>25845</xdr:rowOff>
    </xdr:to>
    <xdr:sp macro="" textlink="">
      <xdr:nvSpPr>
        <xdr:cNvPr id="44" name="CuadroTexto 43"/>
        <xdr:cNvSpPr txBox="1"/>
      </xdr:nvSpPr>
      <xdr:spPr>
        <a:xfrm>
          <a:off x="10173480" y="4317212"/>
          <a:ext cx="210366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</a:t>
          </a:r>
        </a:p>
      </xdr:txBody>
    </xdr:sp>
    <xdr:clientData/>
  </xdr:twoCellAnchor>
  <xdr:twoCellAnchor>
    <xdr:from>
      <xdr:col>29</xdr:col>
      <xdr:colOff>768124</xdr:colOff>
      <xdr:row>22</xdr:row>
      <xdr:rowOff>133326</xdr:rowOff>
    </xdr:from>
    <xdr:to>
      <xdr:col>30</xdr:col>
      <xdr:colOff>204584</xdr:colOff>
      <xdr:row>23</xdr:row>
      <xdr:rowOff>163928</xdr:rowOff>
    </xdr:to>
    <xdr:sp macro="" textlink="">
      <xdr:nvSpPr>
        <xdr:cNvPr id="45" name="CuadroTexto 44"/>
        <xdr:cNvSpPr txBox="1"/>
      </xdr:nvSpPr>
      <xdr:spPr>
        <a:xfrm>
          <a:off x="21127812" y="4264795"/>
          <a:ext cx="210366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</a:t>
          </a:r>
        </a:p>
      </xdr:txBody>
    </xdr:sp>
    <xdr:clientData/>
  </xdr:twoCellAnchor>
  <xdr:twoCellAnchor editAs="oneCell">
    <xdr:from>
      <xdr:col>19</xdr:col>
      <xdr:colOff>2178</xdr:colOff>
      <xdr:row>26</xdr:row>
      <xdr:rowOff>116449</xdr:rowOff>
    </xdr:from>
    <xdr:to>
      <xdr:col>21</xdr:col>
      <xdr:colOff>362626</xdr:colOff>
      <xdr:row>34</xdr:row>
      <xdr:rowOff>107156</xdr:rowOff>
    </xdr:to>
    <xdr:pic>
      <xdr:nvPicPr>
        <xdr:cNvPr id="46" name="Imagen 4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3803" y="5009918"/>
          <a:ext cx="1896354" cy="1514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656280</xdr:colOff>
      <xdr:row>30</xdr:row>
      <xdr:rowOff>76773</xdr:rowOff>
    </xdr:from>
    <xdr:to>
      <xdr:col>20</xdr:col>
      <xdr:colOff>735107</xdr:colOff>
      <xdr:row>30</xdr:row>
      <xdr:rowOff>162170</xdr:rowOff>
    </xdr:to>
    <xdr:sp macro="" textlink="">
      <xdr:nvSpPr>
        <xdr:cNvPr id="47" name="Elipse 46"/>
        <xdr:cNvSpPr/>
      </xdr:nvSpPr>
      <xdr:spPr>
        <a:xfrm>
          <a:off x="14431811" y="5732242"/>
          <a:ext cx="78827" cy="853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76980</xdr:colOff>
      <xdr:row>23</xdr:row>
      <xdr:rowOff>1197</xdr:rowOff>
    </xdr:from>
    <xdr:to>
      <xdr:col>20</xdr:col>
      <xdr:colOff>287346</xdr:colOff>
      <xdr:row>24</xdr:row>
      <xdr:rowOff>31799</xdr:rowOff>
    </xdr:to>
    <xdr:sp macro="" textlink="">
      <xdr:nvSpPr>
        <xdr:cNvPr id="48" name="CuadroTexto 47"/>
        <xdr:cNvSpPr txBox="1"/>
      </xdr:nvSpPr>
      <xdr:spPr>
        <a:xfrm>
          <a:off x="13852511" y="4323166"/>
          <a:ext cx="210366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3</a:t>
          </a:r>
        </a:p>
      </xdr:txBody>
    </xdr:sp>
    <xdr:clientData/>
  </xdr:twoCellAnchor>
  <xdr:twoCellAnchor editAs="oneCell">
    <xdr:from>
      <xdr:col>24</xdr:col>
      <xdr:colOff>210538</xdr:colOff>
      <xdr:row>25</xdr:row>
      <xdr:rowOff>110496</xdr:rowOff>
    </xdr:from>
    <xdr:to>
      <xdr:col>26</xdr:col>
      <xdr:colOff>570985</xdr:colOff>
      <xdr:row>33</xdr:row>
      <xdr:rowOff>101203</xdr:rowOff>
    </xdr:to>
    <xdr:pic>
      <xdr:nvPicPr>
        <xdr:cNvPr id="49" name="Imagen 4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194" y="4813465"/>
          <a:ext cx="1896354" cy="1514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132405</xdr:colOff>
      <xdr:row>30</xdr:row>
      <xdr:rowOff>41055</xdr:rowOff>
    </xdr:from>
    <xdr:to>
      <xdr:col>26</xdr:col>
      <xdr:colOff>211232</xdr:colOff>
      <xdr:row>30</xdr:row>
      <xdr:rowOff>126452</xdr:rowOff>
    </xdr:to>
    <xdr:sp macro="" textlink="">
      <xdr:nvSpPr>
        <xdr:cNvPr id="50" name="Elipse 49"/>
        <xdr:cNvSpPr/>
      </xdr:nvSpPr>
      <xdr:spPr>
        <a:xfrm>
          <a:off x="18348968" y="5696524"/>
          <a:ext cx="78827" cy="853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25</xdr:col>
      <xdr:colOff>509456</xdr:colOff>
      <xdr:row>21</xdr:row>
      <xdr:rowOff>174538</xdr:rowOff>
    </xdr:from>
    <xdr:to>
      <xdr:col>25</xdr:col>
      <xdr:colOff>719822</xdr:colOff>
      <xdr:row>23</xdr:row>
      <xdr:rowOff>14640</xdr:rowOff>
    </xdr:to>
    <xdr:sp macro="" textlink="">
      <xdr:nvSpPr>
        <xdr:cNvPr id="51" name="CuadroTexto 50"/>
        <xdr:cNvSpPr txBox="1"/>
      </xdr:nvSpPr>
      <xdr:spPr>
        <a:xfrm>
          <a:off x="17957015" y="4119009"/>
          <a:ext cx="210366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4</a:t>
          </a:r>
        </a:p>
      </xdr:txBody>
    </xdr:sp>
    <xdr:clientData/>
  </xdr:twoCellAnchor>
  <xdr:twoCellAnchor>
    <xdr:from>
      <xdr:col>30</xdr:col>
      <xdr:colOff>577624</xdr:colOff>
      <xdr:row>22</xdr:row>
      <xdr:rowOff>133326</xdr:rowOff>
    </xdr:from>
    <xdr:to>
      <xdr:col>31</xdr:col>
      <xdr:colOff>25990</xdr:colOff>
      <xdr:row>23</xdr:row>
      <xdr:rowOff>163928</xdr:rowOff>
    </xdr:to>
    <xdr:sp macro="" textlink="">
      <xdr:nvSpPr>
        <xdr:cNvPr id="52" name="CuadroTexto 51"/>
        <xdr:cNvSpPr txBox="1"/>
      </xdr:nvSpPr>
      <xdr:spPr>
        <a:xfrm>
          <a:off x="21711218" y="4264795"/>
          <a:ext cx="210366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3</a:t>
          </a:r>
        </a:p>
      </xdr:txBody>
    </xdr:sp>
    <xdr:clientData/>
  </xdr:twoCellAnchor>
  <xdr:twoCellAnchor editAs="oneCell">
    <xdr:from>
      <xdr:col>24</xdr:col>
      <xdr:colOff>339472</xdr:colOff>
      <xdr:row>34</xdr:row>
      <xdr:rowOff>101187</xdr:rowOff>
    </xdr:from>
    <xdr:to>
      <xdr:col>26</xdr:col>
      <xdr:colOff>274459</xdr:colOff>
      <xdr:row>38</xdr:row>
      <xdr:rowOff>8639</xdr:rowOff>
    </xdr:to>
    <xdr:pic>
      <xdr:nvPicPr>
        <xdr:cNvPr id="53" name="Imagen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75" y="6525635"/>
          <a:ext cx="1465556" cy="669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214661</xdr:colOff>
      <xdr:row>34</xdr:row>
      <xdr:rowOff>72037</xdr:rowOff>
    </xdr:from>
    <xdr:to>
      <xdr:col>16</xdr:col>
      <xdr:colOff>149649</xdr:colOff>
      <xdr:row>37</xdr:row>
      <xdr:rowOff>169989</xdr:rowOff>
    </xdr:to>
    <xdr:pic>
      <xdr:nvPicPr>
        <xdr:cNvPr id="54" name="Imagen 5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6023" y="6496485"/>
          <a:ext cx="1465557" cy="669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399207</xdr:colOff>
      <xdr:row>34</xdr:row>
      <xdr:rowOff>171392</xdr:rowOff>
    </xdr:from>
    <xdr:to>
      <xdr:col>11</xdr:col>
      <xdr:colOff>181877</xdr:colOff>
      <xdr:row>38</xdr:row>
      <xdr:rowOff>78844</xdr:rowOff>
    </xdr:to>
    <xdr:pic>
      <xdr:nvPicPr>
        <xdr:cNvPr id="55" name="Imagen 5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4293" y="6595840"/>
          <a:ext cx="1470894" cy="669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35890</xdr:colOff>
      <xdr:row>22</xdr:row>
      <xdr:rowOff>127372</xdr:rowOff>
    </xdr:from>
    <xdr:to>
      <xdr:col>35</xdr:col>
      <xdr:colOff>246256</xdr:colOff>
      <xdr:row>23</xdr:row>
      <xdr:rowOff>157974</xdr:rowOff>
    </xdr:to>
    <xdr:sp macro="" textlink="">
      <xdr:nvSpPr>
        <xdr:cNvPr id="56" name="CuadroTexto 55"/>
        <xdr:cNvSpPr txBox="1"/>
      </xdr:nvSpPr>
      <xdr:spPr>
        <a:xfrm>
          <a:off x="24848515" y="4258841"/>
          <a:ext cx="210366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4</a:t>
          </a:r>
        </a:p>
      </xdr:txBody>
    </xdr:sp>
    <xdr:clientData/>
  </xdr:twoCellAnchor>
  <xdr:twoCellAnchor>
    <xdr:from>
      <xdr:col>10</xdr:col>
      <xdr:colOff>511149</xdr:colOff>
      <xdr:row>2</xdr:row>
      <xdr:rowOff>153513</xdr:rowOff>
    </xdr:from>
    <xdr:to>
      <xdr:col>10</xdr:col>
      <xdr:colOff>721515</xdr:colOff>
      <xdr:row>4</xdr:row>
      <xdr:rowOff>184</xdr:rowOff>
    </xdr:to>
    <xdr:sp macro="" textlink="">
      <xdr:nvSpPr>
        <xdr:cNvPr id="61" name="CuadroTexto 60"/>
        <xdr:cNvSpPr txBox="1"/>
      </xdr:nvSpPr>
      <xdr:spPr>
        <a:xfrm>
          <a:off x="6922459" y="534513"/>
          <a:ext cx="210366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1</a:t>
          </a:r>
        </a:p>
      </xdr:txBody>
    </xdr:sp>
    <xdr:clientData/>
  </xdr:twoCellAnchor>
  <xdr:twoCellAnchor>
    <xdr:from>
      <xdr:col>10</xdr:col>
      <xdr:colOff>510532</xdr:colOff>
      <xdr:row>3</xdr:row>
      <xdr:rowOff>179174</xdr:rowOff>
    </xdr:from>
    <xdr:to>
      <xdr:col>10</xdr:col>
      <xdr:colOff>720898</xdr:colOff>
      <xdr:row>5</xdr:row>
      <xdr:rowOff>19276</xdr:rowOff>
    </xdr:to>
    <xdr:sp macro="" textlink="">
      <xdr:nvSpPr>
        <xdr:cNvPr id="62" name="CuadroTexto 61"/>
        <xdr:cNvSpPr txBox="1"/>
      </xdr:nvSpPr>
      <xdr:spPr>
        <a:xfrm>
          <a:off x="6921842" y="744105"/>
          <a:ext cx="210366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</a:t>
          </a:r>
        </a:p>
      </xdr:txBody>
    </xdr:sp>
    <xdr:clientData/>
  </xdr:twoCellAnchor>
  <xdr:twoCellAnchor>
    <xdr:from>
      <xdr:col>10</xdr:col>
      <xdr:colOff>510533</xdr:colOff>
      <xdr:row>4</xdr:row>
      <xdr:rowOff>171990</xdr:rowOff>
    </xdr:from>
    <xdr:to>
      <xdr:col>10</xdr:col>
      <xdr:colOff>720899</xdr:colOff>
      <xdr:row>6</xdr:row>
      <xdr:rowOff>12092</xdr:rowOff>
    </xdr:to>
    <xdr:sp macro="" textlink="">
      <xdr:nvSpPr>
        <xdr:cNvPr id="63" name="CuadroTexto 62"/>
        <xdr:cNvSpPr txBox="1"/>
      </xdr:nvSpPr>
      <xdr:spPr>
        <a:xfrm>
          <a:off x="6921843" y="927421"/>
          <a:ext cx="210366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3</a:t>
          </a:r>
        </a:p>
      </xdr:txBody>
    </xdr:sp>
    <xdr:clientData/>
  </xdr:twoCellAnchor>
  <xdr:twoCellAnchor>
    <xdr:from>
      <xdr:col>10</xdr:col>
      <xdr:colOff>515253</xdr:colOff>
      <xdr:row>5</xdr:row>
      <xdr:rowOff>172606</xdr:rowOff>
    </xdr:from>
    <xdr:to>
      <xdr:col>10</xdr:col>
      <xdr:colOff>725619</xdr:colOff>
      <xdr:row>7</xdr:row>
      <xdr:rowOff>12708</xdr:rowOff>
    </xdr:to>
    <xdr:sp macro="" textlink="">
      <xdr:nvSpPr>
        <xdr:cNvPr id="64" name="CuadroTexto 63"/>
        <xdr:cNvSpPr txBox="1"/>
      </xdr:nvSpPr>
      <xdr:spPr>
        <a:xfrm>
          <a:off x="6926563" y="1118537"/>
          <a:ext cx="210366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4</a:t>
          </a:r>
        </a:p>
      </xdr:txBody>
    </xdr:sp>
    <xdr:clientData/>
  </xdr:twoCellAnchor>
  <xdr:twoCellAnchor>
    <xdr:from>
      <xdr:col>25</xdr:col>
      <xdr:colOff>528153</xdr:colOff>
      <xdr:row>2</xdr:row>
      <xdr:rowOff>142769</xdr:rowOff>
    </xdr:from>
    <xdr:to>
      <xdr:col>25</xdr:col>
      <xdr:colOff>733181</xdr:colOff>
      <xdr:row>3</xdr:row>
      <xdr:rowOff>179940</xdr:rowOff>
    </xdr:to>
    <xdr:sp macro="" textlink="">
      <xdr:nvSpPr>
        <xdr:cNvPr id="65" name="CuadroTexto 64"/>
        <xdr:cNvSpPr txBox="1"/>
      </xdr:nvSpPr>
      <xdr:spPr>
        <a:xfrm>
          <a:off x="17975325" y="523769"/>
          <a:ext cx="205028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1</a:t>
          </a:r>
        </a:p>
      </xdr:txBody>
    </xdr:sp>
    <xdr:clientData/>
  </xdr:twoCellAnchor>
  <xdr:twoCellAnchor>
    <xdr:from>
      <xdr:col>25</xdr:col>
      <xdr:colOff>525073</xdr:colOff>
      <xdr:row>3</xdr:row>
      <xdr:rowOff>172739</xdr:rowOff>
    </xdr:from>
    <xdr:to>
      <xdr:col>25</xdr:col>
      <xdr:colOff>730102</xdr:colOff>
      <xdr:row>5</xdr:row>
      <xdr:rowOff>12841</xdr:rowOff>
    </xdr:to>
    <xdr:sp macro="" textlink="">
      <xdr:nvSpPr>
        <xdr:cNvPr id="66" name="CuadroTexto 65"/>
        <xdr:cNvSpPr txBox="1"/>
      </xdr:nvSpPr>
      <xdr:spPr>
        <a:xfrm>
          <a:off x="17972245" y="737670"/>
          <a:ext cx="205029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2</a:t>
          </a:r>
        </a:p>
      </xdr:txBody>
    </xdr:sp>
    <xdr:clientData/>
  </xdr:twoCellAnchor>
  <xdr:twoCellAnchor>
    <xdr:from>
      <xdr:col>20</xdr:col>
      <xdr:colOff>531641</xdr:colOff>
      <xdr:row>4</xdr:row>
      <xdr:rowOff>166170</xdr:rowOff>
    </xdr:from>
    <xdr:to>
      <xdr:col>20</xdr:col>
      <xdr:colOff>742007</xdr:colOff>
      <xdr:row>6</xdr:row>
      <xdr:rowOff>6272</xdr:rowOff>
    </xdr:to>
    <xdr:sp macro="" textlink="">
      <xdr:nvSpPr>
        <xdr:cNvPr id="67" name="CuadroTexto 66"/>
        <xdr:cNvSpPr txBox="1"/>
      </xdr:nvSpPr>
      <xdr:spPr>
        <a:xfrm>
          <a:off x="14300193" y="921601"/>
          <a:ext cx="210366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3</a:t>
          </a:r>
        </a:p>
      </xdr:txBody>
    </xdr:sp>
    <xdr:clientData/>
  </xdr:twoCellAnchor>
  <xdr:twoCellAnchor>
    <xdr:from>
      <xdr:col>20</xdr:col>
      <xdr:colOff>535132</xdr:colOff>
      <xdr:row>5</xdr:row>
      <xdr:rowOff>173354</xdr:rowOff>
    </xdr:from>
    <xdr:to>
      <xdr:col>20</xdr:col>
      <xdr:colOff>745498</xdr:colOff>
      <xdr:row>7</xdr:row>
      <xdr:rowOff>13456</xdr:rowOff>
    </xdr:to>
    <xdr:sp macro="" textlink="">
      <xdr:nvSpPr>
        <xdr:cNvPr id="68" name="CuadroTexto 67"/>
        <xdr:cNvSpPr txBox="1"/>
      </xdr:nvSpPr>
      <xdr:spPr>
        <a:xfrm>
          <a:off x="14303684" y="1119285"/>
          <a:ext cx="210366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4</a:t>
          </a:r>
        </a:p>
      </xdr:txBody>
    </xdr:sp>
    <xdr:clientData/>
  </xdr:twoCellAnchor>
  <xdr:twoCellAnchor>
    <xdr:from>
      <xdr:col>8</xdr:col>
      <xdr:colOff>71028</xdr:colOff>
      <xdr:row>7</xdr:row>
      <xdr:rowOff>120668</xdr:rowOff>
    </xdr:from>
    <xdr:to>
      <xdr:col>9</xdr:col>
      <xdr:colOff>302173</xdr:colOff>
      <xdr:row>8</xdr:row>
      <xdr:rowOff>151270</xdr:rowOff>
    </xdr:to>
    <xdr:sp macro="" textlink="">
      <xdr:nvSpPr>
        <xdr:cNvPr id="69" name="CuadroTexto 68"/>
        <xdr:cNvSpPr txBox="1"/>
      </xdr:nvSpPr>
      <xdr:spPr>
        <a:xfrm>
          <a:off x="5070011" y="1447599"/>
          <a:ext cx="717248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Pedidos</a:t>
          </a:r>
        </a:p>
      </xdr:txBody>
    </xdr:sp>
    <xdr:clientData/>
  </xdr:twoCellAnchor>
  <xdr:twoCellAnchor>
    <xdr:from>
      <xdr:col>9</xdr:col>
      <xdr:colOff>357360</xdr:colOff>
      <xdr:row>7</xdr:row>
      <xdr:rowOff>123062</xdr:rowOff>
    </xdr:from>
    <xdr:to>
      <xdr:col>10</xdr:col>
      <xdr:colOff>131380</xdr:colOff>
      <xdr:row>8</xdr:row>
      <xdr:rowOff>153664</xdr:rowOff>
    </xdr:to>
    <xdr:sp macro="" textlink="">
      <xdr:nvSpPr>
        <xdr:cNvPr id="70" name="CuadroTexto 69"/>
        <xdr:cNvSpPr txBox="1"/>
      </xdr:nvSpPr>
      <xdr:spPr>
        <a:xfrm>
          <a:off x="5842446" y="1449993"/>
          <a:ext cx="700244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Llegadas</a:t>
          </a:r>
        </a:p>
      </xdr:txBody>
    </xdr:sp>
    <xdr:clientData/>
  </xdr:twoCellAnchor>
  <xdr:twoCellAnchor>
    <xdr:from>
      <xdr:col>9</xdr:col>
      <xdr:colOff>57890</xdr:colOff>
      <xdr:row>22</xdr:row>
      <xdr:rowOff>61548</xdr:rowOff>
    </xdr:from>
    <xdr:to>
      <xdr:col>9</xdr:col>
      <xdr:colOff>775138</xdr:colOff>
      <xdr:row>23</xdr:row>
      <xdr:rowOff>92150</xdr:rowOff>
    </xdr:to>
    <xdr:sp macro="" textlink="">
      <xdr:nvSpPr>
        <xdr:cNvPr id="71" name="CuadroTexto 70"/>
        <xdr:cNvSpPr txBox="1"/>
      </xdr:nvSpPr>
      <xdr:spPr>
        <a:xfrm>
          <a:off x="5542976" y="4199996"/>
          <a:ext cx="717248" cy="22110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Pedidos</a:t>
          </a:r>
        </a:p>
      </xdr:txBody>
    </xdr:sp>
    <xdr:clientData/>
  </xdr:twoCellAnchor>
  <xdr:twoCellAnchor>
    <xdr:from>
      <xdr:col>9</xdr:col>
      <xdr:colOff>68325</xdr:colOff>
      <xdr:row>23</xdr:row>
      <xdr:rowOff>142769</xdr:rowOff>
    </xdr:from>
    <xdr:to>
      <xdr:col>9</xdr:col>
      <xdr:colOff>768569</xdr:colOff>
      <xdr:row>24</xdr:row>
      <xdr:rowOff>173371</xdr:rowOff>
    </xdr:to>
    <xdr:sp macro="" textlink="">
      <xdr:nvSpPr>
        <xdr:cNvPr id="72" name="CuadroTexto 71"/>
        <xdr:cNvSpPr txBox="1"/>
      </xdr:nvSpPr>
      <xdr:spPr>
        <a:xfrm>
          <a:off x="5553411" y="4471717"/>
          <a:ext cx="700244" cy="2211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Llegadas</a:t>
          </a:r>
        </a:p>
      </xdr:txBody>
    </xdr:sp>
    <xdr:clientData/>
  </xdr:twoCellAnchor>
  <xdr:twoCellAnchor>
    <xdr:from>
      <xdr:col>11</xdr:col>
      <xdr:colOff>144517</xdr:colOff>
      <xdr:row>16</xdr:row>
      <xdr:rowOff>164224</xdr:rowOff>
    </xdr:from>
    <xdr:to>
      <xdr:col>14</xdr:col>
      <xdr:colOff>670034</xdr:colOff>
      <xdr:row>19</xdr:row>
      <xdr:rowOff>72259</xdr:rowOff>
    </xdr:to>
    <xdr:sp macro="" textlink="">
      <xdr:nvSpPr>
        <xdr:cNvPr id="73" name="CuadroTexto 72"/>
        <xdr:cNvSpPr txBox="1"/>
      </xdr:nvSpPr>
      <xdr:spPr>
        <a:xfrm>
          <a:off x="7317827" y="3159672"/>
          <a:ext cx="2673569" cy="479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Suponer que</a:t>
          </a:r>
          <a:r>
            <a:rPr lang="es-ES" sz="1100" baseline="0"/>
            <a:t> la fecha de entrega de pedidos es a 5 días, menos el adelanto.</a:t>
          </a:r>
          <a:endParaRPr lang="es-ES" sz="1100"/>
        </a:p>
      </xdr:txBody>
    </xdr:sp>
    <xdr:clientData/>
  </xdr:twoCellAnchor>
  <xdr:twoCellAnchor>
    <xdr:from>
      <xdr:col>10</xdr:col>
      <xdr:colOff>142594</xdr:colOff>
      <xdr:row>18</xdr:row>
      <xdr:rowOff>22992</xdr:rowOff>
    </xdr:from>
    <xdr:to>
      <xdr:col>11</xdr:col>
      <xdr:colOff>144517</xdr:colOff>
      <xdr:row>22</xdr:row>
      <xdr:rowOff>168583</xdr:rowOff>
    </xdr:to>
    <xdr:cxnSp macro="">
      <xdr:nvCxnSpPr>
        <xdr:cNvPr id="75" name="Conector recto de flecha 74"/>
        <xdr:cNvCxnSpPr>
          <a:stCxn id="73" idx="1"/>
          <a:endCxn id="34" idx="0"/>
        </xdr:cNvCxnSpPr>
      </xdr:nvCxnSpPr>
      <xdr:spPr>
        <a:xfrm flipH="1">
          <a:off x="6563565" y="3395963"/>
          <a:ext cx="763923" cy="9075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324971</xdr:colOff>
      <xdr:row>1</xdr:row>
      <xdr:rowOff>11205</xdr:rowOff>
    </xdr:from>
    <xdr:to>
      <xdr:col>5</xdr:col>
      <xdr:colOff>212912</xdr:colOff>
      <xdr:row>4</xdr:row>
      <xdr:rowOff>11206</xdr:rowOff>
    </xdr:to>
    <xdr:sp macro="" textlink="">
      <xdr:nvSpPr>
        <xdr:cNvPr id="3" name="CuadroTexto 2"/>
        <xdr:cNvSpPr txBox="1"/>
      </xdr:nvSpPr>
      <xdr:spPr>
        <a:xfrm>
          <a:off x="930089" y="201705"/>
          <a:ext cx="2666999" cy="56029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NO HACER, MUY ENGORROSO</a:t>
          </a:r>
          <a:r>
            <a:rPr lang="es-ES" sz="1100" baseline="0"/>
            <a:t> Y LARGO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18756</xdr:colOff>
      <xdr:row>2</xdr:row>
      <xdr:rowOff>56721</xdr:rowOff>
    </xdr:from>
    <xdr:to>
      <xdr:col>3</xdr:col>
      <xdr:colOff>696828</xdr:colOff>
      <xdr:row>6</xdr:row>
      <xdr:rowOff>66674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881" y="437721"/>
          <a:ext cx="2202072" cy="77195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27744</xdr:colOff>
      <xdr:row>8</xdr:row>
      <xdr:rowOff>47624</xdr:rowOff>
    </xdr:from>
    <xdr:to>
      <xdr:col>3</xdr:col>
      <xdr:colOff>307731</xdr:colOff>
      <xdr:row>11</xdr:row>
      <xdr:rowOff>162801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532" y="1571624"/>
          <a:ext cx="1803987" cy="68667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75391</xdr:colOff>
      <xdr:row>13</xdr:row>
      <xdr:rowOff>41672</xdr:rowOff>
    </xdr:from>
    <xdr:to>
      <xdr:col>3</xdr:col>
      <xdr:colOff>629660</xdr:colOff>
      <xdr:row>15</xdr:row>
      <xdr:rowOff>142875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88152" r="44279" b="474"/>
        <a:stretch>
          <a:fillRect/>
        </a:stretch>
      </xdr:blipFill>
      <xdr:spPr bwMode="auto">
        <a:xfrm>
          <a:off x="313516" y="2518172"/>
          <a:ext cx="2078269" cy="4822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84703</xdr:colOff>
      <xdr:row>17</xdr:row>
      <xdr:rowOff>64293</xdr:rowOff>
    </xdr:from>
    <xdr:to>
      <xdr:col>3</xdr:col>
      <xdr:colOff>535780</xdr:colOff>
      <xdr:row>20</xdr:row>
      <xdr:rowOff>102393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322828" y="3493293"/>
          <a:ext cx="1975077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es-AR" sz="2800" b="0" i="0" u="none" strike="noStrike" baseline="0">
              <a:solidFill>
                <a:srgbClr val="000000"/>
              </a:solidFill>
              <a:latin typeface="+mn-lt"/>
            </a:rPr>
            <a:t>X= µ ± Z*</a:t>
          </a:r>
          <a:r>
            <a:rPr lang="el-GR" sz="2800" b="0" i="0" u="none" strike="noStrike" baseline="0">
              <a:solidFill>
                <a:srgbClr val="000000"/>
              </a:solidFill>
              <a:latin typeface="+mn-lt"/>
            </a:rPr>
            <a:t>σ</a:t>
          </a:r>
        </a:p>
      </xdr:txBody>
    </xdr:sp>
    <xdr:clientData/>
  </xdr:twoCellAnchor>
  <xdr:twoCellAnchor editAs="oneCell">
    <xdr:from>
      <xdr:col>10</xdr:col>
      <xdr:colOff>57151</xdr:colOff>
      <xdr:row>2</xdr:row>
      <xdr:rowOff>0</xdr:rowOff>
    </xdr:from>
    <xdr:to>
      <xdr:col>12</xdr:col>
      <xdr:colOff>0</xdr:colOff>
      <xdr:row>8</xdr:row>
      <xdr:rowOff>28657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381000"/>
          <a:ext cx="1466849" cy="1171657"/>
        </a:xfrm>
        <a:prstGeom prst="rect">
          <a:avLst/>
        </a:prstGeom>
      </xdr:spPr>
    </xdr:pic>
    <xdr:clientData/>
  </xdr:twoCellAnchor>
  <xdr:twoCellAnchor editAs="oneCell">
    <xdr:from>
      <xdr:col>10</xdr:col>
      <xdr:colOff>43924</xdr:colOff>
      <xdr:row>8</xdr:row>
      <xdr:rowOff>95250</xdr:rowOff>
    </xdr:from>
    <xdr:to>
      <xdr:col>12</xdr:col>
      <xdr:colOff>47625</xdr:colOff>
      <xdr:row>14</xdr:row>
      <xdr:rowOff>174293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35474" y="1619250"/>
          <a:ext cx="1527701" cy="1222043"/>
        </a:xfrm>
        <a:prstGeom prst="rect">
          <a:avLst/>
        </a:prstGeom>
      </xdr:spPr>
    </xdr:pic>
    <xdr:clientData/>
  </xdr:twoCellAnchor>
  <xdr:twoCellAnchor editAs="oneCell">
    <xdr:from>
      <xdr:col>0</xdr:col>
      <xdr:colOff>157529</xdr:colOff>
      <xdr:row>26</xdr:row>
      <xdr:rowOff>85724</xdr:rowOff>
    </xdr:from>
    <xdr:to>
      <xdr:col>8</xdr:col>
      <xdr:colOff>1157078</xdr:colOff>
      <xdr:row>59</xdr:row>
      <xdr:rowOff>57149</xdr:rowOff>
    </xdr:to>
    <xdr:pic>
      <xdr:nvPicPr>
        <xdr:cNvPr id="1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/>
        <a:srcRect l="5967" t="32849"/>
        <a:stretch/>
      </xdr:blipFill>
      <xdr:spPr bwMode="auto">
        <a:xfrm>
          <a:off x="157529" y="5038724"/>
          <a:ext cx="6190674" cy="62579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1241914</xdr:colOff>
      <xdr:row>26</xdr:row>
      <xdr:rowOff>95983</xdr:rowOff>
    </xdr:from>
    <xdr:to>
      <xdr:col>10</xdr:col>
      <xdr:colOff>495300</xdr:colOff>
      <xdr:row>41</xdr:row>
      <xdr:rowOff>95250</xdr:rowOff>
    </xdr:to>
    <xdr:sp macro="" textlink="">
      <xdr:nvSpPr>
        <xdr:cNvPr id="13" name="CuadroTexto 12"/>
        <xdr:cNvSpPr txBox="1"/>
      </xdr:nvSpPr>
      <xdr:spPr>
        <a:xfrm>
          <a:off x="6433039" y="5048983"/>
          <a:ext cx="2653811" cy="2856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/>
            <a:t>Para obtener Z desde</a:t>
          </a:r>
          <a:r>
            <a:rPr lang="es-ES" sz="1600" baseline="0"/>
            <a:t> un número aleatorio, hay que tener en cuenta si el número aleatorio es mayor o menor a 0.5. Si es 0,0010, entonces Z es -3.09, pero si el número aleatorio es 0,9990, entonces Z es 3.09. Para calcular este último hay que hacer 1-0,9990= 0,0010, obtener Z=3,09.</a:t>
          </a:r>
          <a:endParaRPr lang="es-ES" sz="1600"/>
        </a:p>
      </xdr:txBody>
    </xdr:sp>
    <xdr:clientData/>
  </xdr:twoCellAnchor>
  <xdr:twoCellAnchor editAs="oneCell">
    <xdr:from>
      <xdr:col>6</xdr:col>
      <xdr:colOff>253509</xdr:colOff>
      <xdr:row>12</xdr:row>
      <xdr:rowOff>115032</xdr:rowOff>
    </xdr:from>
    <xdr:to>
      <xdr:col>8</xdr:col>
      <xdr:colOff>1228725</xdr:colOff>
      <xdr:row>16</xdr:row>
      <xdr:rowOff>181584</xdr:rowOff>
    </xdr:to>
    <xdr:pic>
      <xdr:nvPicPr>
        <xdr:cNvPr id="14" name="Imagen 1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776" b="-1"/>
        <a:stretch/>
      </xdr:blipFill>
      <xdr:spPr>
        <a:xfrm>
          <a:off x="4863609" y="2401032"/>
          <a:ext cx="1556241" cy="828552"/>
        </a:xfrm>
        <a:prstGeom prst="rect">
          <a:avLst/>
        </a:prstGeom>
      </xdr:spPr>
    </xdr:pic>
    <xdr:clientData/>
  </xdr:twoCellAnchor>
  <xdr:twoCellAnchor editAs="oneCell">
    <xdr:from>
      <xdr:col>8</xdr:col>
      <xdr:colOff>1305486</xdr:colOff>
      <xdr:row>42</xdr:row>
      <xdr:rowOff>150467</xdr:rowOff>
    </xdr:from>
    <xdr:to>
      <xdr:col>17</xdr:col>
      <xdr:colOff>713484</xdr:colOff>
      <xdr:row>59</xdr:row>
      <xdr:rowOff>57150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96611" y="8151467"/>
          <a:ext cx="8142423" cy="31451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9525</xdr:rowOff>
    </xdr:from>
    <xdr:to>
      <xdr:col>16</xdr:col>
      <xdr:colOff>19050</xdr:colOff>
      <xdr:row>8</xdr:row>
      <xdr:rowOff>133350</xdr:rowOff>
    </xdr:to>
    <xdr:sp macro="" textlink="">
      <xdr:nvSpPr>
        <xdr:cNvPr id="2" name="CuadroTexto 1"/>
        <xdr:cNvSpPr txBox="1"/>
      </xdr:nvSpPr>
      <xdr:spPr>
        <a:xfrm>
          <a:off x="161925" y="200025"/>
          <a:ext cx="1035367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Ejemplo </a:t>
          </a:r>
        </a:p>
        <a:p>
          <a:r>
            <a:rPr lang="es-ES" sz="2400"/>
            <a:t>X</a:t>
          </a:r>
          <a:r>
            <a:rPr lang="es-ES" sz="1200"/>
            <a:t>(i+1)</a:t>
          </a:r>
          <a:r>
            <a:rPr lang="es-ES" sz="1800"/>
            <a:t> =</a:t>
          </a:r>
          <a:r>
            <a:rPr lang="es-ES" sz="1800" baseline="0"/>
            <a:t> 13X+65 , módulo 100</a:t>
          </a:r>
          <a:endParaRPr lang="es-ES" sz="1800"/>
        </a:p>
        <a:p>
          <a:endParaRPr lang="es-ES" sz="1100"/>
        </a:p>
        <a:p>
          <a:r>
            <a:rPr lang="es-ES" sz="1100"/>
            <a:t>1º Se escoje el valor</a:t>
          </a:r>
          <a:r>
            <a:rPr lang="es-ES" sz="1100" baseline="0"/>
            <a:t> de </a:t>
          </a:r>
          <a:r>
            <a:rPr lang="es-ES" sz="1100"/>
            <a:t>la semilla,</a:t>
          </a:r>
          <a:r>
            <a:rPr lang="es-ES" sz="1100" baseline="0"/>
            <a:t> </a:t>
          </a:r>
          <a:r>
            <a:rPr lang="es-ES" sz="1100"/>
            <a:t>se multiplica por 13</a:t>
          </a:r>
          <a:r>
            <a:rPr lang="es-ES" sz="1100" baseline="0"/>
            <a:t> y se suma 65. El resultado es 520.</a:t>
          </a:r>
          <a:endParaRPr lang="es-ES" sz="1100"/>
        </a:p>
        <a:p>
          <a:r>
            <a:rPr lang="es-ES" sz="1100"/>
            <a:t>2º Por</a:t>
          </a:r>
          <a:r>
            <a:rPr lang="es-ES" sz="1100" baseline="0"/>
            <a:t> ser el modulo 100 se toman los ultimos 2 valores y se utiliza como número ramdom.</a:t>
          </a:r>
        </a:p>
        <a:p>
          <a:r>
            <a:rPr lang="es-ES" sz="1100" baseline="0"/>
            <a:t>3º Se utiliza ese número ramdom como semilla del siguiente cálculo.</a:t>
          </a:r>
        </a:p>
        <a:p>
          <a:r>
            <a:rPr lang="es-ES" sz="1100" baseline="0"/>
            <a:t>4º cuando el primer ramdom se repite, entonces se debe cambiar de semilla, porque se vuelve a repetir la secuencia.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9525</xdr:rowOff>
    </xdr:from>
    <xdr:to>
      <xdr:col>7</xdr:col>
      <xdr:colOff>85725</xdr:colOff>
      <xdr:row>7</xdr:row>
      <xdr:rowOff>171450</xdr:rowOff>
    </xdr:to>
    <xdr:sp macro="" textlink="">
      <xdr:nvSpPr>
        <xdr:cNvPr id="2" name="CuadroTexto 1"/>
        <xdr:cNvSpPr txBox="1"/>
      </xdr:nvSpPr>
      <xdr:spPr>
        <a:xfrm>
          <a:off x="161925" y="200025"/>
          <a:ext cx="48006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Proceso</a:t>
          </a:r>
        </a:p>
        <a:p>
          <a:r>
            <a:rPr lang="es-ES" sz="1100"/>
            <a:t>1º Se escoje el valor</a:t>
          </a:r>
          <a:r>
            <a:rPr lang="es-ES" sz="1100" baseline="0"/>
            <a:t> de </a:t>
          </a:r>
          <a:r>
            <a:rPr lang="es-ES" sz="1100"/>
            <a:t>la semilla,</a:t>
          </a:r>
          <a:r>
            <a:rPr lang="es-ES" sz="1100" baseline="0"/>
            <a:t> ejemplo 1879. En este caso de 4 números.</a:t>
          </a:r>
          <a:endParaRPr lang="es-ES" sz="1100"/>
        </a:p>
        <a:p>
          <a:r>
            <a:rPr lang="es-ES" sz="1100"/>
            <a:t>2º Se eleva la semilla al cuadrado.</a:t>
          </a:r>
          <a:endParaRPr lang="es-E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/>
            <a:t>3º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valor del resultado, es "par" y con un largo suficiente para para tener "4 dígitos centrados", se le agrega un cero a lo izquierda y luego se extrae el valor del medio.</a:t>
          </a:r>
          <a:endParaRPr lang="es-ES" sz="1100" baseline="0"/>
        </a:p>
      </xdr:txBody>
    </xdr:sp>
    <xdr:clientData/>
  </xdr:twoCellAnchor>
  <xdr:twoCellAnchor>
    <xdr:from>
      <xdr:col>2</xdr:col>
      <xdr:colOff>466724</xdr:colOff>
      <xdr:row>11</xdr:row>
      <xdr:rowOff>19050</xdr:rowOff>
    </xdr:from>
    <xdr:to>
      <xdr:col>2</xdr:col>
      <xdr:colOff>761999</xdr:colOff>
      <xdr:row>35</xdr:row>
      <xdr:rowOff>199050</xdr:rowOff>
    </xdr:to>
    <xdr:sp macro="" textlink="">
      <xdr:nvSpPr>
        <xdr:cNvPr id="3" name="Rectángulo 2"/>
        <xdr:cNvSpPr/>
      </xdr:nvSpPr>
      <xdr:spPr>
        <a:xfrm>
          <a:off x="1428749" y="2114550"/>
          <a:ext cx="295275" cy="4980600"/>
        </a:xfrm>
        <a:prstGeom prst="rect">
          <a:avLst/>
        </a:prstGeom>
        <a:solidFill>
          <a:srgbClr val="FFFF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99392</xdr:colOff>
      <xdr:row>1</xdr:row>
      <xdr:rowOff>2567</xdr:rowOff>
    </xdr:from>
    <xdr:to>
      <xdr:col>18</xdr:col>
      <xdr:colOff>563536</xdr:colOff>
      <xdr:row>20</xdr:row>
      <xdr:rowOff>154442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5696" y="184784"/>
          <a:ext cx="5798144" cy="3771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131885</xdr:colOff>
      <xdr:row>0</xdr:row>
      <xdr:rowOff>102576</xdr:rowOff>
    </xdr:from>
    <xdr:to>
      <xdr:col>11</xdr:col>
      <xdr:colOff>609600</xdr:colOff>
      <xdr:row>16</xdr:row>
      <xdr:rowOff>9524</xdr:rowOff>
    </xdr:to>
    <xdr:grpSp>
      <xdr:nvGrpSpPr>
        <xdr:cNvPr id="8" name="Grupo 7"/>
        <xdr:cNvGrpSpPr/>
      </xdr:nvGrpSpPr>
      <xdr:grpSpPr>
        <a:xfrm>
          <a:off x="131885" y="102576"/>
          <a:ext cx="6497515" cy="2954948"/>
          <a:chOff x="131885" y="102577"/>
          <a:chExt cx="4008457" cy="1841629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1885" y="102577"/>
            <a:ext cx="3957087" cy="702070"/>
          </a:xfrm>
          <a:prstGeom prst="rect">
            <a:avLst/>
          </a:prstGeom>
        </xdr:spPr>
      </xdr:pic>
      <xdr:pic>
        <xdr:nvPicPr>
          <xdr:cNvPr id="3" name="Imagen 2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10809" b="58766"/>
          <a:stretch/>
        </xdr:blipFill>
        <xdr:spPr>
          <a:xfrm>
            <a:off x="192505" y="789034"/>
            <a:ext cx="3947837" cy="115517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49847</xdr:colOff>
      <xdr:row>1</xdr:row>
      <xdr:rowOff>38100</xdr:rowOff>
    </xdr:from>
    <xdr:to>
      <xdr:col>24</xdr:col>
      <xdr:colOff>47625</xdr:colOff>
      <xdr:row>16</xdr:row>
      <xdr:rowOff>24667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1234"/>
        <a:stretch/>
      </xdr:blipFill>
      <xdr:spPr>
        <a:xfrm>
          <a:off x="6726872" y="228600"/>
          <a:ext cx="7646353" cy="28440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487807</xdr:colOff>
      <xdr:row>28</xdr:row>
      <xdr:rowOff>63868</xdr:rowOff>
    </xdr:from>
    <xdr:to>
      <xdr:col>8</xdr:col>
      <xdr:colOff>705971</xdr:colOff>
      <xdr:row>74</xdr:row>
      <xdr:rowOff>49041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5967"/>
        <a:stretch/>
      </xdr:blipFill>
      <xdr:spPr bwMode="auto">
        <a:xfrm>
          <a:off x="745542" y="5778868"/>
          <a:ext cx="5776282" cy="8748173"/>
        </a:xfrm>
        <a:prstGeom prst="rect">
          <a:avLst/>
        </a:prstGeom>
        <a:noFill/>
      </xdr:spPr>
    </xdr:pic>
    <xdr:clientData/>
  </xdr:twoCellAnchor>
  <xdr:twoCellAnchor>
    <xdr:from>
      <xdr:col>9</xdr:col>
      <xdr:colOff>672353</xdr:colOff>
      <xdr:row>13</xdr:row>
      <xdr:rowOff>1</xdr:rowOff>
    </xdr:from>
    <xdr:to>
      <xdr:col>19</xdr:col>
      <xdr:colOff>699073</xdr:colOff>
      <xdr:row>39</xdr:row>
      <xdr:rowOff>168089</xdr:rowOff>
    </xdr:to>
    <xdr:grpSp>
      <xdr:nvGrpSpPr>
        <xdr:cNvPr id="5" name="Grupo 4"/>
        <xdr:cNvGrpSpPr/>
      </xdr:nvGrpSpPr>
      <xdr:grpSpPr>
        <a:xfrm>
          <a:off x="7978028" y="2857501"/>
          <a:ext cx="7884845" cy="5121088"/>
          <a:chOff x="7456651" y="3035932"/>
          <a:chExt cx="6140393" cy="3485892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456651" y="3035932"/>
            <a:ext cx="6140393" cy="27468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-1" b="35984"/>
          <a:stretch/>
        </xdr:blipFill>
        <xdr:spPr>
          <a:xfrm>
            <a:off x="7543196" y="6031553"/>
            <a:ext cx="6027128" cy="49027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24</xdr:row>
      <xdr:rowOff>152400</xdr:rowOff>
    </xdr:from>
    <xdr:to>
      <xdr:col>8</xdr:col>
      <xdr:colOff>713455</xdr:colOff>
      <xdr:row>57</xdr:row>
      <xdr:rowOff>113519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4724400"/>
          <a:ext cx="7361905" cy="62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10</xdr:col>
      <xdr:colOff>439183</xdr:colOff>
      <xdr:row>10</xdr:row>
      <xdr:rowOff>66675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8600"/>
          <a:ext cx="6963808" cy="174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2gmRBxVQXnU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03"/>
  <sheetViews>
    <sheetView showGridLines="0" tabSelected="1" topLeftCell="A7" zoomScaleNormal="100" workbookViewId="0">
      <selection activeCell="J19" sqref="J19"/>
    </sheetView>
  </sheetViews>
  <sheetFormatPr baseColWidth="10" defaultRowHeight="15" x14ac:dyDescent="0.25"/>
  <cols>
    <col min="1" max="1" width="3.140625" customWidth="1"/>
    <col min="2" max="2" width="14.28515625" customWidth="1"/>
    <col min="3" max="3" width="24.5703125" customWidth="1"/>
    <col min="4" max="4" width="23.85546875" customWidth="1"/>
    <col min="5" max="5" width="23.42578125" customWidth="1"/>
    <col min="6" max="6" width="29" customWidth="1"/>
    <col min="7" max="7" width="3.42578125" customWidth="1"/>
  </cols>
  <sheetData>
    <row r="1" spans="1:10" x14ac:dyDescent="0.25">
      <c r="A1" s="14"/>
      <c r="B1" t="s">
        <v>311</v>
      </c>
    </row>
    <row r="2" spans="1:10" s="259" customFormat="1" ht="33" customHeight="1" x14ac:dyDescent="0.25">
      <c r="B2" s="278" t="s">
        <v>312</v>
      </c>
    </row>
    <row r="3" spans="1:10" s="3" customFormat="1" ht="30" x14ac:dyDescent="0.25">
      <c r="B3" s="21" t="s">
        <v>322</v>
      </c>
      <c r="C3" s="258" t="s">
        <v>154</v>
      </c>
      <c r="D3" s="258" t="s">
        <v>310</v>
      </c>
      <c r="E3" s="258" t="s">
        <v>309</v>
      </c>
      <c r="F3" s="257" t="s">
        <v>155</v>
      </c>
      <c r="H3" s="21" t="s">
        <v>240</v>
      </c>
      <c r="I3" s="21" t="s">
        <v>19</v>
      </c>
      <c r="J3" s="21" t="s">
        <v>241</v>
      </c>
    </row>
    <row r="4" spans="1:10" x14ac:dyDescent="0.25">
      <c r="B4" s="214">
        <v>41</v>
      </c>
      <c r="C4" s="210">
        <f>STDEVA(B4:B22)</f>
        <v>2.9739610697593948</v>
      </c>
      <c r="D4" s="210">
        <v>1.96</v>
      </c>
      <c r="E4" s="277">
        <v>1</v>
      </c>
      <c r="F4" s="279">
        <f>((D4*D4)*(C4*C4))/(E4*E4)</f>
        <v>33.976817777777768</v>
      </c>
      <c r="H4" s="229">
        <f>I4-E4</f>
        <v>39.799999999999997</v>
      </c>
      <c r="I4" s="214">
        <f>AVERAGE(B4:B13)</f>
        <v>40.799999999999997</v>
      </c>
      <c r="J4" s="229">
        <f>I4+E4</f>
        <v>41.8</v>
      </c>
    </row>
    <row r="5" spans="1:10" x14ac:dyDescent="0.25">
      <c r="B5" s="214">
        <v>35</v>
      </c>
      <c r="C5" s="5"/>
      <c r="D5" s="5"/>
      <c r="E5" s="5"/>
      <c r="F5" s="5"/>
    </row>
    <row r="6" spans="1:10" x14ac:dyDescent="0.25">
      <c r="B6" s="214">
        <v>40</v>
      </c>
      <c r="C6" s="5"/>
      <c r="D6" s="5"/>
      <c r="F6" s="5"/>
    </row>
    <row r="7" spans="1:10" x14ac:dyDescent="0.25">
      <c r="B7" s="214">
        <v>41</v>
      </c>
      <c r="C7" s="5"/>
      <c r="D7" s="5"/>
      <c r="E7" s="5"/>
      <c r="F7" s="5"/>
    </row>
    <row r="8" spans="1:10" x14ac:dyDescent="0.25">
      <c r="B8" s="214">
        <v>42</v>
      </c>
      <c r="C8" s="5"/>
      <c r="D8" s="5"/>
      <c r="E8" s="5"/>
      <c r="F8" s="5"/>
    </row>
    <row r="9" spans="1:10" x14ac:dyDescent="0.25">
      <c r="B9" s="214">
        <v>38</v>
      </c>
      <c r="C9" s="5"/>
      <c r="D9" s="5"/>
      <c r="E9" s="5"/>
      <c r="F9" s="5"/>
    </row>
    <row r="10" spans="1:10" x14ac:dyDescent="0.25">
      <c r="B10" s="214">
        <v>41</v>
      </c>
      <c r="C10" s="5"/>
      <c r="D10" s="5"/>
      <c r="E10" s="5"/>
      <c r="F10" s="5"/>
    </row>
    <row r="11" spans="1:10" x14ac:dyDescent="0.25">
      <c r="B11" s="214">
        <v>40</v>
      </c>
      <c r="C11" s="5"/>
      <c r="D11" s="5"/>
      <c r="E11" s="5"/>
      <c r="F11" s="5"/>
    </row>
    <row r="12" spans="1:10" x14ac:dyDescent="0.25">
      <c r="B12" s="214">
        <v>45</v>
      </c>
      <c r="C12" s="5"/>
      <c r="D12" s="5"/>
      <c r="E12" s="5"/>
      <c r="F12" s="5"/>
    </row>
    <row r="13" spans="1:10" x14ac:dyDescent="0.25">
      <c r="B13" s="214">
        <v>45</v>
      </c>
      <c r="C13" s="5"/>
      <c r="D13" s="5"/>
      <c r="E13" s="5"/>
      <c r="F13" s="5"/>
    </row>
    <row r="14" spans="1:10" x14ac:dyDescent="0.25">
      <c r="B14" s="214"/>
      <c r="C14" s="5"/>
      <c r="D14" s="5"/>
      <c r="E14" s="5"/>
      <c r="F14" s="5"/>
    </row>
    <row r="15" spans="1:10" x14ac:dyDescent="0.25">
      <c r="B15" s="214"/>
      <c r="C15" s="5"/>
      <c r="D15" s="5"/>
      <c r="E15" s="5"/>
      <c r="F15" s="5"/>
    </row>
    <row r="16" spans="1:10" x14ac:dyDescent="0.25">
      <c r="B16" s="214"/>
      <c r="C16" s="5"/>
      <c r="D16" s="5"/>
      <c r="E16" s="5"/>
      <c r="F16" s="5"/>
    </row>
    <row r="17" spans="2:6" x14ac:dyDescent="0.25">
      <c r="B17" s="214"/>
      <c r="C17" s="5"/>
      <c r="D17" s="5"/>
      <c r="E17" s="5"/>
      <c r="F17" s="5"/>
    </row>
    <row r="18" spans="2:6" x14ac:dyDescent="0.25">
      <c r="B18" s="214"/>
      <c r="C18" s="5"/>
      <c r="D18" s="5"/>
      <c r="E18" s="5"/>
      <c r="F18" s="5"/>
    </row>
    <row r="19" spans="2:6" x14ac:dyDescent="0.25">
      <c r="B19" s="214"/>
      <c r="C19" s="5"/>
      <c r="D19" s="5"/>
      <c r="E19" s="5"/>
      <c r="F19" s="5"/>
    </row>
    <row r="20" spans="2:6" x14ac:dyDescent="0.25">
      <c r="B20" s="214"/>
      <c r="C20" s="5"/>
      <c r="D20" s="5"/>
      <c r="E20" s="5"/>
      <c r="F20" s="5"/>
    </row>
    <row r="21" spans="2:6" x14ac:dyDescent="0.25">
      <c r="B21" s="214"/>
      <c r="C21" s="5"/>
      <c r="D21" s="5"/>
      <c r="E21" s="5"/>
      <c r="F21" s="5"/>
    </row>
    <row r="22" spans="2:6" x14ac:dyDescent="0.25">
      <c r="B22" s="102"/>
      <c r="C22" s="5"/>
      <c r="D22" s="5"/>
      <c r="E22" s="5"/>
      <c r="F22" s="5"/>
    </row>
    <row r="23" spans="2:6" x14ac:dyDescent="0.25">
      <c r="B23" s="102"/>
      <c r="C23" s="5"/>
      <c r="D23" s="5"/>
      <c r="E23" s="5"/>
      <c r="F23" s="5"/>
    </row>
    <row r="24" spans="2:6" x14ac:dyDescent="0.25">
      <c r="B24" s="102"/>
      <c r="C24" s="5"/>
      <c r="D24" s="5"/>
      <c r="E24" s="5"/>
      <c r="F24" s="5"/>
    </row>
    <row r="25" spans="2:6" x14ac:dyDescent="0.25">
      <c r="B25" s="102"/>
      <c r="C25" s="5"/>
      <c r="D25" s="5"/>
      <c r="E25" s="5"/>
      <c r="F25" s="5"/>
    </row>
    <row r="26" spans="2:6" x14ac:dyDescent="0.25">
      <c r="B26" s="102"/>
      <c r="C26" s="5"/>
      <c r="D26" s="5"/>
      <c r="E26" s="5"/>
      <c r="F26" s="5"/>
    </row>
    <row r="27" spans="2:6" x14ac:dyDescent="0.25">
      <c r="B27" s="102"/>
      <c r="C27" s="5"/>
      <c r="D27" s="5"/>
      <c r="E27" s="5"/>
      <c r="F27" s="5"/>
    </row>
    <row r="28" spans="2:6" x14ac:dyDescent="0.25">
      <c r="B28" s="102"/>
      <c r="C28" s="5"/>
      <c r="D28" s="5"/>
      <c r="E28" s="5"/>
      <c r="F28" s="5"/>
    </row>
    <row r="29" spans="2:6" x14ac:dyDescent="0.25">
      <c r="B29" s="102"/>
      <c r="C29" s="5"/>
      <c r="D29" s="5"/>
      <c r="E29" s="5"/>
      <c r="F29" s="5"/>
    </row>
    <row r="30" spans="2:6" x14ac:dyDescent="0.25">
      <c r="B30" s="102"/>
      <c r="C30" s="5"/>
      <c r="D30" s="5"/>
      <c r="E30" s="5"/>
      <c r="F30" s="5"/>
    </row>
    <row r="31" spans="2:6" x14ac:dyDescent="0.25">
      <c r="B31" s="102"/>
      <c r="C31" s="5"/>
      <c r="D31" s="5"/>
      <c r="E31" s="5"/>
      <c r="F31" s="5"/>
    </row>
    <row r="32" spans="2:6" x14ac:dyDescent="0.25">
      <c r="B32" s="102"/>
      <c r="C32" s="5"/>
      <c r="D32" s="5"/>
      <c r="E32" s="5"/>
      <c r="F32" s="5"/>
    </row>
    <row r="33" spans="2:6" x14ac:dyDescent="0.25">
      <c r="B33" s="102"/>
      <c r="C33" s="5"/>
      <c r="D33" s="5"/>
      <c r="E33" s="5"/>
      <c r="F33" s="5"/>
    </row>
    <row r="34" spans="2:6" x14ac:dyDescent="0.25">
      <c r="B34" s="102"/>
      <c r="C34" s="5"/>
      <c r="D34" s="5"/>
      <c r="E34" s="5"/>
      <c r="F34" s="5"/>
    </row>
    <row r="35" spans="2:6" x14ac:dyDescent="0.25">
      <c r="B35" s="102"/>
      <c r="C35" s="5"/>
      <c r="D35" s="5"/>
      <c r="E35" s="5"/>
      <c r="F35" s="5"/>
    </row>
    <row r="36" spans="2:6" x14ac:dyDescent="0.25">
      <c r="B36" s="102"/>
      <c r="C36" s="5"/>
      <c r="D36" s="5"/>
      <c r="E36" s="5"/>
      <c r="F36" s="5"/>
    </row>
    <row r="37" spans="2:6" x14ac:dyDescent="0.25">
      <c r="B37" s="102"/>
      <c r="C37" s="5"/>
      <c r="D37" s="5"/>
      <c r="E37" s="5"/>
      <c r="F37" s="5"/>
    </row>
    <row r="38" spans="2:6" x14ac:dyDescent="0.25">
      <c r="B38" s="102"/>
      <c r="C38" s="5"/>
      <c r="D38" s="5"/>
      <c r="E38" s="5"/>
      <c r="F38" s="5"/>
    </row>
    <row r="39" spans="2:6" x14ac:dyDescent="0.25">
      <c r="B39" s="102"/>
      <c r="C39" s="5"/>
      <c r="D39" s="5"/>
      <c r="E39" s="5"/>
      <c r="F39" s="5"/>
    </row>
    <row r="40" spans="2:6" x14ac:dyDescent="0.25">
      <c r="B40" s="102"/>
      <c r="C40" s="5"/>
      <c r="D40" s="5"/>
      <c r="E40" s="5"/>
      <c r="F40" s="5"/>
    </row>
    <row r="41" spans="2:6" x14ac:dyDescent="0.25">
      <c r="B41" s="102"/>
      <c r="C41" s="5"/>
      <c r="D41" s="5"/>
      <c r="E41" s="5"/>
      <c r="F41" s="5"/>
    </row>
    <row r="42" spans="2:6" x14ac:dyDescent="0.25">
      <c r="B42" s="102"/>
      <c r="C42" s="5"/>
      <c r="D42" s="5"/>
      <c r="E42" s="5"/>
      <c r="F42" s="5"/>
    </row>
    <row r="43" spans="2:6" x14ac:dyDescent="0.25">
      <c r="B43" s="102"/>
      <c r="C43" s="5"/>
      <c r="D43" s="5"/>
      <c r="E43" s="5"/>
      <c r="F43" s="5"/>
    </row>
    <row r="44" spans="2:6" x14ac:dyDescent="0.25">
      <c r="B44" s="102"/>
      <c r="C44" s="5"/>
      <c r="D44" s="5"/>
      <c r="E44" s="5"/>
      <c r="F44" s="5"/>
    </row>
    <row r="45" spans="2:6" x14ac:dyDescent="0.25">
      <c r="B45" s="102"/>
      <c r="C45" s="5"/>
      <c r="D45" s="5"/>
      <c r="E45" s="5"/>
      <c r="F45" s="5"/>
    </row>
    <row r="46" spans="2:6" x14ac:dyDescent="0.25">
      <c r="B46" s="102"/>
      <c r="C46" s="5"/>
      <c r="D46" s="5"/>
      <c r="E46" s="5"/>
      <c r="F46" s="5"/>
    </row>
    <row r="47" spans="2:6" x14ac:dyDescent="0.25">
      <c r="B47" s="102"/>
      <c r="C47" s="5"/>
      <c r="D47" s="5"/>
      <c r="E47" s="5"/>
      <c r="F47" s="5"/>
    </row>
    <row r="48" spans="2:6" x14ac:dyDescent="0.25">
      <c r="B48" s="102"/>
      <c r="C48" s="5"/>
      <c r="D48" s="5"/>
      <c r="E48" s="5"/>
      <c r="F48" s="5"/>
    </row>
    <row r="49" spans="2:6" x14ac:dyDescent="0.25">
      <c r="B49" s="102"/>
      <c r="C49" s="5"/>
      <c r="D49" s="5"/>
      <c r="E49" s="5"/>
      <c r="F49" s="5"/>
    </row>
    <row r="50" spans="2:6" x14ac:dyDescent="0.25">
      <c r="B50" s="102"/>
      <c r="C50" s="5"/>
      <c r="D50" s="5"/>
      <c r="E50" s="5"/>
      <c r="F50" s="5"/>
    </row>
    <row r="51" spans="2:6" x14ac:dyDescent="0.25">
      <c r="B51" s="102"/>
      <c r="C51" s="5"/>
      <c r="D51" s="5"/>
      <c r="E51" s="5"/>
      <c r="F51" s="5"/>
    </row>
    <row r="52" spans="2:6" x14ac:dyDescent="0.25">
      <c r="B52" s="102"/>
      <c r="C52" s="5"/>
      <c r="D52" s="5"/>
      <c r="E52" s="5"/>
      <c r="F52" s="5"/>
    </row>
    <row r="53" spans="2:6" x14ac:dyDescent="0.25">
      <c r="B53" s="5"/>
      <c r="C53" s="5"/>
      <c r="D53" s="5"/>
      <c r="E53" s="5"/>
      <c r="F53" s="5"/>
    </row>
    <row r="54" spans="2:6" x14ac:dyDescent="0.25">
      <c r="B54" s="5"/>
      <c r="C54" s="5"/>
      <c r="D54" s="5"/>
      <c r="E54" s="5"/>
      <c r="F54" s="5"/>
    </row>
    <row r="55" spans="2:6" x14ac:dyDescent="0.25">
      <c r="B55" s="5"/>
      <c r="C55" s="5"/>
      <c r="D55" s="5"/>
      <c r="E55" s="5"/>
      <c r="F55" s="5"/>
    </row>
    <row r="56" spans="2:6" x14ac:dyDescent="0.25">
      <c r="B56" s="5"/>
      <c r="C56" s="5"/>
      <c r="D56" s="5"/>
      <c r="E56" s="5"/>
      <c r="F56" s="5"/>
    </row>
    <row r="57" spans="2:6" x14ac:dyDescent="0.25">
      <c r="B57" s="5"/>
      <c r="C57" s="5"/>
      <c r="D57" s="5"/>
      <c r="E57" s="5"/>
      <c r="F57" s="5"/>
    </row>
    <row r="58" spans="2:6" x14ac:dyDescent="0.25">
      <c r="B58" s="5"/>
      <c r="C58" s="5"/>
      <c r="D58" s="5"/>
      <c r="E58" s="5"/>
      <c r="F58" s="5"/>
    </row>
    <row r="59" spans="2:6" x14ac:dyDescent="0.25">
      <c r="B59" s="5"/>
      <c r="C59" s="5"/>
      <c r="D59" s="5"/>
      <c r="E59" s="5"/>
      <c r="F59" s="5"/>
    </row>
    <row r="60" spans="2:6" x14ac:dyDescent="0.25">
      <c r="B60" s="5"/>
      <c r="C60" s="5"/>
      <c r="D60" s="5"/>
      <c r="E60" s="5"/>
      <c r="F60" s="5"/>
    </row>
    <row r="61" spans="2:6" x14ac:dyDescent="0.25">
      <c r="B61" s="5"/>
      <c r="C61" s="5"/>
      <c r="D61" s="5"/>
      <c r="E61" s="5"/>
      <c r="F61" s="5"/>
    </row>
    <row r="62" spans="2:6" x14ac:dyDescent="0.25">
      <c r="B62" s="5"/>
      <c r="C62" s="5"/>
      <c r="D62" s="5"/>
      <c r="E62" s="5"/>
      <c r="F62" s="5"/>
    </row>
    <row r="63" spans="2:6" x14ac:dyDescent="0.25">
      <c r="B63" s="5"/>
      <c r="C63" s="5"/>
      <c r="D63" s="5"/>
      <c r="E63" s="5"/>
      <c r="F63" s="5"/>
    </row>
    <row r="64" spans="2:6" x14ac:dyDescent="0.25">
      <c r="B64" s="5"/>
      <c r="C64" s="5"/>
      <c r="D64" s="5"/>
      <c r="E64" s="5"/>
      <c r="F64" s="5"/>
    </row>
    <row r="65" spans="2:6" x14ac:dyDescent="0.25">
      <c r="B65" s="5"/>
      <c r="C65" s="5"/>
      <c r="D65" s="5"/>
      <c r="E65" s="5"/>
      <c r="F65" s="5"/>
    </row>
    <row r="66" spans="2:6" x14ac:dyDescent="0.25">
      <c r="B66" s="5"/>
      <c r="C66" s="5"/>
      <c r="D66" s="5"/>
      <c r="E66" s="5"/>
      <c r="F66" s="5"/>
    </row>
    <row r="67" spans="2:6" x14ac:dyDescent="0.25">
      <c r="B67" s="5"/>
      <c r="C67" s="5"/>
      <c r="D67" s="5"/>
      <c r="E67" s="5"/>
      <c r="F67" s="5"/>
    </row>
    <row r="68" spans="2:6" x14ac:dyDescent="0.25">
      <c r="B68" s="5"/>
      <c r="C68" s="5"/>
      <c r="D68" s="5"/>
      <c r="E68" s="5"/>
      <c r="F68" s="5"/>
    </row>
    <row r="69" spans="2:6" x14ac:dyDescent="0.25">
      <c r="B69" s="5"/>
      <c r="C69" s="5"/>
      <c r="D69" s="5"/>
      <c r="E69" s="5"/>
      <c r="F69" s="5"/>
    </row>
    <row r="70" spans="2:6" x14ac:dyDescent="0.25">
      <c r="B70" s="5"/>
      <c r="C70" s="5"/>
      <c r="D70" s="5"/>
      <c r="E70" s="5"/>
      <c r="F70" s="5"/>
    </row>
    <row r="71" spans="2:6" x14ac:dyDescent="0.25">
      <c r="B71" s="5"/>
      <c r="C71" s="5"/>
      <c r="D71" s="5"/>
      <c r="E71" s="5"/>
      <c r="F71" s="5"/>
    </row>
    <row r="72" spans="2:6" x14ac:dyDescent="0.25">
      <c r="B72" s="5"/>
      <c r="C72" s="5"/>
      <c r="D72" s="5"/>
      <c r="E72" s="5"/>
      <c r="F72" s="5"/>
    </row>
    <row r="73" spans="2:6" x14ac:dyDescent="0.25">
      <c r="B73" s="5"/>
      <c r="C73" s="5"/>
      <c r="D73" s="5"/>
      <c r="E73" s="5"/>
      <c r="F73" s="5"/>
    </row>
    <row r="74" spans="2:6" x14ac:dyDescent="0.25">
      <c r="B74" s="5"/>
      <c r="C74" s="5"/>
      <c r="D74" s="5"/>
      <c r="E74" s="5"/>
      <c r="F74" s="5"/>
    </row>
    <row r="75" spans="2:6" x14ac:dyDescent="0.25">
      <c r="B75" s="5"/>
      <c r="C75" s="5"/>
      <c r="D75" s="5"/>
      <c r="E75" s="5"/>
      <c r="F75" s="5"/>
    </row>
    <row r="76" spans="2:6" x14ac:dyDescent="0.25">
      <c r="B76" s="5"/>
      <c r="C76" s="5"/>
      <c r="D76" s="5"/>
      <c r="E76" s="5"/>
      <c r="F76" s="5"/>
    </row>
    <row r="77" spans="2:6" x14ac:dyDescent="0.25">
      <c r="B77" s="5"/>
      <c r="C77" s="5"/>
      <c r="D77" s="5"/>
      <c r="E77" s="5"/>
      <c r="F77" s="5"/>
    </row>
    <row r="78" spans="2:6" x14ac:dyDescent="0.25">
      <c r="B78" s="5"/>
      <c r="C78" s="5"/>
      <c r="D78" s="5"/>
      <c r="E78" s="5"/>
      <c r="F78" s="5"/>
    </row>
    <row r="79" spans="2:6" x14ac:dyDescent="0.25">
      <c r="B79" s="5"/>
      <c r="C79" s="5"/>
      <c r="D79" s="5"/>
      <c r="E79" s="5"/>
      <c r="F79" s="5"/>
    </row>
    <row r="80" spans="2:6" x14ac:dyDescent="0.25">
      <c r="B80" s="5"/>
      <c r="C80" s="5"/>
      <c r="D80" s="5"/>
      <c r="E80" s="5"/>
      <c r="F80" s="5"/>
    </row>
    <row r="81" spans="2:6" x14ac:dyDescent="0.25">
      <c r="B81" s="5"/>
      <c r="C81" s="5"/>
      <c r="D81" s="5"/>
      <c r="E81" s="5"/>
      <c r="F81" s="5"/>
    </row>
    <row r="82" spans="2:6" x14ac:dyDescent="0.25">
      <c r="B82" s="5"/>
      <c r="C82" s="5"/>
      <c r="D82" s="5"/>
      <c r="E82" s="5"/>
      <c r="F82" s="5"/>
    </row>
    <row r="83" spans="2:6" x14ac:dyDescent="0.25">
      <c r="B83" s="5"/>
      <c r="C83" s="5"/>
      <c r="D83" s="5"/>
      <c r="E83" s="5"/>
      <c r="F83" s="5"/>
    </row>
    <row r="84" spans="2:6" x14ac:dyDescent="0.25">
      <c r="B84" s="5"/>
      <c r="C84" s="5"/>
      <c r="D84" s="5"/>
      <c r="E84" s="5"/>
      <c r="F84" s="5"/>
    </row>
    <row r="85" spans="2:6" x14ac:dyDescent="0.25">
      <c r="B85" s="5"/>
      <c r="C85" s="5"/>
      <c r="D85" s="5"/>
      <c r="E85" s="5"/>
      <c r="F85" s="5"/>
    </row>
    <row r="86" spans="2:6" x14ac:dyDescent="0.25">
      <c r="B86" s="5"/>
      <c r="C86" s="5"/>
      <c r="D86" s="5"/>
      <c r="E86" s="5"/>
      <c r="F86" s="5"/>
    </row>
    <row r="87" spans="2:6" x14ac:dyDescent="0.25">
      <c r="B87" s="5"/>
      <c r="C87" s="5"/>
      <c r="D87" s="5"/>
      <c r="E87" s="5"/>
      <c r="F87" s="5"/>
    </row>
    <row r="88" spans="2:6" x14ac:dyDescent="0.25">
      <c r="B88" s="5"/>
      <c r="C88" s="5"/>
      <c r="D88" s="5"/>
      <c r="E88" s="5"/>
      <c r="F88" s="5"/>
    </row>
    <row r="89" spans="2:6" x14ac:dyDescent="0.25">
      <c r="B89" s="5"/>
      <c r="C89" s="5"/>
      <c r="D89" s="5"/>
      <c r="E89" s="5"/>
      <c r="F89" s="5"/>
    </row>
    <row r="90" spans="2:6" x14ac:dyDescent="0.25">
      <c r="B90" s="5"/>
      <c r="C90" s="5"/>
      <c r="D90" s="5"/>
      <c r="E90" s="5"/>
      <c r="F90" s="5"/>
    </row>
    <row r="91" spans="2:6" x14ac:dyDescent="0.25">
      <c r="B91" s="5"/>
      <c r="C91" s="5"/>
      <c r="D91" s="5"/>
      <c r="E91" s="5"/>
      <c r="F91" s="5"/>
    </row>
    <row r="92" spans="2:6" x14ac:dyDescent="0.25">
      <c r="B92" s="5"/>
      <c r="C92" s="5"/>
      <c r="D92" s="5"/>
      <c r="E92" s="5"/>
      <c r="F92" s="5"/>
    </row>
    <row r="93" spans="2:6" x14ac:dyDescent="0.25">
      <c r="B93" s="5"/>
      <c r="C93" s="5"/>
      <c r="D93" s="5"/>
      <c r="E93" s="5"/>
      <c r="F93" s="5"/>
    </row>
    <row r="94" spans="2:6" x14ac:dyDescent="0.25">
      <c r="B94" s="5"/>
      <c r="C94" s="5"/>
      <c r="D94" s="5"/>
      <c r="E94" s="5"/>
      <c r="F94" s="5"/>
    </row>
    <row r="95" spans="2:6" x14ac:dyDescent="0.25">
      <c r="B95" s="5"/>
      <c r="C95" s="5"/>
      <c r="D95" s="5"/>
      <c r="E95" s="5"/>
      <c r="F95" s="5"/>
    </row>
    <row r="96" spans="2:6" x14ac:dyDescent="0.25">
      <c r="B96" s="5"/>
      <c r="C96" s="5"/>
      <c r="D96" s="5"/>
      <c r="E96" s="5"/>
      <c r="F96" s="5"/>
    </row>
    <row r="97" spans="2:6" x14ac:dyDescent="0.25">
      <c r="B97" s="5"/>
      <c r="C97" s="5"/>
      <c r="D97" s="5"/>
      <c r="E97" s="5"/>
      <c r="F97" s="5"/>
    </row>
    <row r="98" spans="2:6" x14ac:dyDescent="0.25">
      <c r="B98" s="5"/>
      <c r="C98" s="5"/>
      <c r="D98" s="5"/>
      <c r="E98" s="5"/>
      <c r="F98" s="5"/>
    </row>
    <row r="99" spans="2:6" x14ac:dyDescent="0.25">
      <c r="B99" s="5"/>
      <c r="C99" s="5"/>
      <c r="D99" s="5"/>
      <c r="E99" s="5"/>
      <c r="F99" s="5"/>
    </row>
    <row r="100" spans="2:6" x14ac:dyDescent="0.25">
      <c r="B100" s="5"/>
      <c r="C100" s="5"/>
      <c r="D100" s="5"/>
      <c r="E100" s="5"/>
      <c r="F100" s="5"/>
    </row>
    <row r="101" spans="2:6" x14ac:dyDescent="0.25">
      <c r="B101" s="5"/>
      <c r="C101" s="5"/>
      <c r="D101" s="5"/>
      <c r="E101" s="5"/>
      <c r="F101" s="5"/>
    </row>
    <row r="102" spans="2:6" x14ac:dyDescent="0.25">
      <c r="B102" s="5"/>
      <c r="C102" s="5"/>
      <c r="D102" s="5"/>
      <c r="E102" s="5"/>
      <c r="F102" s="5"/>
    </row>
    <row r="103" spans="2:6" x14ac:dyDescent="0.25">
      <c r="B103" s="5"/>
      <c r="C103" s="5"/>
      <c r="D103" s="5"/>
      <c r="E103" s="5"/>
      <c r="F103" s="5"/>
    </row>
  </sheetData>
  <hyperlinks>
    <hyperlink ref="B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N31"/>
  <sheetViews>
    <sheetView showGridLines="0" topLeftCell="A19" zoomScaleNormal="100" workbookViewId="0">
      <selection activeCell="N13" sqref="N13"/>
    </sheetView>
  </sheetViews>
  <sheetFormatPr baseColWidth="10" defaultRowHeight="15" x14ac:dyDescent="0.25"/>
  <cols>
    <col min="1" max="1" width="3.5703125" customWidth="1"/>
    <col min="2" max="2" width="13.5703125" bestFit="1" customWidth="1"/>
    <col min="3" max="3" width="9.42578125" style="29" customWidth="1"/>
    <col min="4" max="4" width="12.140625" customWidth="1"/>
    <col min="6" max="6" width="10.7109375" customWidth="1"/>
    <col min="7" max="7" width="16.85546875" customWidth="1"/>
    <col min="8" max="8" width="13" customWidth="1"/>
    <col min="9" max="9" width="5.140625" customWidth="1"/>
    <col min="10" max="10" width="12.42578125" customWidth="1"/>
    <col min="11" max="11" width="13.7109375" customWidth="1"/>
    <col min="12" max="12" width="17.28515625" customWidth="1"/>
    <col min="13" max="13" width="12" customWidth="1"/>
    <col min="14" max="14" width="15.5703125" customWidth="1"/>
    <col min="15" max="15" width="4.7109375" customWidth="1"/>
  </cols>
  <sheetData>
    <row r="1" spans="1:14" x14ac:dyDescent="0.25">
      <c r="A1" s="14"/>
    </row>
    <row r="2" spans="1:14" x14ac:dyDescent="0.25">
      <c r="A2" s="30"/>
      <c r="B2" s="1" t="s">
        <v>124</v>
      </c>
      <c r="C2" s="96">
        <v>1</v>
      </c>
      <c r="D2" t="s">
        <v>7</v>
      </c>
    </row>
    <row r="3" spans="1:14" x14ac:dyDescent="0.25">
      <c r="A3" s="30"/>
      <c r="B3" s="1" t="s">
        <v>125</v>
      </c>
      <c r="C3" s="96">
        <v>1.2</v>
      </c>
      <c r="D3" t="s">
        <v>7</v>
      </c>
    </row>
    <row r="4" spans="1:14" x14ac:dyDescent="0.25">
      <c r="A4" s="30"/>
      <c r="B4" s="1" t="s">
        <v>126</v>
      </c>
      <c r="C4" s="96">
        <v>0.4</v>
      </c>
      <c r="D4" t="s">
        <v>7</v>
      </c>
    </row>
    <row r="5" spans="1:14" x14ac:dyDescent="0.25">
      <c r="A5" s="30"/>
      <c r="B5" s="1" t="s">
        <v>127</v>
      </c>
      <c r="C5" s="96">
        <v>-0.6</v>
      </c>
      <c r="D5" t="s">
        <v>7</v>
      </c>
    </row>
    <row r="6" spans="1:14" x14ac:dyDescent="0.25">
      <c r="A6" s="30"/>
      <c r="B6" s="1" t="s">
        <v>92</v>
      </c>
      <c r="C6" s="97" t="s">
        <v>128</v>
      </c>
      <c r="D6" t="s">
        <v>129</v>
      </c>
    </row>
    <row r="7" spans="1:14" x14ac:dyDescent="0.25">
      <c r="A7" s="30"/>
      <c r="B7" s="1" t="s">
        <v>130</v>
      </c>
      <c r="C7" s="96">
        <v>22</v>
      </c>
    </row>
    <row r="8" spans="1:14" x14ac:dyDescent="0.25">
      <c r="A8" s="30"/>
      <c r="B8" s="1" t="s">
        <v>109</v>
      </c>
      <c r="C8" s="96">
        <v>10</v>
      </c>
      <c r="D8" t="s">
        <v>131</v>
      </c>
    </row>
    <row r="9" spans="1:14" x14ac:dyDescent="0.25">
      <c r="A9" s="30"/>
    </row>
    <row r="10" spans="1:14" x14ac:dyDescent="0.25">
      <c r="A10" s="6"/>
      <c r="B10" s="31" t="s">
        <v>132</v>
      </c>
      <c r="C10" s="32" t="s">
        <v>133</v>
      </c>
      <c r="D10" s="6" t="s">
        <v>134</v>
      </c>
      <c r="E10" s="32" t="s">
        <v>92</v>
      </c>
      <c r="F10" s="6" t="s">
        <v>125</v>
      </c>
      <c r="G10" s="6" t="s">
        <v>126</v>
      </c>
      <c r="H10" s="6" t="s">
        <v>34</v>
      </c>
      <c r="I10" s="6"/>
      <c r="J10" s="6" t="s">
        <v>135</v>
      </c>
      <c r="K10" s="6" t="s">
        <v>136</v>
      </c>
      <c r="L10" s="6" t="s">
        <v>137</v>
      </c>
      <c r="M10" s="6" t="s">
        <v>138</v>
      </c>
      <c r="N10" s="6" t="s">
        <v>37</v>
      </c>
    </row>
    <row r="11" spans="1:14" x14ac:dyDescent="0.25">
      <c r="A11" s="6"/>
      <c r="B11" s="88">
        <v>1</v>
      </c>
      <c r="C11" s="89">
        <v>0.62</v>
      </c>
      <c r="D11" s="101">
        <v>33</v>
      </c>
      <c r="E11" s="103">
        <f>22</f>
        <v>22</v>
      </c>
      <c r="F11" s="102">
        <f>IF(E11&lt;D11,E11,E11-(E11-D11))</f>
        <v>22</v>
      </c>
      <c r="G11" s="102">
        <f>IF(E11&gt;D11,E11-D11,0)</f>
        <v>0</v>
      </c>
      <c r="H11" s="102">
        <f>IF(D11&gt;E11,D11-E11,0)</f>
        <v>11</v>
      </c>
      <c r="I11" s="38"/>
      <c r="J11" s="96">
        <f>-E11*$C$2</f>
        <v>-22</v>
      </c>
      <c r="K11" s="96">
        <f>F11*$C$3</f>
        <v>26.4</v>
      </c>
      <c r="L11" s="96">
        <f>G11*$C$4</f>
        <v>0</v>
      </c>
      <c r="M11" s="96">
        <f>H11*$C$5</f>
        <v>-6.6</v>
      </c>
      <c r="N11" s="98">
        <f>SUM(J11:M11)</f>
        <v>-2.2000000000000011</v>
      </c>
    </row>
    <row r="12" spans="1:14" x14ac:dyDescent="0.25">
      <c r="B12" s="88">
        <v>2</v>
      </c>
      <c r="C12" s="89">
        <v>0.17</v>
      </c>
      <c r="D12" s="101">
        <v>31</v>
      </c>
      <c r="E12" s="103">
        <f>D11</f>
        <v>33</v>
      </c>
      <c r="F12" s="102">
        <f>IF(E12&lt;D12,E12,E12-(E12-D12))</f>
        <v>31</v>
      </c>
      <c r="G12" s="102">
        <f>IF(E12&gt;D12,E12-D12,0)</f>
        <v>2</v>
      </c>
      <c r="H12" s="102">
        <f t="shared" ref="H12:H20" si="0">IF(D12&gt;E12,D12-E12,0)</f>
        <v>0</v>
      </c>
      <c r="I12" s="38"/>
      <c r="J12" s="96">
        <f t="shared" ref="J12:J20" si="1">-E12*$C$2</f>
        <v>-33</v>
      </c>
      <c r="K12" s="96">
        <f t="shared" ref="K12:K20" si="2">F12*$C$3</f>
        <v>37.199999999999996</v>
      </c>
      <c r="L12" s="96">
        <f t="shared" ref="L12:L20" si="3">G12*$C$4</f>
        <v>0.8</v>
      </c>
      <c r="M12" s="96">
        <f t="shared" ref="M12:M20" si="4">H12*$C$5</f>
        <v>0</v>
      </c>
      <c r="N12" s="98">
        <f>SUM(J12:M12)</f>
        <v>4.9999999999999956</v>
      </c>
    </row>
    <row r="13" spans="1:14" x14ac:dyDescent="0.25">
      <c r="B13" s="88">
        <v>3</v>
      </c>
      <c r="C13" s="89">
        <v>0.51</v>
      </c>
      <c r="D13" s="101">
        <v>33</v>
      </c>
      <c r="E13" s="103">
        <f>D12</f>
        <v>31</v>
      </c>
      <c r="F13" s="102">
        <f>IF(E13&lt;D13,E13,E13-(E13-D13))</f>
        <v>31</v>
      </c>
      <c r="G13" s="102">
        <f t="shared" ref="G13:G20" si="5">IF(E13&gt;D13,E13-D13,0)</f>
        <v>0</v>
      </c>
      <c r="H13" s="102">
        <f>IF(D13&gt;E13,D13-E13,0)</f>
        <v>2</v>
      </c>
      <c r="I13" s="38"/>
      <c r="J13" s="96">
        <f t="shared" si="1"/>
        <v>-31</v>
      </c>
      <c r="K13" s="96">
        <f t="shared" si="2"/>
        <v>37.199999999999996</v>
      </c>
      <c r="L13" s="96">
        <f t="shared" si="3"/>
        <v>0</v>
      </c>
      <c r="M13" s="96">
        <f t="shared" si="4"/>
        <v>-1.2</v>
      </c>
      <c r="N13" s="98">
        <f t="shared" ref="N13:N20" si="6">SUM(J13:M13)</f>
        <v>4.9999999999999956</v>
      </c>
    </row>
    <row r="14" spans="1:14" x14ac:dyDescent="0.25">
      <c r="B14" s="88">
        <v>4</v>
      </c>
      <c r="C14" s="89">
        <v>0.13</v>
      </c>
      <c r="D14" s="101">
        <v>31</v>
      </c>
      <c r="E14" s="103">
        <f t="shared" ref="E14:E19" si="7">D13</f>
        <v>33</v>
      </c>
      <c r="F14" s="102">
        <f t="shared" ref="F14:F20" si="8">IF(E14&lt;D14,E14,E14-(E14-D14))</f>
        <v>31</v>
      </c>
      <c r="G14" s="102">
        <f>IF(E14&gt;D14,E14-D14,0)</f>
        <v>2</v>
      </c>
      <c r="H14" s="102">
        <f t="shared" si="0"/>
        <v>0</v>
      </c>
      <c r="I14" s="38"/>
      <c r="J14" s="96">
        <f t="shared" si="1"/>
        <v>-33</v>
      </c>
      <c r="K14" s="96">
        <f>F14*$C$3</f>
        <v>37.199999999999996</v>
      </c>
      <c r="L14" s="96">
        <f>G14*$C$4</f>
        <v>0.8</v>
      </c>
      <c r="M14" s="96">
        <f>H14*$C$5</f>
        <v>0</v>
      </c>
      <c r="N14" s="98">
        <f>SUM(J14:M14)</f>
        <v>4.9999999999999956</v>
      </c>
    </row>
    <row r="15" spans="1:14" x14ac:dyDescent="0.25">
      <c r="B15" s="88">
        <v>5</v>
      </c>
      <c r="C15" s="89">
        <v>0.44</v>
      </c>
      <c r="D15" s="101">
        <v>33</v>
      </c>
      <c r="E15" s="103">
        <f>D14</f>
        <v>31</v>
      </c>
      <c r="F15" s="102">
        <f t="shared" si="8"/>
        <v>31</v>
      </c>
      <c r="G15" s="102">
        <f t="shared" si="5"/>
        <v>0</v>
      </c>
      <c r="H15" s="102">
        <f t="shared" si="0"/>
        <v>2</v>
      </c>
      <c r="I15" s="38"/>
      <c r="J15" s="96">
        <f>-E15*$C$2</f>
        <v>-31</v>
      </c>
      <c r="K15" s="96">
        <f t="shared" si="2"/>
        <v>37.199999999999996</v>
      </c>
      <c r="L15" s="96">
        <f t="shared" si="3"/>
        <v>0</v>
      </c>
      <c r="M15" s="96">
        <f t="shared" si="4"/>
        <v>-1.2</v>
      </c>
      <c r="N15" s="98">
        <f t="shared" si="6"/>
        <v>4.9999999999999956</v>
      </c>
    </row>
    <row r="16" spans="1:14" x14ac:dyDescent="0.25">
      <c r="B16" s="88">
        <v>6</v>
      </c>
      <c r="C16" s="89">
        <v>0.13</v>
      </c>
      <c r="D16" s="101">
        <v>31</v>
      </c>
      <c r="E16" s="103">
        <f t="shared" si="7"/>
        <v>33</v>
      </c>
      <c r="F16" s="102">
        <f t="shared" si="8"/>
        <v>31</v>
      </c>
      <c r="G16" s="102">
        <f t="shared" si="5"/>
        <v>2</v>
      </c>
      <c r="H16" s="102">
        <f t="shared" si="0"/>
        <v>0</v>
      </c>
      <c r="I16" s="38"/>
      <c r="J16" s="96">
        <f t="shared" si="1"/>
        <v>-33</v>
      </c>
      <c r="K16" s="96">
        <f t="shared" si="2"/>
        <v>37.199999999999996</v>
      </c>
      <c r="L16" s="96">
        <f t="shared" si="3"/>
        <v>0.8</v>
      </c>
      <c r="M16" s="96">
        <f t="shared" si="4"/>
        <v>0</v>
      </c>
      <c r="N16" s="98">
        <f t="shared" si="6"/>
        <v>4.9999999999999956</v>
      </c>
    </row>
    <row r="17" spans="2:14" x14ac:dyDescent="0.25">
      <c r="B17" s="88">
        <v>7</v>
      </c>
      <c r="C17" s="89">
        <v>0.86</v>
      </c>
      <c r="D17" s="101">
        <v>34</v>
      </c>
      <c r="E17" s="103">
        <f t="shared" si="7"/>
        <v>31</v>
      </c>
      <c r="F17" s="102">
        <f t="shared" si="8"/>
        <v>31</v>
      </c>
      <c r="G17" s="102">
        <f t="shared" si="5"/>
        <v>0</v>
      </c>
      <c r="H17" s="102">
        <f t="shared" si="0"/>
        <v>3</v>
      </c>
      <c r="I17" s="38"/>
      <c r="J17" s="96">
        <f t="shared" si="1"/>
        <v>-31</v>
      </c>
      <c r="K17" s="96">
        <f t="shared" si="2"/>
        <v>37.199999999999996</v>
      </c>
      <c r="L17" s="96">
        <f t="shared" si="3"/>
        <v>0</v>
      </c>
      <c r="M17" s="96">
        <f t="shared" si="4"/>
        <v>-1.7999999999999998</v>
      </c>
      <c r="N17" s="98">
        <f t="shared" si="6"/>
        <v>4.3999999999999959</v>
      </c>
    </row>
    <row r="18" spans="2:14" x14ac:dyDescent="0.25">
      <c r="B18" s="88">
        <v>8</v>
      </c>
      <c r="C18" s="89">
        <v>0.17</v>
      </c>
      <c r="D18" s="101">
        <v>31</v>
      </c>
      <c r="E18" s="103">
        <f t="shared" si="7"/>
        <v>34</v>
      </c>
      <c r="F18" s="102">
        <f t="shared" si="8"/>
        <v>31</v>
      </c>
      <c r="G18" s="102">
        <f t="shared" si="5"/>
        <v>3</v>
      </c>
      <c r="H18" s="102">
        <f t="shared" si="0"/>
        <v>0</v>
      </c>
      <c r="I18" s="38"/>
      <c r="J18" s="96">
        <f t="shared" si="1"/>
        <v>-34</v>
      </c>
      <c r="K18" s="96">
        <f t="shared" si="2"/>
        <v>37.199999999999996</v>
      </c>
      <c r="L18" s="96">
        <f t="shared" si="3"/>
        <v>1.2000000000000002</v>
      </c>
      <c r="M18" s="96">
        <f t="shared" si="4"/>
        <v>0</v>
      </c>
      <c r="N18" s="98">
        <f t="shared" si="6"/>
        <v>4.3999999999999959</v>
      </c>
    </row>
    <row r="19" spans="2:14" x14ac:dyDescent="0.25">
      <c r="B19" s="88">
        <v>9</v>
      </c>
      <c r="C19" s="89">
        <v>0.88</v>
      </c>
      <c r="D19" s="101">
        <v>34</v>
      </c>
      <c r="E19" s="103">
        <f t="shared" si="7"/>
        <v>31</v>
      </c>
      <c r="F19" s="102">
        <f t="shared" si="8"/>
        <v>31</v>
      </c>
      <c r="G19" s="102">
        <f t="shared" si="5"/>
        <v>0</v>
      </c>
      <c r="H19" s="102">
        <f t="shared" si="0"/>
        <v>3</v>
      </c>
      <c r="I19" s="38"/>
      <c r="J19" s="96">
        <f t="shared" si="1"/>
        <v>-31</v>
      </c>
      <c r="K19" s="96">
        <f t="shared" si="2"/>
        <v>37.199999999999996</v>
      </c>
      <c r="L19" s="96">
        <f t="shared" si="3"/>
        <v>0</v>
      </c>
      <c r="M19" s="96">
        <f t="shared" si="4"/>
        <v>-1.7999999999999998</v>
      </c>
      <c r="N19" s="98">
        <f t="shared" si="6"/>
        <v>4.3999999999999959</v>
      </c>
    </row>
    <row r="20" spans="2:14" x14ac:dyDescent="0.25">
      <c r="B20" s="88">
        <v>10</v>
      </c>
      <c r="C20" s="89">
        <v>0</v>
      </c>
      <c r="D20" s="101">
        <v>30</v>
      </c>
      <c r="E20" s="103">
        <f>D19</f>
        <v>34</v>
      </c>
      <c r="F20" s="102">
        <f t="shared" si="8"/>
        <v>30</v>
      </c>
      <c r="G20" s="102">
        <f t="shared" si="5"/>
        <v>4</v>
      </c>
      <c r="H20" s="102">
        <f t="shared" si="0"/>
        <v>0</v>
      </c>
      <c r="I20" s="38"/>
      <c r="J20" s="96">
        <f t="shared" si="1"/>
        <v>-34</v>
      </c>
      <c r="K20" s="96">
        <f t="shared" si="2"/>
        <v>36</v>
      </c>
      <c r="L20" s="96">
        <f t="shared" si="3"/>
        <v>1.6</v>
      </c>
      <c r="M20" s="96">
        <f t="shared" si="4"/>
        <v>0</v>
      </c>
      <c r="N20" s="98">
        <f t="shared" si="6"/>
        <v>3.6</v>
      </c>
    </row>
    <row r="21" spans="2:14" x14ac:dyDescent="0.25">
      <c r="B21" s="33"/>
      <c r="C21" s="34"/>
      <c r="D21" s="37" t="s">
        <v>62</v>
      </c>
      <c r="E21" s="37" t="s">
        <v>62</v>
      </c>
      <c r="F21" s="37" t="s">
        <v>62</v>
      </c>
      <c r="G21" s="37" t="s">
        <v>62</v>
      </c>
      <c r="H21" s="37" t="s">
        <v>62</v>
      </c>
      <c r="I21" s="38"/>
      <c r="J21" s="37"/>
      <c r="K21" s="37"/>
      <c r="L21" s="37"/>
      <c r="M21" s="37"/>
      <c r="N21" s="37" t="s">
        <v>62</v>
      </c>
    </row>
    <row r="22" spans="2:14" x14ac:dyDescent="0.25">
      <c r="B22" s="33"/>
      <c r="C22" s="34"/>
      <c r="D22" s="48">
        <f>AVERAGE(D11:D20)</f>
        <v>32.1</v>
      </c>
      <c r="E22" s="48">
        <f>AVERAGE(E11:E20)</f>
        <v>31.3</v>
      </c>
      <c r="F22" s="48">
        <f>AVERAGE(F11:F20)</f>
        <v>30</v>
      </c>
      <c r="G22" s="48">
        <f>AVERAGE(G11:G20)</f>
        <v>1.3</v>
      </c>
      <c r="H22" s="48">
        <f>AVERAGE(H11:H20)</f>
        <v>2.1</v>
      </c>
      <c r="I22" s="38"/>
      <c r="J22" s="37"/>
      <c r="K22" s="37"/>
      <c r="L22" s="37"/>
      <c r="M22" s="37"/>
      <c r="N22" s="99">
        <f>AVERAGE(N11:N20)</f>
        <v>3.9599999999999964</v>
      </c>
    </row>
    <row r="23" spans="2:14" x14ac:dyDescent="0.25">
      <c r="B23" s="33"/>
      <c r="C23" s="34"/>
      <c r="D23" s="37"/>
      <c r="E23" s="32"/>
      <c r="F23" s="38"/>
      <c r="G23" s="38"/>
      <c r="H23" s="38"/>
      <c r="I23" s="38"/>
      <c r="J23" s="38"/>
      <c r="K23" s="38"/>
      <c r="L23" s="37"/>
      <c r="M23" s="37"/>
    </row>
    <row r="24" spans="2:14" x14ac:dyDescent="0.25">
      <c r="B24" s="33" t="s">
        <v>139</v>
      </c>
      <c r="C24" s="34" t="s">
        <v>65</v>
      </c>
      <c r="D24" s="37" t="s">
        <v>66</v>
      </c>
      <c r="E24" s="32" t="s">
        <v>67</v>
      </c>
      <c r="F24" s="39" t="s">
        <v>68</v>
      </c>
      <c r="G24" s="39"/>
      <c r="H24" s="34"/>
      <c r="I24" s="34"/>
      <c r="J24" s="34"/>
      <c r="K24" s="37"/>
      <c r="L24" s="32"/>
      <c r="M24" s="39"/>
    </row>
    <row r="25" spans="2:14" x14ac:dyDescent="0.25">
      <c r="B25" s="88">
        <v>30</v>
      </c>
      <c r="C25" s="89">
        <v>0.05</v>
      </c>
      <c r="D25" s="93">
        <f>C25</f>
        <v>0.05</v>
      </c>
      <c r="E25" s="254">
        <v>0</v>
      </c>
      <c r="F25" s="254">
        <f t="shared" ref="F25:F29" si="9">D25-0.01</f>
        <v>0.04</v>
      </c>
      <c r="G25" s="41"/>
      <c r="H25" s="33"/>
      <c r="I25" s="33"/>
      <c r="J25" s="34"/>
      <c r="K25" s="37"/>
      <c r="L25" s="100"/>
      <c r="M25" s="41"/>
    </row>
    <row r="26" spans="2:14" x14ac:dyDescent="0.25">
      <c r="B26" s="88">
        <v>31</v>
      </c>
      <c r="C26" s="89">
        <v>0.15</v>
      </c>
      <c r="D26" s="93">
        <f>D25+C26</f>
        <v>0.2</v>
      </c>
      <c r="E26" s="254">
        <f>D25</f>
        <v>0.05</v>
      </c>
      <c r="F26" s="254">
        <f t="shared" si="9"/>
        <v>0.19</v>
      </c>
      <c r="G26" s="41"/>
      <c r="H26" s="33"/>
      <c r="I26" s="33"/>
      <c r="J26" s="34"/>
      <c r="K26" s="37"/>
      <c r="L26" s="41"/>
      <c r="M26" s="41"/>
    </row>
    <row r="27" spans="2:14" x14ac:dyDescent="0.25">
      <c r="B27" s="88">
        <v>32</v>
      </c>
      <c r="C27" s="89">
        <v>0.22</v>
      </c>
      <c r="D27" s="93">
        <f t="shared" ref="D27:D30" si="10">D26+C27</f>
        <v>0.42000000000000004</v>
      </c>
      <c r="E27" s="254">
        <f t="shared" ref="E27:E30" si="11">D26</f>
        <v>0.2</v>
      </c>
      <c r="F27" s="254">
        <f t="shared" si="9"/>
        <v>0.41000000000000003</v>
      </c>
      <c r="G27" s="41"/>
      <c r="H27" s="33"/>
      <c r="I27" s="33"/>
      <c r="J27" s="34"/>
      <c r="K27" s="37"/>
      <c r="L27" s="41"/>
      <c r="M27" s="41"/>
    </row>
    <row r="28" spans="2:14" x14ac:dyDescent="0.25">
      <c r="B28" s="95">
        <v>33</v>
      </c>
      <c r="C28" s="89">
        <v>0.38</v>
      </c>
      <c r="D28" s="93">
        <f t="shared" si="10"/>
        <v>0.8</v>
      </c>
      <c r="E28" s="254">
        <f t="shared" si="11"/>
        <v>0.42000000000000004</v>
      </c>
      <c r="F28" s="254">
        <f t="shared" si="9"/>
        <v>0.79</v>
      </c>
      <c r="G28" s="41"/>
      <c r="H28" s="42"/>
      <c r="I28" s="42"/>
      <c r="J28" s="34"/>
      <c r="K28" s="37"/>
      <c r="L28" s="41"/>
      <c r="M28" s="41"/>
    </row>
    <row r="29" spans="2:14" x14ac:dyDescent="0.25">
      <c r="B29" s="95">
        <v>34</v>
      </c>
      <c r="C29" s="89">
        <v>0.14000000000000001</v>
      </c>
      <c r="D29" s="93">
        <f t="shared" si="10"/>
        <v>0.94000000000000006</v>
      </c>
      <c r="E29" s="254">
        <f t="shared" si="11"/>
        <v>0.8</v>
      </c>
      <c r="F29" s="254">
        <f t="shared" si="9"/>
        <v>0.93</v>
      </c>
      <c r="G29" s="41"/>
      <c r="H29" s="42"/>
      <c r="I29" s="42"/>
      <c r="J29" s="34"/>
      <c r="K29" s="37"/>
      <c r="L29" s="41"/>
      <c r="M29" s="41"/>
    </row>
    <row r="30" spans="2:14" x14ac:dyDescent="0.25">
      <c r="B30" s="95">
        <v>35</v>
      </c>
      <c r="C30" s="89">
        <v>0.06</v>
      </c>
      <c r="D30" s="93">
        <f t="shared" si="10"/>
        <v>1</v>
      </c>
      <c r="E30" s="254">
        <f t="shared" si="11"/>
        <v>0.94000000000000006</v>
      </c>
      <c r="F30" s="254">
        <f>D30-0.01</f>
        <v>0.99</v>
      </c>
      <c r="G30" s="44"/>
      <c r="H30" s="44"/>
      <c r="I30" s="44"/>
      <c r="J30" s="44"/>
      <c r="K30" s="17"/>
      <c r="L30" s="44"/>
      <c r="M30" s="44"/>
    </row>
    <row r="31" spans="2:14" x14ac:dyDescent="0.25">
      <c r="E31" s="17"/>
      <c r="F31" s="17"/>
      <c r="G31" s="17"/>
      <c r="H31" s="17"/>
      <c r="I31" s="17"/>
      <c r="J31" s="17"/>
      <c r="K31" s="17"/>
      <c r="L31" s="17"/>
      <c r="M31" s="17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F22"/>
  <sheetViews>
    <sheetView showGridLines="0" zoomScale="60" zoomScaleNormal="60" workbookViewId="0">
      <selection activeCell="A20" sqref="A20"/>
    </sheetView>
  </sheetViews>
  <sheetFormatPr baseColWidth="10" defaultRowHeight="15" x14ac:dyDescent="0.25"/>
  <cols>
    <col min="1" max="1" width="3.42578125" customWidth="1"/>
    <col min="2" max="6" width="33.5703125" customWidth="1"/>
  </cols>
  <sheetData>
    <row r="2" spans="2:6" s="18" customFormat="1" x14ac:dyDescent="0.25">
      <c r="B2" s="180">
        <v>1</v>
      </c>
      <c r="C2" s="180">
        <v>2</v>
      </c>
      <c r="D2" s="180">
        <v>3</v>
      </c>
      <c r="E2" s="180">
        <v>4</v>
      </c>
      <c r="F2" s="180">
        <v>5</v>
      </c>
    </row>
    <row r="3" spans="2:6" s="18" customFormat="1" ht="30" customHeight="1" x14ac:dyDescent="0.25">
      <c r="B3" s="153" t="s">
        <v>220</v>
      </c>
      <c r="C3" s="153" t="s">
        <v>221</v>
      </c>
      <c r="D3" s="153" t="s">
        <v>222</v>
      </c>
      <c r="E3" s="153" t="s">
        <v>224</v>
      </c>
      <c r="F3" s="153" t="s">
        <v>223</v>
      </c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/>
      <c r="D5" s="1"/>
      <c r="E5" s="1"/>
      <c r="F5" s="1"/>
    </row>
    <row r="6" spans="2:6" x14ac:dyDescent="0.25">
      <c r="B6" s="1"/>
      <c r="C6" s="1"/>
      <c r="D6" s="1"/>
      <c r="E6" s="1"/>
      <c r="F6" s="1"/>
    </row>
    <row r="7" spans="2:6" x14ac:dyDescent="0.25">
      <c r="B7" s="1"/>
      <c r="C7" s="1"/>
      <c r="D7" s="1"/>
      <c r="E7" s="1"/>
      <c r="F7" s="1"/>
    </row>
    <row r="8" spans="2:6" x14ac:dyDescent="0.25">
      <c r="B8" s="1"/>
      <c r="C8" s="1"/>
      <c r="D8" s="1"/>
      <c r="E8" s="1"/>
      <c r="F8" s="1"/>
    </row>
    <row r="9" spans="2:6" x14ac:dyDescent="0.25">
      <c r="B9" s="1"/>
      <c r="C9" s="1"/>
      <c r="D9" s="1"/>
      <c r="E9" s="1"/>
      <c r="F9" s="1"/>
    </row>
    <row r="10" spans="2:6" x14ac:dyDescent="0.25">
      <c r="B10" s="1"/>
      <c r="C10" s="1"/>
      <c r="D10" s="1"/>
      <c r="E10" s="1"/>
      <c r="F10" s="1"/>
    </row>
    <row r="11" spans="2:6" x14ac:dyDescent="0.25">
      <c r="B11" s="1"/>
      <c r="C11" s="1"/>
      <c r="D11" s="1"/>
      <c r="E11" s="1"/>
      <c r="F11" s="1"/>
    </row>
    <row r="12" spans="2:6" x14ac:dyDescent="0.25">
      <c r="B12" s="1"/>
      <c r="C12" s="1"/>
      <c r="D12" s="1"/>
      <c r="E12" s="1"/>
      <c r="F12" s="1"/>
    </row>
    <row r="13" spans="2:6" x14ac:dyDescent="0.25">
      <c r="B13" s="1"/>
      <c r="C13" s="1"/>
      <c r="D13" s="1"/>
      <c r="E13" s="1"/>
      <c r="F13" s="1"/>
    </row>
    <row r="14" spans="2:6" x14ac:dyDescent="0.25">
      <c r="B14" s="1"/>
      <c r="C14" s="1"/>
      <c r="D14" s="1"/>
      <c r="E14" s="1"/>
      <c r="F14" s="1"/>
    </row>
    <row r="15" spans="2:6" x14ac:dyDescent="0.25">
      <c r="B15" s="1"/>
      <c r="C15" s="1"/>
      <c r="D15" s="1"/>
      <c r="E15" s="1"/>
      <c r="F15" s="1"/>
    </row>
    <row r="16" spans="2:6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  <row r="20" spans="2:6" x14ac:dyDescent="0.25">
      <c r="B20" s="1"/>
      <c r="C20" s="1"/>
      <c r="D20" s="1"/>
      <c r="E20" s="1"/>
      <c r="F20" s="1"/>
    </row>
    <row r="21" spans="2:6" x14ac:dyDescent="0.25">
      <c r="B21" s="1"/>
      <c r="C21" s="1"/>
      <c r="D21" s="1"/>
      <c r="E21" s="1"/>
      <c r="F21" s="1"/>
    </row>
    <row r="22" spans="2:6" x14ac:dyDescent="0.25">
      <c r="B22" s="1"/>
      <c r="C22" s="1"/>
      <c r="D22" s="1"/>
      <c r="E22" s="1"/>
      <c r="F22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36"/>
  <sheetViews>
    <sheetView zoomScale="80" zoomScaleNormal="80" workbookViewId="0">
      <selection activeCell="G37" sqref="G37"/>
    </sheetView>
  </sheetViews>
  <sheetFormatPr baseColWidth="10" defaultColWidth="11.42578125" defaultRowHeight="15" x14ac:dyDescent="0.25"/>
  <cols>
    <col min="1" max="1" width="3.85546875" customWidth="1"/>
    <col min="2" max="2" width="17.140625" style="2" customWidth="1"/>
    <col min="3" max="3" width="14.140625" bestFit="1" customWidth="1"/>
    <col min="4" max="4" width="11.5703125" customWidth="1"/>
    <col min="5" max="6" width="12.42578125" customWidth="1"/>
    <col min="7" max="7" width="10.7109375" customWidth="1"/>
    <col min="8" max="8" width="12.5703125" customWidth="1"/>
    <col min="9" max="21" width="10.7109375" customWidth="1"/>
    <col min="22" max="22" width="10.42578125" bestFit="1" customWidth="1"/>
    <col min="23" max="23" width="9.42578125" customWidth="1"/>
    <col min="24" max="24" width="8.85546875" customWidth="1"/>
    <col min="25" max="25" width="10.42578125" bestFit="1" customWidth="1"/>
    <col min="26" max="26" width="10.28515625" bestFit="1" customWidth="1"/>
    <col min="27" max="27" width="8.5703125" customWidth="1"/>
    <col min="28" max="28" width="6.28515625" bestFit="1" customWidth="1"/>
  </cols>
  <sheetData>
    <row r="1" spans="1:18" x14ac:dyDescent="0.25">
      <c r="A1" s="14"/>
    </row>
    <row r="2" spans="1:18" x14ac:dyDescent="0.25">
      <c r="B2" s="176" t="s">
        <v>176</v>
      </c>
      <c r="C2" s="177" t="s">
        <v>172</v>
      </c>
      <c r="D2" s="177">
        <v>30</v>
      </c>
      <c r="E2" t="s">
        <v>175</v>
      </c>
      <c r="H2" t="s">
        <v>170</v>
      </c>
      <c r="I2">
        <f>30/60</f>
        <v>0.5</v>
      </c>
      <c r="J2" t="s">
        <v>169</v>
      </c>
    </row>
    <row r="3" spans="1:18" x14ac:dyDescent="0.25">
      <c r="B3" s="174" t="s">
        <v>174</v>
      </c>
      <c r="C3" s="175" t="s">
        <v>172</v>
      </c>
      <c r="D3" s="175">
        <v>5</v>
      </c>
      <c r="E3" t="s">
        <v>173</v>
      </c>
      <c r="H3" t="s">
        <v>170</v>
      </c>
      <c r="I3">
        <f>1/5</f>
        <v>0.2</v>
      </c>
      <c r="J3" t="s">
        <v>169</v>
      </c>
    </row>
    <row r="4" spans="1:18" x14ac:dyDescent="0.25">
      <c r="B4" s="174"/>
      <c r="C4" s="175" t="s">
        <v>172</v>
      </c>
      <c r="D4" s="175">
        <v>1</v>
      </c>
      <c r="E4" t="s">
        <v>171</v>
      </c>
      <c r="H4" t="s">
        <v>170</v>
      </c>
      <c r="I4">
        <f>1/1</f>
        <v>1</v>
      </c>
      <c r="J4" t="s">
        <v>169</v>
      </c>
    </row>
    <row r="5" spans="1:18" x14ac:dyDescent="0.25">
      <c r="B5" s="15" t="s">
        <v>168</v>
      </c>
      <c r="C5" s="1">
        <v>4</v>
      </c>
      <c r="D5" s="1" t="s">
        <v>167</v>
      </c>
    </row>
    <row r="6" spans="1:18" x14ac:dyDescent="0.25">
      <c r="D6" s="204"/>
      <c r="E6" s="204" t="s">
        <v>225</v>
      </c>
      <c r="F6" s="204" t="s">
        <v>226</v>
      </c>
    </row>
    <row r="7" spans="1:18" x14ac:dyDescent="0.25">
      <c r="B7" s="287" t="s">
        <v>166</v>
      </c>
      <c r="C7" s="133">
        <v>0.3</v>
      </c>
      <c r="D7" s="205">
        <v>3</v>
      </c>
      <c r="E7" s="206">
        <v>0</v>
      </c>
      <c r="F7" s="207">
        <f>C7-0.01</f>
        <v>0.28999999999999998</v>
      </c>
      <c r="G7" s="72"/>
    </row>
    <row r="8" spans="1:18" x14ac:dyDescent="0.25">
      <c r="B8" s="287"/>
      <c r="C8" s="133">
        <v>0.3</v>
      </c>
      <c r="D8" s="205">
        <v>4</v>
      </c>
      <c r="E8" s="207">
        <f>F7+0.01</f>
        <v>0.3</v>
      </c>
      <c r="F8" s="207">
        <f>F7+C8</f>
        <v>0.59</v>
      </c>
      <c r="G8" s="72"/>
    </row>
    <row r="9" spans="1:18" x14ac:dyDescent="0.25">
      <c r="B9" s="287"/>
      <c r="C9" s="133">
        <v>0.4</v>
      </c>
      <c r="D9" s="205">
        <v>2</v>
      </c>
      <c r="E9" s="207">
        <f>F8+0.01</f>
        <v>0.6</v>
      </c>
      <c r="F9" s="207">
        <f>F8+C9</f>
        <v>0.99</v>
      </c>
      <c r="G9" s="72"/>
    </row>
    <row r="11" spans="1:18" ht="45" x14ac:dyDescent="0.25">
      <c r="B11" s="178" t="s">
        <v>165</v>
      </c>
      <c r="C11" s="179">
        <v>3.5</v>
      </c>
    </row>
    <row r="12" spans="1:18" x14ac:dyDescent="0.25">
      <c r="C12" s="132"/>
    </row>
    <row r="13" spans="1:18" x14ac:dyDescent="0.25">
      <c r="B13" s="190">
        <v>1</v>
      </c>
      <c r="C13" s="191">
        <v>2</v>
      </c>
      <c r="D13" s="190">
        <v>3</v>
      </c>
      <c r="E13" s="191">
        <v>4</v>
      </c>
      <c r="F13" s="190">
        <v>5</v>
      </c>
      <c r="G13" s="191">
        <v>6</v>
      </c>
      <c r="H13" s="190">
        <v>7</v>
      </c>
      <c r="I13" s="191">
        <v>8</v>
      </c>
      <c r="J13" s="190">
        <v>9</v>
      </c>
      <c r="K13" s="191">
        <v>10</v>
      </c>
      <c r="L13" s="190">
        <v>11</v>
      </c>
      <c r="M13" s="191">
        <v>12</v>
      </c>
      <c r="N13" s="190">
        <v>13</v>
      </c>
      <c r="O13" s="191">
        <v>14</v>
      </c>
      <c r="P13" s="190">
        <v>15</v>
      </c>
      <c r="Q13" s="191">
        <v>16</v>
      </c>
      <c r="R13" s="190">
        <v>17</v>
      </c>
    </row>
    <row r="14" spans="1:18" s="3" customFormat="1" ht="81" customHeight="1" x14ac:dyDescent="0.25">
      <c r="B14" s="131" t="s">
        <v>164</v>
      </c>
      <c r="C14" s="130" t="s">
        <v>163</v>
      </c>
      <c r="D14" s="131" t="s">
        <v>227</v>
      </c>
      <c r="E14" s="192" t="s">
        <v>162</v>
      </c>
      <c r="F14" s="130" t="s">
        <v>161</v>
      </c>
      <c r="G14" s="194" t="s">
        <v>229</v>
      </c>
      <c r="H14" s="50" t="s">
        <v>228</v>
      </c>
      <c r="I14" s="192" t="s">
        <v>159</v>
      </c>
      <c r="J14" s="131" t="s">
        <v>158</v>
      </c>
      <c r="K14" s="131" t="s">
        <v>160</v>
      </c>
      <c r="L14" s="193" t="s">
        <v>230</v>
      </c>
      <c r="M14" s="193" t="s">
        <v>231</v>
      </c>
      <c r="N14" s="130" t="s">
        <v>156</v>
      </c>
      <c r="O14" s="50" t="s">
        <v>236</v>
      </c>
      <c r="P14" s="50" t="s">
        <v>234</v>
      </c>
      <c r="Q14" s="50" t="s">
        <v>157</v>
      </c>
      <c r="R14" s="50" t="s">
        <v>235</v>
      </c>
    </row>
    <row r="15" spans="1:18" x14ac:dyDescent="0.25">
      <c r="B15" s="181">
        <v>1</v>
      </c>
      <c r="C15" s="51">
        <v>0.94</v>
      </c>
      <c r="D15" s="182">
        <f>(LN(1-C15)*(-1))/(30/60)</f>
        <v>5.626821433520071</v>
      </c>
      <c r="E15" s="195">
        <f>D15</f>
        <v>5.626821433520071</v>
      </c>
      <c r="F15" s="183">
        <v>0.54</v>
      </c>
      <c r="G15" s="202">
        <f>(LN(1-F15)*(-1))/(1/5)</f>
        <v>3.8826439474949819</v>
      </c>
      <c r="H15" s="182">
        <f>(LN(1-F15)*(-1))/(1/1)</f>
        <v>0.7765287894989964</v>
      </c>
      <c r="I15" s="182">
        <f>E15</f>
        <v>5.626821433520071</v>
      </c>
      <c r="J15" s="203">
        <f>I15+G15</f>
        <v>9.5094653810150529</v>
      </c>
      <c r="K15" s="183">
        <v>0</v>
      </c>
      <c r="L15" s="196">
        <f>I15-E15</f>
        <v>0</v>
      </c>
      <c r="M15" s="196">
        <f>J15-E15</f>
        <v>3.8826439474949819</v>
      </c>
      <c r="N15" s="184">
        <v>0.74</v>
      </c>
      <c r="O15" s="179">
        <v>2</v>
      </c>
      <c r="P15" s="183" t="str">
        <f>IF(K15&gt;=4,"si","no")</f>
        <v>no</v>
      </c>
      <c r="Q15" s="183">
        <v>0</v>
      </c>
      <c r="R15" s="208">
        <f>O15</f>
        <v>2</v>
      </c>
    </row>
    <row r="16" spans="1:18" x14ac:dyDescent="0.25">
      <c r="B16" s="181">
        <v>2</v>
      </c>
      <c r="C16" s="51">
        <v>0.74</v>
      </c>
      <c r="D16" s="182">
        <f t="shared" ref="D16:D34" si="0">(LN(1-C16)*(-1))/(30/60)</f>
        <v>2.6941472959332184</v>
      </c>
      <c r="E16" s="195">
        <f>E15+D16</f>
        <v>8.3209687294532895</v>
      </c>
      <c r="F16" s="183">
        <v>0.88</v>
      </c>
      <c r="G16" s="202">
        <f t="shared" ref="G16:G32" si="1">(LN(1-F16)*(-1))/(1/5)</f>
        <v>10.601317681000454</v>
      </c>
      <c r="H16" s="182">
        <f t="shared" ref="H16:H32" si="2">(LN(1-F16)*(-1))/(1/1)</f>
        <v>2.120263536200091</v>
      </c>
      <c r="I16" s="182">
        <f>J15</f>
        <v>9.5094653810150529</v>
      </c>
      <c r="J16" s="203">
        <f t="shared" ref="J16:J22" si="3">I16+H16</f>
        <v>11.629728917215143</v>
      </c>
      <c r="K16" s="183">
        <v>1</v>
      </c>
      <c r="L16" s="196">
        <f>I16-E16</f>
        <v>1.1884966515617634</v>
      </c>
      <c r="M16" s="196">
        <f>J16-E16</f>
        <v>3.3087601877618535</v>
      </c>
      <c r="N16" s="184">
        <v>0.22</v>
      </c>
      <c r="O16" s="179">
        <v>3</v>
      </c>
      <c r="P16" s="183" t="str">
        <f t="shared" ref="P16:P32" si="4">IF(K16&gt;=4,"si","no")</f>
        <v>no</v>
      </c>
      <c r="Q16" s="183">
        <v>0</v>
      </c>
      <c r="R16" s="208">
        <f>R15+O16</f>
        <v>5</v>
      </c>
    </row>
    <row r="17" spans="1:18" x14ac:dyDescent="0.25">
      <c r="B17" s="181">
        <v>3</v>
      </c>
      <c r="C17" s="51">
        <v>0.62</v>
      </c>
      <c r="D17" s="182">
        <f t="shared" si="0"/>
        <v>1.9351680525234112</v>
      </c>
      <c r="E17" s="195">
        <f t="shared" ref="E17:E27" si="5">E16+D17</f>
        <v>10.2561367819767</v>
      </c>
      <c r="F17" s="183">
        <v>0.08</v>
      </c>
      <c r="G17" s="202">
        <f t="shared" si="1"/>
        <v>0.41690804469525505</v>
      </c>
      <c r="H17" s="182">
        <f t="shared" si="2"/>
        <v>8.3381608939051013E-2</v>
      </c>
      <c r="I17" s="182">
        <f>J16</f>
        <v>11.629728917215143</v>
      </c>
      <c r="J17" s="203">
        <f t="shared" si="3"/>
        <v>11.713110526154194</v>
      </c>
      <c r="K17" s="183">
        <v>1</v>
      </c>
      <c r="L17" s="196">
        <f t="shared" ref="L17:L32" si="6">I17-E17</f>
        <v>1.373592135238443</v>
      </c>
      <c r="M17" s="196">
        <f t="shared" ref="M17:M32" si="7">J17-E17</f>
        <v>1.4569737441774944</v>
      </c>
      <c r="N17" s="184">
        <v>0.73</v>
      </c>
      <c r="O17" s="179">
        <v>2</v>
      </c>
      <c r="P17" s="183" t="str">
        <f t="shared" si="4"/>
        <v>no</v>
      </c>
      <c r="Q17" s="183">
        <v>0</v>
      </c>
      <c r="R17" s="208">
        <f>R16+O17</f>
        <v>7</v>
      </c>
    </row>
    <row r="18" spans="1:18" x14ac:dyDescent="0.25">
      <c r="B18" s="181">
        <v>4</v>
      </c>
      <c r="C18" s="51">
        <v>0.11</v>
      </c>
      <c r="D18" s="182">
        <f t="shared" si="0"/>
        <v>0.23306763251190302</v>
      </c>
      <c r="E18" s="195">
        <f t="shared" si="5"/>
        <v>10.489204414488603</v>
      </c>
      <c r="F18" s="183">
        <v>0.81</v>
      </c>
      <c r="G18" s="182">
        <f t="shared" si="1"/>
        <v>8.3036560341082541</v>
      </c>
      <c r="H18" s="202">
        <f t="shared" si="2"/>
        <v>1.6607312068216511</v>
      </c>
      <c r="I18" s="182">
        <f>J17</f>
        <v>11.713110526154194</v>
      </c>
      <c r="J18" s="203">
        <f t="shared" si="3"/>
        <v>13.373841732975846</v>
      </c>
      <c r="K18" s="183">
        <v>2</v>
      </c>
      <c r="L18" s="196">
        <f t="shared" si="6"/>
        <v>1.2239061116655918</v>
      </c>
      <c r="M18" s="196">
        <f t="shared" si="7"/>
        <v>2.8846373184872434</v>
      </c>
      <c r="N18" s="184">
        <v>0.02</v>
      </c>
      <c r="O18" s="179">
        <v>3</v>
      </c>
      <c r="P18" s="183" t="str">
        <f t="shared" si="4"/>
        <v>no</v>
      </c>
      <c r="Q18" s="183">
        <v>0</v>
      </c>
      <c r="R18" s="208">
        <f t="shared" ref="R18:R32" si="8">R17+O18</f>
        <v>10</v>
      </c>
    </row>
    <row r="19" spans="1:18" s="30" customFormat="1" x14ac:dyDescent="0.25">
      <c r="A19"/>
      <c r="B19" s="181">
        <v>5</v>
      </c>
      <c r="C19" s="51">
        <v>0.17</v>
      </c>
      <c r="D19" s="182">
        <f t="shared" si="0"/>
        <v>0.37265915638298697</v>
      </c>
      <c r="E19" s="195">
        <f t="shared" si="5"/>
        <v>10.86186357087159</v>
      </c>
      <c r="F19" s="183">
        <v>0.4</v>
      </c>
      <c r="G19" s="182">
        <f t="shared" si="1"/>
        <v>2.5541281188299534</v>
      </c>
      <c r="H19" s="202">
        <f t="shared" si="2"/>
        <v>0.51082562376599072</v>
      </c>
      <c r="I19" s="182">
        <f>J18</f>
        <v>13.373841732975846</v>
      </c>
      <c r="J19" s="203">
        <f t="shared" si="3"/>
        <v>13.884667356741836</v>
      </c>
      <c r="K19" s="183">
        <v>3</v>
      </c>
      <c r="L19" s="196">
        <f t="shared" si="6"/>
        <v>2.5119781621042563</v>
      </c>
      <c r="M19" s="196">
        <f t="shared" si="7"/>
        <v>3.0228037858702468</v>
      </c>
      <c r="N19" s="184">
        <v>0.01</v>
      </c>
      <c r="O19" s="179">
        <v>3</v>
      </c>
      <c r="P19" s="183" t="str">
        <f t="shared" si="4"/>
        <v>no</v>
      </c>
      <c r="Q19" s="183">
        <v>0</v>
      </c>
      <c r="R19" s="208">
        <f t="shared" si="8"/>
        <v>13</v>
      </c>
    </row>
    <row r="20" spans="1:18" x14ac:dyDescent="0.25">
      <c r="B20" s="181">
        <v>6</v>
      </c>
      <c r="C20" s="51">
        <v>0.66</v>
      </c>
      <c r="D20" s="182">
        <f t="shared" si="0"/>
        <v>2.15761932274386</v>
      </c>
      <c r="E20" s="195">
        <f t="shared" si="5"/>
        <v>13.01948289361545</v>
      </c>
      <c r="F20" s="183">
        <v>0.74</v>
      </c>
      <c r="G20" s="182">
        <f t="shared" si="1"/>
        <v>6.7353682398330461</v>
      </c>
      <c r="H20" s="202">
        <f t="shared" si="2"/>
        <v>1.3470736479666092</v>
      </c>
      <c r="I20" s="182">
        <f t="shared" ref="I20:I21" si="9">J19</f>
        <v>13.884667356741836</v>
      </c>
      <c r="J20" s="203">
        <f t="shared" si="3"/>
        <v>15.231741004708446</v>
      </c>
      <c r="K20" s="183">
        <v>2</v>
      </c>
      <c r="L20" s="196">
        <f t="shared" si="6"/>
        <v>0.86518446312638631</v>
      </c>
      <c r="M20" s="196">
        <f t="shared" si="7"/>
        <v>2.2122581110929964</v>
      </c>
      <c r="N20" s="184">
        <v>0.92</v>
      </c>
      <c r="O20" s="179">
        <v>2</v>
      </c>
      <c r="P20" s="183" t="str">
        <f t="shared" si="4"/>
        <v>no</v>
      </c>
      <c r="Q20" s="183">
        <v>0</v>
      </c>
      <c r="R20" s="208">
        <f t="shared" si="8"/>
        <v>15</v>
      </c>
    </row>
    <row r="21" spans="1:18" x14ac:dyDescent="0.25">
      <c r="B21" s="181">
        <v>7</v>
      </c>
      <c r="C21" s="51">
        <v>0.54</v>
      </c>
      <c r="D21" s="182">
        <f t="shared" si="0"/>
        <v>1.5530575789979928</v>
      </c>
      <c r="E21" s="195">
        <f t="shared" si="5"/>
        <v>14.572540472613444</v>
      </c>
      <c r="F21" s="183">
        <v>0.49</v>
      </c>
      <c r="G21" s="202">
        <f>(LN(1-F21)*(-1))/(1/5)</f>
        <v>3.3667227663188282</v>
      </c>
      <c r="H21" s="182">
        <f t="shared" si="2"/>
        <v>0.67334455326376563</v>
      </c>
      <c r="I21" s="182">
        <f t="shared" si="9"/>
        <v>15.231741004708446</v>
      </c>
      <c r="J21" s="203">
        <f t="shared" si="3"/>
        <v>15.905085557972212</v>
      </c>
      <c r="K21" s="183">
        <v>1</v>
      </c>
      <c r="L21" s="196">
        <f t="shared" si="6"/>
        <v>0.65920053209500296</v>
      </c>
      <c r="M21" s="196">
        <f t="shared" si="7"/>
        <v>1.3325450853587686</v>
      </c>
      <c r="N21" s="184">
        <v>0.3</v>
      </c>
      <c r="O21" s="179">
        <v>4</v>
      </c>
      <c r="P21" s="183" t="str">
        <f t="shared" si="4"/>
        <v>no</v>
      </c>
      <c r="Q21" s="183">
        <v>0</v>
      </c>
      <c r="R21" s="208">
        <f t="shared" si="8"/>
        <v>19</v>
      </c>
    </row>
    <row r="22" spans="1:18" x14ac:dyDescent="0.25">
      <c r="B22" s="181">
        <v>8</v>
      </c>
      <c r="C22" s="51">
        <v>0.3</v>
      </c>
      <c r="D22" s="182">
        <f t="shared" si="0"/>
        <v>0.71334988787746489</v>
      </c>
      <c r="E22" s="195">
        <f t="shared" si="5"/>
        <v>15.285890360490908</v>
      </c>
      <c r="F22" s="183">
        <v>0.55000000000000004</v>
      </c>
      <c r="G22" s="202">
        <f t="shared" si="1"/>
        <v>3.9925384810888587</v>
      </c>
      <c r="H22" s="182">
        <f>(LN(1-F22)*(-1))/(1/1)</f>
        <v>0.79850769621777173</v>
      </c>
      <c r="I22" s="182">
        <f>J21</f>
        <v>15.905085557972212</v>
      </c>
      <c r="J22" s="203">
        <f t="shared" si="3"/>
        <v>16.703593254189983</v>
      </c>
      <c r="K22" s="183">
        <v>1</v>
      </c>
      <c r="L22" s="196">
        <f t="shared" si="6"/>
        <v>0.61919519748130369</v>
      </c>
      <c r="M22" s="196">
        <f t="shared" si="7"/>
        <v>1.4177028936990741</v>
      </c>
      <c r="N22" s="184">
        <v>0.89</v>
      </c>
      <c r="O22" s="179">
        <v>2</v>
      </c>
      <c r="P22" s="183" t="str">
        <f t="shared" si="4"/>
        <v>no</v>
      </c>
      <c r="Q22" s="183">
        <v>0</v>
      </c>
      <c r="R22" s="208">
        <f t="shared" si="8"/>
        <v>21</v>
      </c>
    </row>
    <row r="23" spans="1:18" x14ac:dyDescent="0.25">
      <c r="B23" s="181">
        <v>9</v>
      </c>
      <c r="C23" s="51">
        <v>0.69</v>
      </c>
      <c r="D23" s="182">
        <f t="shared" si="0"/>
        <v>2.3423659630058897</v>
      </c>
      <c r="E23" s="195">
        <f t="shared" si="5"/>
        <v>17.628256323496799</v>
      </c>
      <c r="F23" s="183">
        <v>0.03</v>
      </c>
      <c r="G23" s="202">
        <f t="shared" si="1"/>
        <v>0.15229603742354286</v>
      </c>
      <c r="H23" s="182">
        <f t="shared" si="2"/>
        <v>3.0459207484708574E-2</v>
      </c>
      <c r="I23" s="182">
        <f>E23</f>
        <v>17.628256323496799</v>
      </c>
      <c r="J23" s="203">
        <f>I23+G23</f>
        <v>17.780552360920343</v>
      </c>
      <c r="K23" s="183">
        <v>0</v>
      </c>
      <c r="L23" s="196">
        <f t="shared" si="6"/>
        <v>0</v>
      </c>
      <c r="M23" s="196">
        <f t="shared" si="7"/>
        <v>0.15229603742354314</v>
      </c>
      <c r="N23" s="184">
        <v>0.03</v>
      </c>
      <c r="O23" s="179">
        <v>3</v>
      </c>
      <c r="P23" s="183" t="str">
        <f t="shared" si="4"/>
        <v>no</v>
      </c>
      <c r="Q23" s="183">
        <v>0</v>
      </c>
      <c r="R23" s="208">
        <f t="shared" si="8"/>
        <v>24</v>
      </c>
    </row>
    <row r="24" spans="1:18" x14ac:dyDescent="0.25">
      <c r="B24" s="181">
        <v>10</v>
      </c>
      <c r="C24" s="51">
        <v>0.08</v>
      </c>
      <c r="D24" s="182">
        <f t="shared" si="0"/>
        <v>0.16676321787810203</v>
      </c>
      <c r="E24" s="195">
        <f t="shared" si="5"/>
        <v>17.795019541374902</v>
      </c>
      <c r="F24" s="183">
        <v>0.57999999999999996</v>
      </c>
      <c r="G24" s="202">
        <f t="shared" si="1"/>
        <v>4.3375028385236147</v>
      </c>
      <c r="H24" s="182">
        <f t="shared" si="2"/>
        <v>0.86750056770472295</v>
      </c>
      <c r="I24" s="182">
        <f>E24</f>
        <v>17.795019541374902</v>
      </c>
      <c r="J24" s="203">
        <f>I24+G24</f>
        <v>22.132522379898518</v>
      </c>
      <c r="K24" s="183">
        <v>0</v>
      </c>
      <c r="L24" s="196">
        <f t="shared" si="6"/>
        <v>0</v>
      </c>
      <c r="M24" s="196">
        <f t="shared" si="7"/>
        <v>4.3375028385236156</v>
      </c>
      <c r="N24" s="184">
        <v>0.75</v>
      </c>
      <c r="O24" s="179">
        <v>2</v>
      </c>
      <c r="P24" s="183" t="str">
        <f t="shared" si="4"/>
        <v>no</v>
      </c>
      <c r="Q24" s="183">
        <v>0</v>
      </c>
      <c r="R24" s="208">
        <f t="shared" si="8"/>
        <v>26</v>
      </c>
    </row>
    <row r="25" spans="1:18" x14ac:dyDescent="0.25">
      <c r="B25" s="181">
        <v>11</v>
      </c>
      <c r="C25" s="51">
        <v>0.27</v>
      </c>
      <c r="D25" s="182">
        <f t="shared" si="0"/>
        <v>0.62942148967940048</v>
      </c>
      <c r="E25" s="195">
        <f t="shared" si="5"/>
        <v>18.424441031054304</v>
      </c>
      <c r="F25" s="183">
        <v>0.74</v>
      </c>
      <c r="G25" s="202">
        <f t="shared" si="1"/>
        <v>6.7353682398330461</v>
      </c>
      <c r="H25" s="182">
        <f t="shared" si="2"/>
        <v>1.3470736479666092</v>
      </c>
      <c r="I25" s="182">
        <f>J24</f>
        <v>22.132522379898518</v>
      </c>
      <c r="J25" s="203">
        <f t="shared" ref="J25:J32" si="10">I25+H25</f>
        <v>23.479596027865128</v>
      </c>
      <c r="K25" s="183">
        <v>1</v>
      </c>
      <c r="L25" s="196">
        <f t="shared" si="6"/>
        <v>3.7080813488442139</v>
      </c>
      <c r="M25" s="196">
        <f t="shared" si="7"/>
        <v>5.055154996810824</v>
      </c>
      <c r="N25" s="184">
        <v>0.84</v>
      </c>
      <c r="O25" s="179">
        <v>2</v>
      </c>
      <c r="P25" s="183" t="str">
        <f t="shared" si="4"/>
        <v>no</v>
      </c>
      <c r="Q25" s="183">
        <v>0</v>
      </c>
      <c r="R25" s="208">
        <f t="shared" si="8"/>
        <v>28</v>
      </c>
    </row>
    <row r="26" spans="1:18" x14ac:dyDescent="0.25">
      <c r="B26" s="181">
        <v>12</v>
      </c>
      <c r="C26" s="51">
        <v>0.13</v>
      </c>
      <c r="D26" s="182">
        <f t="shared" si="0"/>
        <v>0.27852413466701531</v>
      </c>
      <c r="E26" s="195">
        <f t="shared" si="5"/>
        <v>18.70296516572132</v>
      </c>
      <c r="F26" s="183">
        <v>0.51</v>
      </c>
      <c r="G26" s="182">
        <f t="shared" si="1"/>
        <v>3.5667494393873236</v>
      </c>
      <c r="H26" s="202">
        <f t="shared" si="2"/>
        <v>0.71334988787746478</v>
      </c>
      <c r="I26" s="182">
        <f>J25</f>
        <v>23.479596027865128</v>
      </c>
      <c r="J26" s="203">
        <f t="shared" si="10"/>
        <v>24.192945915742591</v>
      </c>
      <c r="K26" s="183">
        <v>2</v>
      </c>
      <c r="L26" s="196">
        <f t="shared" si="6"/>
        <v>4.7766308621438078</v>
      </c>
      <c r="M26" s="196">
        <f t="shared" si="7"/>
        <v>5.4899807500212709</v>
      </c>
      <c r="N26" s="184">
        <v>0.38</v>
      </c>
      <c r="O26" s="179">
        <v>4</v>
      </c>
      <c r="P26" s="183" t="str">
        <f t="shared" si="4"/>
        <v>no</v>
      </c>
      <c r="Q26" s="183">
        <v>0</v>
      </c>
      <c r="R26" s="208">
        <f t="shared" si="8"/>
        <v>32</v>
      </c>
    </row>
    <row r="27" spans="1:18" x14ac:dyDescent="0.25">
      <c r="B27" s="181">
        <v>13</v>
      </c>
      <c r="C27" s="51">
        <v>0.8</v>
      </c>
      <c r="D27" s="182">
        <f t="shared" si="0"/>
        <v>3.218875824868201</v>
      </c>
      <c r="E27" s="195">
        <f t="shared" si="5"/>
        <v>21.921840990589523</v>
      </c>
      <c r="F27" s="183">
        <v>0.73</v>
      </c>
      <c r="G27" s="182">
        <f t="shared" si="1"/>
        <v>6.5466665999188107</v>
      </c>
      <c r="H27" s="202">
        <f t="shared" si="2"/>
        <v>1.3093333199837622</v>
      </c>
      <c r="I27" s="182">
        <f>J26</f>
        <v>24.192945915742591</v>
      </c>
      <c r="J27" s="203">
        <f t="shared" si="10"/>
        <v>25.502279235726352</v>
      </c>
      <c r="K27" s="183">
        <v>3</v>
      </c>
      <c r="L27" s="196">
        <f t="shared" si="6"/>
        <v>2.2711049251530682</v>
      </c>
      <c r="M27" s="196">
        <f t="shared" si="7"/>
        <v>3.5804382451368291</v>
      </c>
      <c r="N27" s="184">
        <v>0.92</v>
      </c>
      <c r="O27" s="179">
        <v>2</v>
      </c>
      <c r="P27" s="183" t="str">
        <f t="shared" si="4"/>
        <v>no</v>
      </c>
      <c r="Q27" s="183">
        <v>0</v>
      </c>
      <c r="R27" s="208">
        <f t="shared" si="8"/>
        <v>34</v>
      </c>
    </row>
    <row r="28" spans="1:18" x14ac:dyDescent="0.25">
      <c r="B28" s="181">
        <v>14</v>
      </c>
      <c r="C28" s="51">
        <v>0.1</v>
      </c>
      <c r="D28" s="182">
        <f t="shared" si="0"/>
        <v>0.21072103131565256</v>
      </c>
      <c r="E28" s="195">
        <f t="shared" ref="E28:E33" si="11">E27+D28</f>
        <v>22.132562021905176</v>
      </c>
      <c r="F28" s="183">
        <v>0.56000000000000005</v>
      </c>
      <c r="G28" s="182">
        <f t="shared" si="1"/>
        <v>4.1049027603491517</v>
      </c>
      <c r="H28" s="202">
        <f t="shared" si="2"/>
        <v>0.82098055206983034</v>
      </c>
      <c r="I28" s="182">
        <f t="shared" ref="I28:I32" si="12">J27</f>
        <v>25.502279235726352</v>
      </c>
      <c r="J28" s="203">
        <f t="shared" si="10"/>
        <v>26.323259787796182</v>
      </c>
      <c r="K28" s="183">
        <v>3</v>
      </c>
      <c r="L28" s="196">
        <f t="shared" si="6"/>
        <v>3.3697172138211755</v>
      </c>
      <c r="M28" s="196">
        <f t="shared" si="7"/>
        <v>4.1906977658910058</v>
      </c>
      <c r="N28" s="184">
        <v>0.04</v>
      </c>
      <c r="O28" s="179">
        <v>3</v>
      </c>
      <c r="P28" s="183" t="str">
        <f t="shared" si="4"/>
        <v>no</v>
      </c>
      <c r="Q28" s="183">
        <v>0</v>
      </c>
      <c r="R28" s="208">
        <f t="shared" si="8"/>
        <v>37</v>
      </c>
    </row>
    <row r="29" spans="1:18" x14ac:dyDescent="0.25">
      <c r="B29" s="181">
        <v>15</v>
      </c>
      <c r="C29" s="51">
        <v>0.54</v>
      </c>
      <c r="D29" s="182">
        <f t="shared" si="0"/>
        <v>1.5530575789979928</v>
      </c>
      <c r="E29" s="195">
        <f t="shared" si="11"/>
        <v>23.68561960090317</v>
      </c>
      <c r="F29" s="183">
        <v>0.75</v>
      </c>
      <c r="G29" s="182">
        <f t="shared" si="1"/>
        <v>6.9314718055994522</v>
      </c>
      <c r="H29" s="202">
        <f t="shared" si="2"/>
        <v>1.3862943611198906</v>
      </c>
      <c r="I29" s="182">
        <f t="shared" si="12"/>
        <v>26.323259787796182</v>
      </c>
      <c r="J29" s="203">
        <f t="shared" si="10"/>
        <v>27.709554148916073</v>
      </c>
      <c r="K29" s="183">
        <v>3</v>
      </c>
      <c r="L29" s="196">
        <f t="shared" si="6"/>
        <v>2.6376401868930124</v>
      </c>
      <c r="M29" s="196">
        <f t="shared" si="7"/>
        <v>4.0239345480129032</v>
      </c>
      <c r="N29" s="184">
        <v>0.26</v>
      </c>
      <c r="O29" s="179">
        <v>3</v>
      </c>
      <c r="P29" s="183" t="str">
        <f t="shared" si="4"/>
        <v>no</v>
      </c>
      <c r="Q29" s="183">
        <v>0</v>
      </c>
      <c r="R29" s="208">
        <f t="shared" si="8"/>
        <v>40</v>
      </c>
    </row>
    <row r="30" spans="1:18" x14ac:dyDescent="0.25">
      <c r="B30" s="181">
        <v>16</v>
      </c>
      <c r="C30" s="51">
        <v>0.6</v>
      </c>
      <c r="D30" s="182">
        <f t="shared" si="0"/>
        <v>1.83258146374831</v>
      </c>
      <c r="E30" s="195">
        <f t="shared" si="11"/>
        <v>25.518201064651478</v>
      </c>
      <c r="F30" s="183">
        <v>0.14000000000000001</v>
      </c>
      <c r="G30" s="182">
        <f t="shared" si="1"/>
        <v>0.75411444867291821</v>
      </c>
      <c r="H30" s="202">
        <f t="shared" si="2"/>
        <v>0.15082288973458366</v>
      </c>
      <c r="I30" s="182">
        <f t="shared" si="12"/>
        <v>27.709554148916073</v>
      </c>
      <c r="J30" s="182">
        <f t="shared" si="10"/>
        <v>27.860377038650658</v>
      </c>
      <c r="K30" s="183">
        <v>2</v>
      </c>
      <c r="L30" s="196">
        <f t="shared" si="6"/>
        <v>2.1913530842645947</v>
      </c>
      <c r="M30" s="196">
        <f t="shared" si="7"/>
        <v>2.3421759739991792</v>
      </c>
      <c r="N30" s="184">
        <v>0.24</v>
      </c>
      <c r="O30" s="179">
        <v>3</v>
      </c>
      <c r="P30" s="183" t="str">
        <f t="shared" si="4"/>
        <v>no</v>
      </c>
      <c r="Q30" s="183">
        <v>0</v>
      </c>
      <c r="R30" s="208">
        <f t="shared" si="8"/>
        <v>43</v>
      </c>
    </row>
    <row r="31" spans="1:18" x14ac:dyDescent="0.25">
      <c r="B31" s="181">
        <v>17</v>
      </c>
      <c r="C31" s="51">
        <v>0.49</v>
      </c>
      <c r="D31" s="182">
        <f t="shared" si="0"/>
        <v>1.3466891065275313</v>
      </c>
      <c r="E31" s="195">
        <f t="shared" si="11"/>
        <v>26.86489017117901</v>
      </c>
      <c r="F31" s="183">
        <v>0.97</v>
      </c>
      <c r="G31" s="182">
        <f t="shared" si="1"/>
        <v>17.532789486599903</v>
      </c>
      <c r="H31" s="202">
        <f t="shared" si="2"/>
        <v>3.5065578973199809</v>
      </c>
      <c r="I31" s="182">
        <f>J30</f>
        <v>27.860377038650658</v>
      </c>
      <c r="J31" s="182">
        <f t="shared" si="10"/>
        <v>31.36693493597064</v>
      </c>
      <c r="K31" s="183">
        <v>2</v>
      </c>
      <c r="L31" s="196">
        <f t="shared" si="6"/>
        <v>0.99548686747164794</v>
      </c>
      <c r="M31" s="196">
        <f t="shared" si="7"/>
        <v>4.5020447647916306</v>
      </c>
      <c r="N31" s="184">
        <v>0.84</v>
      </c>
      <c r="O31" s="179">
        <v>2</v>
      </c>
      <c r="P31" s="183" t="str">
        <f t="shared" si="4"/>
        <v>no</v>
      </c>
      <c r="Q31" s="183">
        <v>0</v>
      </c>
      <c r="R31" s="208">
        <f t="shared" si="8"/>
        <v>45</v>
      </c>
    </row>
    <row r="32" spans="1:18" x14ac:dyDescent="0.25">
      <c r="B32" s="185">
        <v>18</v>
      </c>
      <c r="C32" s="131">
        <v>0.78</v>
      </c>
      <c r="D32" s="186">
        <f t="shared" si="0"/>
        <v>3.0282554652595515</v>
      </c>
      <c r="E32" s="195">
        <f t="shared" si="11"/>
        <v>29.893145636438561</v>
      </c>
      <c r="F32" s="187">
        <v>0.65</v>
      </c>
      <c r="G32" s="202">
        <f t="shared" si="1"/>
        <v>5.2491106224933892</v>
      </c>
      <c r="H32" s="186">
        <f t="shared" si="2"/>
        <v>1.0498221244986778</v>
      </c>
      <c r="I32" s="186">
        <f t="shared" si="12"/>
        <v>31.36693493597064</v>
      </c>
      <c r="J32" s="186">
        <f t="shared" si="10"/>
        <v>32.416757060469315</v>
      </c>
      <c r="K32" s="187">
        <v>1</v>
      </c>
      <c r="L32" s="197">
        <f t="shared" si="6"/>
        <v>1.4737892995320792</v>
      </c>
      <c r="M32" s="197">
        <f t="shared" si="7"/>
        <v>2.5236114240307543</v>
      </c>
      <c r="N32" s="188">
        <v>0.94</v>
      </c>
      <c r="O32" s="189">
        <v>2</v>
      </c>
      <c r="P32" s="187" t="str">
        <f t="shared" si="4"/>
        <v>no</v>
      </c>
      <c r="Q32" s="187">
        <v>0</v>
      </c>
      <c r="R32" s="209">
        <f t="shared" si="8"/>
        <v>47</v>
      </c>
    </row>
    <row r="33" spans="2:18" x14ac:dyDescent="0.25">
      <c r="B33" s="220">
        <v>19</v>
      </c>
      <c r="C33" s="221">
        <v>0.66</v>
      </c>
      <c r="D33" s="222">
        <f t="shared" si="0"/>
        <v>2.15761932274386</v>
      </c>
      <c r="E33" s="222">
        <f t="shared" si="11"/>
        <v>32.050764959182423</v>
      </c>
      <c r="F33" s="223"/>
      <c r="G33" s="222"/>
      <c r="H33" s="222"/>
      <c r="I33" s="222"/>
      <c r="J33" s="222"/>
      <c r="K33" s="223"/>
      <c r="L33" s="222"/>
      <c r="M33" s="222"/>
      <c r="N33" s="224"/>
      <c r="O33" s="225"/>
      <c r="P33" s="223"/>
      <c r="Q33" s="223"/>
      <c r="R33" s="223"/>
    </row>
    <row r="34" spans="2:18" x14ac:dyDescent="0.25">
      <c r="B34" s="181">
        <v>20</v>
      </c>
      <c r="C34" s="51">
        <v>0.44</v>
      </c>
      <c r="D34" s="182">
        <f t="shared" si="0"/>
        <v>1.1596369905058841</v>
      </c>
      <c r="E34" s="182">
        <f>E33+D34</f>
        <v>33.210401949688304</v>
      </c>
      <c r="F34" s="183"/>
      <c r="G34" s="182"/>
      <c r="H34" s="182"/>
      <c r="I34" s="182"/>
      <c r="J34" s="182"/>
      <c r="K34" s="183"/>
      <c r="L34" s="182"/>
      <c r="M34" s="182"/>
      <c r="N34" s="183"/>
      <c r="O34" s="179"/>
      <c r="P34" s="183"/>
      <c r="Q34" s="183"/>
      <c r="R34" s="182"/>
    </row>
    <row r="35" spans="2:18" ht="30" x14ac:dyDescent="0.25">
      <c r="B35"/>
      <c r="G35" s="198" t="s">
        <v>233</v>
      </c>
      <c r="K35" s="198" t="s">
        <v>232</v>
      </c>
      <c r="O35" s="24"/>
      <c r="P35" s="24"/>
      <c r="Q35" s="24"/>
    </row>
    <row r="36" spans="2:18" x14ac:dyDescent="0.25">
      <c r="B36"/>
      <c r="G36" s="199">
        <f>AVERAGE(G15:G17,H18:H20,G21:G25,H26:H31,G32)</f>
        <v>2.7855765580850957</v>
      </c>
      <c r="H36" s="200"/>
      <c r="I36" s="200"/>
      <c r="J36" s="200"/>
      <c r="K36" s="201">
        <f>AVERAGE(K15:K32)</f>
        <v>1.5555555555555556</v>
      </c>
      <c r="R36" s="38"/>
    </row>
  </sheetData>
  <mergeCells count="1">
    <mergeCell ref="B7:B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21"/>
  <sheetViews>
    <sheetView topLeftCell="B7" zoomScale="115" zoomScaleNormal="115" workbookViewId="0">
      <selection activeCell="C17" sqref="C17"/>
    </sheetView>
  </sheetViews>
  <sheetFormatPr baseColWidth="10" defaultRowHeight="15" x14ac:dyDescent="0.25"/>
  <cols>
    <col min="1" max="1" width="3.5703125" customWidth="1"/>
    <col min="2" max="2" width="38.5703125" bestFit="1" customWidth="1"/>
    <col min="3" max="3" width="7.28515625" bestFit="1" customWidth="1"/>
    <col min="4" max="4" width="11.5703125" bestFit="1" customWidth="1"/>
    <col min="5" max="5" width="5.140625" customWidth="1"/>
    <col min="6" max="6" width="4.28515625" customWidth="1"/>
    <col min="7" max="7" width="9.140625" bestFit="1" customWidth="1"/>
    <col min="8" max="8" width="5" style="29" bestFit="1" customWidth="1"/>
    <col min="9" max="9" width="10.140625" bestFit="1" customWidth="1"/>
    <col min="10" max="10" width="6.7109375" bestFit="1" customWidth="1"/>
    <col min="11" max="11" width="8.7109375" bestFit="1" customWidth="1"/>
    <col min="12" max="12" width="5.5703125" bestFit="1" customWidth="1"/>
    <col min="13" max="13" width="11.28515625" customWidth="1"/>
    <col min="14" max="14" width="7.140625" bestFit="1" customWidth="1"/>
    <col min="15" max="15" width="8" bestFit="1" customWidth="1"/>
    <col min="16" max="16" width="8.140625" bestFit="1" customWidth="1"/>
    <col min="17" max="17" width="10.140625" bestFit="1" customWidth="1"/>
    <col min="18" max="18" width="3.5703125" customWidth="1"/>
  </cols>
  <sheetData>
    <row r="1" spans="1:17" x14ac:dyDescent="0.25">
      <c r="A1" s="14"/>
    </row>
    <row r="2" spans="1:17" s="2" customFormat="1" ht="30" x14ac:dyDescent="0.25">
      <c r="A2" s="8"/>
      <c r="G2" s="227" t="s">
        <v>185</v>
      </c>
      <c r="H2" s="228" t="s">
        <v>179</v>
      </c>
      <c r="I2" s="8" t="s">
        <v>259</v>
      </c>
      <c r="J2" s="8" t="s">
        <v>261</v>
      </c>
      <c r="K2" s="8" t="s">
        <v>268</v>
      </c>
      <c r="L2" s="228" t="s">
        <v>114</v>
      </c>
      <c r="M2" s="8" t="s">
        <v>262</v>
      </c>
      <c r="N2" s="8" t="s">
        <v>260</v>
      </c>
      <c r="O2" s="8" t="s">
        <v>263</v>
      </c>
      <c r="P2" s="8" t="s">
        <v>264</v>
      </c>
      <c r="Q2" s="8" t="s">
        <v>181</v>
      </c>
    </row>
    <row r="3" spans="1:17" x14ac:dyDescent="0.25">
      <c r="A3" s="6"/>
      <c r="B3" s="6" t="s">
        <v>177</v>
      </c>
      <c r="G3" s="88">
        <v>1</v>
      </c>
      <c r="H3" s="89">
        <v>0.94</v>
      </c>
      <c r="I3" s="230">
        <f t="shared" ref="I3:I12" si="0">-(LN(1-H3)/$C$4)</f>
        <v>6.5646250057734168</v>
      </c>
      <c r="J3" s="214">
        <f>I3</f>
        <v>6.5646250057734168</v>
      </c>
      <c r="K3" s="214">
        <f>J3</f>
        <v>6.5646250057734168</v>
      </c>
      <c r="L3" s="89">
        <v>0.54</v>
      </c>
      <c r="M3" s="214">
        <f>-1*(LN(1-L3)/$C$5)</f>
        <v>1.5530575789979928</v>
      </c>
      <c r="N3" s="214">
        <f>K3+M3</f>
        <v>8.1176825847714102</v>
      </c>
      <c r="O3" s="214">
        <f>N3-J3</f>
        <v>1.5530575789979935</v>
      </c>
      <c r="P3" s="214">
        <v>0</v>
      </c>
      <c r="Q3" s="1">
        <v>1</v>
      </c>
    </row>
    <row r="4" spans="1:17" x14ac:dyDescent="0.25">
      <c r="B4" s="116" t="s">
        <v>257</v>
      </c>
      <c r="C4" s="79">
        <f>3/7</f>
        <v>0.42857142857142855</v>
      </c>
      <c r="D4" s="2" t="s">
        <v>184</v>
      </c>
      <c r="E4" s="2" t="s">
        <v>178</v>
      </c>
      <c r="G4" s="88">
        <v>2</v>
      </c>
      <c r="H4" s="89">
        <v>0.74</v>
      </c>
      <c r="I4" s="230">
        <f t="shared" si="0"/>
        <v>3.1431718452554218</v>
      </c>
      <c r="J4" s="214">
        <f>J3+I4</f>
        <v>9.7077968510288386</v>
      </c>
      <c r="K4" s="214">
        <f>J4</f>
        <v>9.7077968510288386</v>
      </c>
      <c r="L4" s="89">
        <v>0.88</v>
      </c>
      <c r="M4" s="214">
        <f>-1*(LN(1-L4)/$C$5)</f>
        <v>4.240527072400182</v>
      </c>
      <c r="N4" s="214">
        <f>K4+M4</f>
        <v>13.948323923429021</v>
      </c>
      <c r="O4" s="214">
        <f>N4-J4</f>
        <v>4.240527072400182</v>
      </c>
      <c r="P4" s="214">
        <v>0</v>
      </c>
      <c r="Q4" s="1">
        <v>1</v>
      </c>
    </row>
    <row r="5" spans="1:17" x14ac:dyDescent="0.25">
      <c r="B5" s="129" t="s">
        <v>258</v>
      </c>
      <c r="C5" s="82">
        <f>1/2</f>
        <v>0.5</v>
      </c>
      <c r="D5" t="s">
        <v>184</v>
      </c>
      <c r="E5" t="s">
        <v>178</v>
      </c>
      <c r="G5" s="88">
        <v>3</v>
      </c>
      <c r="H5" s="89">
        <v>0.62</v>
      </c>
      <c r="I5" s="230">
        <f t="shared" si="0"/>
        <v>2.2576960612773131</v>
      </c>
      <c r="J5" s="229">
        <f t="shared" ref="J5" si="1">J4+I5</f>
        <v>11.965492912306152</v>
      </c>
      <c r="K5" s="229"/>
      <c r="L5" s="226">
        <v>0.08</v>
      </c>
      <c r="M5" s="229"/>
      <c r="N5" s="229"/>
      <c r="O5" s="229"/>
      <c r="P5" s="229"/>
      <c r="Q5" s="129"/>
    </row>
    <row r="6" spans="1:17" x14ac:dyDescent="0.25">
      <c r="B6" s="1" t="s">
        <v>182</v>
      </c>
      <c r="C6" s="1">
        <v>10</v>
      </c>
      <c r="D6" t="s">
        <v>131</v>
      </c>
      <c r="G6" s="88">
        <v>4</v>
      </c>
      <c r="H6" s="89">
        <v>0.11</v>
      </c>
      <c r="I6" s="230">
        <f t="shared" si="0"/>
        <v>0.27191223793055352</v>
      </c>
      <c r="J6" s="229"/>
      <c r="K6" s="229"/>
      <c r="L6" s="226">
        <v>0.81</v>
      </c>
      <c r="M6" s="229"/>
      <c r="N6" s="229"/>
      <c r="O6" s="229"/>
      <c r="P6" s="229"/>
      <c r="Q6" s="129"/>
    </row>
    <row r="7" spans="1:17" x14ac:dyDescent="0.25">
      <c r="G7" s="88">
        <v>5</v>
      </c>
      <c r="H7" s="89">
        <v>0.17</v>
      </c>
      <c r="I7" s="230">
        <f t="shared" si="0"/>
        <v>0.43476901578015148</v>
      </c>
      <c r="J7" s="229"/>
      <c r="K7" s="229"/>
      <c r="L7" s="226">
        <v>0.04</v>
      </c>
      <c r="M7" s="229"/>
      <c r="N7" s="229"/>
      <c r="O7" s="229"/>
      <c r="P7" s="229"/>
      <c r="Q7" s="129"/>
    </row>
    <row r="8" spans="1:17" x14ac:dyDescent="0.25">
      <c r="G8" s="88">
        <v>6</v>
      </c>
      <c r="H8" s="89">
        <v>0.66</v>
      </c>
      <c r="I8" s="230">
        <f t="shared" si="0"/>
        <v>2.5172225432011701</v>
      </c>
      <c r="J8" s="229"/>
      <c r="K8" s="229"/>
      <c r="L8" s="226">
        <v>0.74</v>
      </c>
      <c r="M8" s="229"/>
      <c r="N8" s="229"/>
      <c r="O8" s="229"/>
      <c r="P8" s="229"/>
      <c r="Q8" s="129"/>
    </row>
    <row r="9" spans="1:17" x14ac:dyDescent="0.25">
      <c r="G9" s="88">
        <v>7</v>
      </c>
      <c r="H9" s="89">
        <v>0.54</v>
      </c>
      <c r="I9" s="230">
        <f t="shared" si="0"/>
        <v>1.8119005088309916</v>
      </c>
      <c r="J9" s="229"/>
      <c r="K9" s="229"/>
      <c r="L9" s="226">
        <v>0.49</v>
      </c>
      <c r="M9" s="229"/>
      <c r="N9" s="229"/>
      <c r="O9" s="229"/>
      <c r="P9" s="229"/>
      <c r="Q9" s="129"/>
    </row>
    <row r="10" spans="1:17" x14ac:dyDescent="0.25">
      <c r="G10" s="88">
        <v>8</v>
      </c>
      <c r="H10" s="89">
        <v>0.03</v>
      </c>
      <c r="I10" s="230">
        <f t="shared" si="0"/>
        <v>7.107148413098667E-2</v>
      </c>
      <c r="J10" s="229"/>
      <c r="K10" s="229"/>
      <c r="L10" s="226">
        <v>0.55000000000000004</v>
      </c>
      <c r="M10" s="229"/>
      <c r="N10" s="229"/>
      <c r="O10" s="229"/>
      <c r="P10" s="229"/>
      <c r="Q10" s="129"/>
    </row>
    <row r="11" spans="1:17" x14ac:dyDescent="0.25">
      <c r="G11" s="88">
        <v>9</v>
      </c>
      <c r="H11" s="89">
        <v>0.69</v>
      </c>
      <c r="I11" s="230">
        <f t="shared" si="0"/>
        <v>2.7327602901735384</v>
      </c>
      <c r="J11" s="229"/>
      <c r="K11" s="229"/>
      <c r="L11" s="226">
        <v>0.03</v>
      </c>
      <c r="M11" s="229"/>
      <c r="N11" s="229"/>
      <c r="O11" s="229"/>
      <c r="P11" s="229"/>
      <c r="Q11" s="129"/>
    </row>
    <row r="12" spans="1:17" x14ac:dyDescent="0.25">
      <c r="G12" s="88">
        <v>10</v>
      </c>
      <c r="H12" s="89">
        <v>0.94</v>
      </c>
      <c r="I12" s="230">
        <f t="shared" si="0"/>
        <v>6.5646250057734168</v>
      </c>
      <c r="J12" s="229"/>
      <c r="K12" s="229"/>
      <c r="L12" s="226">
        <v>0.54</v>
      </c>
      <c r="M12" s="229"/>
      <c r="N12" s="229"/>
      <c r="O12" s="229"/>
      <c r="P12" s="229"/>
      <c r="Q12" s="129"/>
    </row>
    <row r="13" spans="1:17" x14ac:dyDescent="0.25">
      <c r="H13" s="43"/>
      <c r="I13" s="4"/>
    </row>
    <row r="14" spans="1:17" x14ac:dyDescent="0.25">
      <c r="B14" s="1" t="s">
        <v>265</v>
      </c>
      <c r="C14" s="80">
        <f>AVERAGE(O3:O4)</f>
        <v>2.8967923256990877</v>
      </c>
      <c r="H14" s="43"/>
      <c r="I14" s="4"/>
    </row>
    <row r="15" spans="1:17" x14ac:dyDescent="0.25">
      <c r="B15" s="1" t="s">
        <v>266</v>
      </c>
      <c r="C15" s="134">
        <f>2/2</f>
        <v>1</v>
      </c>
    </row>
    <row r="16" spans="1:17" x14ac:dyDescent="0.25">
      <c r="B16" s="1" t="s">
        <v>267</v>
      </c>
      <c r="C16" s="80">
        <f>AVERAGE(P3:P4)</f>
        <v>0</v>
      </c>
    </row>
    <row r="21" spans="3:6" x14ac:dyDescent="0.25">
      <c r="C21" s="4"/>
      <c r="D21" s="4"/>
      <c r="E21" s="4"/>
      <c r="F21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22"/>
  <sheetViews>
    <sheetView topLeftCell="B1" zoomScale="110" zoomScaleNormal="110" workbookViewId="0">
      <selection activeCell="C18" sqref="C18"/>
    </sheetView>
  </sheetViews>
  <sheetFormatPr baseColWidth="10" defaultRowHeight="15" x14ac:dyDescent="0.25"/>
  <cols>
    <col min="1" max="1" width="3.5703125" customWidth="1"/>
    <col min="2" max="2" width="38.5703125" bestFit="1" customWidth="1"/>
    <col min="3" max="3" width="7.28515625" bestFit="1" customWidth="1"/>
    <col min="4" max="4" width="11.5703125" bestFit="1" customWidth="1"/>
    <col min="5" max="5" width="5.140625" customWidth="1"/>
    <col min="6" max="6" width="4.28515625" customWidth="1"/>
    <col min="7" max="7" width="9.140625" bestFit="1" customWidth="1"/>
    <col min="8" max="8" width="5" style="29" bestFit="1" customWidth="1"/>
    <col min="9" max="9" width="11.140625" customWidth="1"/>
    <col min="10" max="10" width="6.7109375" bestFit="1" customWidth="1"/>
    <col min="11" max="11" width="8.7109375" bestFit="1" customWidth="1"/>
    <col min="12" max="12" width="8.7109375" customWidth="1"/>
    <col min="13" max="13" width="5.5703125" bestFit="1" customWidth="1"/>
    <col min="14" max="14" width="10.42578125" bestFit="1" customWidth="1"/>
    <col min="15" max="15" width="7.140625" bestFit="1" customWidth="1"/>
    <col min="16" max="16" width="8" bestFit="1" customWidth="1"/>
    <col min="17" max="17" width="8.140625" bestFit="1" customWidth="1"/>
    <col min="18" max="18" width="10.140625" bestFit="1" customWidth="1"/>
    <col min="19" max="19" width="3.5703125" customWidth="1"/>
  </cols>
  <sheetData>
    <row r="1" spans="1:18" x14ac:dyDescent="0.25">
      <c r="A1" s="14"/>
    </row>
    <row r="2" spans="1:18" s="2" customFormat="1" ht="45" x14ac:dyDescent="0.25">
      <c r="A2" s="8"/>
      <c r="G2" s="227" t="s">
        <v>269</v>
      </c>
      <c r="H2" s="228" t="s">
        <v>179</v>
      </c>
      <c r="I2" s="8" t="s">
        <v>259</v>
      </c>
      <c r="J2" s="8" t="s">
        <v>261</v>
      </c>
      <c r="K2" s="8" t="s">
        <v>268</v>
      </c>
      <c r="L2" s="8" t="s">
        <v>326</v>
      </c>
      <c r="M2" s="228" t="s">
        <v>114</v>
      </c>
      <c r="N2" s="8" t="s">
        <v>262</v>
      </c>
      <c r="O2" s="8" t="s">
        <v>260</v>
      </c>
      <c r="P2" s="8" t="s">
        <v>263</v>
      </c>
      <c r="Q2" s="8" t="s">
        <v>264</v>
      </c>
      <c r="R2" s="8" t="s">
        <v>181</v>
      </c>
    </row>
    <row r="3" spans="1:18" x14ac:dyDescent="0.25">
      <c r="A3" s="6"/>
      <c r="B3" s="6" t="s">
        <v>177</v>
      </c>
      <c r="G3" s="235">
        <v>1</v>
      </c>
      <c r="H3" s="89">
        <v>0.94</v>
      </c>
      <c r="I3" s="111">
        <f>-(LN(1-H3)/$C$4)</f>
        <v>6.5646250057734168</v>
      </c>
      <c r="J3" s="232">
        <f>I3</f>
        <v>6.5646250057734168</v>
      </c>
      <c r="K3" s="214">
        <f>J3</f>
        <v>6.5646250057734168</v>
      </c>
      <c r="L3" s="214">
        <f>K3-J3</f>
        <v>0</v>
      </c>
      <c r="M3" s="89">
        <v>0.54</v>
      </c>
      <c r="N3" s="201">
        <f>-1*(LN(1-M3)/$C$5)</f>
        <v>1.5530575789979928</v>
      </c>
      <c r="O3" s="233">
        <f>K3+N3</f>
        <v>8.1176825847714102</v>
      </c>
      <c r="P3" s="214">
        <f>O3-J3</f>
        <v>1.5530575789979935</v>
      </c>
      <c r="Q3" s="1">
        <v>0</v>
      </c>
      <c r="R3" s="1">
        <v>1</v>
      </c>
    </row>
    <row r="4" spans="1:18" x14ac:dyDescent="0.25">
      <c r="B4" s="116" t="s">
        <v>257</v>
      </c>
      <c r="C4" s="79">
        <f>3/7</f>
        <v>0.42857142857142855</v>
      </c>
      <c r="D4" s="2" t="s">
        <v>325</v>
      </c>
      <c r="E4" s="2" t="s">
        <v>178</v>
      </c>
      <c r="G4" s="235">
        <v>2</v>
      </c>
      <c r="H4" s="89">
        <v>0.74</v>
      </c>
      <c r="I4" s="111">
        <f>-(LN(1-H4)/$C$4)</f>
        <v>3.1431718452554218</v>
      </c>
      <c r="J4" s="233">
        <f>J3+I4</f>
        <v>9.7077968510288386</v>
      </c>
      <c r="K4" s="214">
        <f>MAX(J4,O3)</f>
        <v>9.7077968510288386</v>
      </c>
      <c r="L4" s="214">
        <f>K4-J4</f>
        <v>0</v>
      </c>
      <c r="M4" s="89">
        <v>0.88</v>
      </c>
      <c r="N4" s="201">
        <f>-1*(LN(1-M4)/$C$5)</f>
        <v>4.240527072400182</v>
      </c>
      <c r="O4" s="233">
        <f>K4+N4</f>
        <v>13.948323923429021</v>
      </c>
      <c r="P4" s="214">
        <f>O4-J4</f>
        <v>4.240527072400182</v>
      </c>
      <c r="Q4" s="1">
        <f>COUNTIF($O$3:O3,"&gt;"&amp;J4)</f>
        <v>0</v>
      </c>
      <c r="R4" s="1">
        <v>1</v>
      </c>
    </row>
    <row r="5" spans="1:18" x14ac:dyDescent="0.25">
      <c r="B5" s="129" t="s">
        <v>258</v>
      </c>
      <c r="C5" s="82">
        <f>1/2</f>
        <v>0.5</v>
      </c>
      <c r="D5" t="s">
        <v>325</v>
      </c>
      <c r="E5" t="s">
        <v>178</v>
      </c>
      <c r="G5" s="235">
        <v>3</v>
      </c>
      <c r="H5" s="89">
        <v>0.62</v>
      </c>
      <c r="I5" s="111">
        <f>-(LN(1-H5)/$C$4)</f>
        <v>2.2576960612773131</v>
      </c>
      <c r="J5" s="233">
        <f>J4+I5</f>
        <v>11.965492912306152</v>
      </c>
      <c r="K5" s="232">
        <f>MAX(J5,O4)</f>
        <v>13.948323923429021</v>
      </c>
      <c r="L5" s="214">
        <f>K5-J5</f>
        <v>1.9828310111228689</v>
      </c>
      <c r="M5" s="89">
        <v>0.08</v>
      </c>
      <c r="N5" s="201">
        <f t="shared" ref="N5:N20" si="0">-1*(LN(1-M5)/$C$5)</f>
        <v>0.16676321787810203</v>
      </c>
      <c r="O5" s="233">
        <f t="shared" ref="O5:O20" si="1">K5+N5</f>
        <v>14.115087141307123</v>
      </c>
      <c r="P5" s="214">
        <f>O5-J5</f>
        <v>2.1495942290009715</v>
      </c>
      <c r="Q5" s="1">
        <f>COUNTIF($O$3:O4,"&gt;"&amp;J5)</f>
        <v>1</v>
      </c>
      <c r="R5" s="1">
        <v>0</v>
      </c>
    </row>
    <row r="6" spans="1:18" x14ac:dyDescent="0.25">
      <c r="B6" s="1" t="s">
        <v>182</v>
      </c>
      <c r="C6" s="1">
        <v>10</v>
      </c>
      <c r="D6" t="s">
        <v>131</v>
      </c>
      <c r="G6" s="235">
        <v>4</v>
      </c>
      <c r="H6" s="89">
        <v>0.11</v>
      </c>
      <c r="I6" s="111">
        <f>-(LN(1-H6)/$C$4)</f>
        <v>0.27191223793055352</v>
      </c>
      <c r="J6" s="233">
        <f t="shared" ref="J6:J20" si="2">J5+I6</f>
        <v>12.237405150236706</v>
      </c>
      <c r="K6" s="232">
        <f>MAX(J6,O5)</f>
        <v>14.115087141307123</v>
      </c>
      <c r="L6" s="214">
        <f>K6-J6</f>
        <v>1.8776819910704177</v>
      </c>
      <c r="M6" s="89">
        <v>0.81</v>
      </c>
      <c r="N6" s="201">
        <f t="shared" si="0"/>
        <v>3.3214624136433022</v>
      </c>
      <c r="O6" s="233">
        <f>K6+N6</f>
        <v>17.436549554950425</v>
      </c>
      <c r="P6" s="214">
        <f t="shared" ref="P6:P20" si="3">O6-J6</f>
        <v>5.199144404713719</v>
      </c>
      <c r="Q6" s="129">
        <f>COUNTIF($O$3:O5,"&gt;"&amp;J6)</f>
        <v>2</v>
      </c>
      <c r="R6" s="1">
        <v>0</v>
      </c>
    </row>
    <row r="7" spans="1:18" x14ac:dyDescent="0.25">
      <c r="G7" s="235">
        <v>5</v>
      </c>
      <c r="H7" s="89">
        <v>0.17</v>
      </c>
      <c r="I7" s="111">
        <f t="shared" ref="I7:I22" si="4">-(LN(1-H7)/$C$4)</f>
        <v>0.43476901578015148</v>
      </c>
      <c r="J7" s="233">
        <f t="shared" si="2"/>
        <v>12.672174166016857</v>
      </c>
      <c r="K7" s="214">
        <f t="shared" ref="K7:K19" si="5">MAX(J7,O6)</f>
        <v>17.436549554950425</v>
      </c>
      <c r="L7" s="214">
        <f t="shared" ref="L7:L20" si="6">K7-J7</f>
        <v>4.7643753889335674</v>
      </c>
      <c r="M7" s="89">
        <v>0.04</v>
      </c>
      <c r="N7" s="201">
        <f t="shared" si="0"/>
        <v>8.1643989040510331E-2</v>
      </c>
      <c r="O7" s="233">
        <f t="shared" si="1"/>
        <v>17.518193543990936</v>
      </c>
      <c r="P7" s="214">
        <f t="shared" si="3"/>
        <v>4.8460193779740788</v>
      </c>
      <c r="Q7" s="129">
        <f>COUNTIF($O$3:O6,"&gt;"&amp;J7)</f>
        <v>3</v>
      </c>
      <c r="R7" s="1">
        <v>0</v>
      </c>
    </row>
    <row r="8" spans="1:18" x14ac:dyDescent="0.25">
      <c r="G8" s="235">
        <v>6</v>
      </c>
      <c r="H8" s="89">
        <v>0.66</v>
      </c>
      <c r="I8" s="111">
        <f t="shared" si="4"/>
        <v>2.5172225432011701</v>
      </c>
      <c r="J8" s="233">
        <f>J7+I8</f>
        <v>15.189396709218027</v>
      </c>
      <c r="K8" s="214">
        <f t="shared" si="5"/>
        <v>17.518193543990936</v>
      </c>
      <c r="L8" s="214">
        <f t="shared" si="6"/>
        <v>2.3287968347729091</v>
      </c>
      <c r="M8" s="89">
        <v>0.74</v>
      </c>
      <c r="N8" s="201">
        <f t="shared" si="0"/>
        <v>2.6941472959332184</v>
      </c>
      <c r="O8" s="233">
        <f t="shared" si="1"/>
        <v>20.212340839924153</v>
      </c>
      <c r="P8" s="214">
        <f t="shared" si="3"/>
        <v>5.0229441307061258</v>
      </c>
      <c r="Q8" s="129">
        <f>COUNTIF($O$3:O7,"&gt;"&amp;J8)</f>
        <v>2</v>
      </c>
      <c r="R8" s="1">
        <v>0</v>
      </c>
    </row>
    <row r="9" spans="1:18" x14ac:dyDescent="0.25">
      <c r="G9" s="235">
        <v>7</v>
      </c>
      <c r="H9" s="89">
        <v>0.54</v>
      </c>
      <c r="I9" s="111">
        <f t="shared" si="4"/>
        <v>1.8119005088309916</v>
      </c>
      <c r="J9" s="233">
        <f>J8+I9</f>
        <v>17.001297218049018</v>
      </c>
      <c r="K9" s="214">
        <f t="shared" si="5"/>
        <v>20.212340839924153</v>
      </c>
      <c r="L9" s="214">
        <f t="shared" si="6"/>
        <v>3.2110436218751346</v>
      </c>
      <c r="M9" s="89">
        <v>0.49</v>
      </c>
      <c r="N9" s="201">
        <f t="shared" si="0"/>
        <v>1.3466891065275313</v>
      </c>
      <c r="O9" s="233">
        <f t="shared" si="1"/>
        <v>21.559029946451684</v>
      </c>
      <c r="P9" s="214">
        <f t="shared" si="3"/>
        <v>4.5577327284026659</v>
      </c>
      <c r="Q9" s="129">
        <f>COUNTIF($O$3:O8,"&gt;"&amp;J9)</f>
        <v>3</v>
      </c>
      <c r="R9" s="1">
        <v>0</v>
      </c>
    </row>
    <row r="10" spans="1:18" x14ac:dyDescent="0.25">
      <c r="G10" s="235">
        <v>8</v>
      </c>
      <c r="H10" s="89">
        <v>0.03</v>
      </c>
      <c r="I10" s="111">
        <f t="shared" si="4"/>
        <v>7.107148413098667E-2</v>
      </c>
      <c r="J10" s="233">
        <f>J9+I10</f>
        <v>17.072368702180004</v>
      </c>
      <c r="K10" s="214">
        <f t="shared" si="5"/>
        <v>21.559029946451684</v>
      </c>
      <c r="L10" s="214">
        <f t="shared" si="6"/>
        <v>4.48666124427168</v>
      </c>
      <c r="M10" s="89">
        <v>0.55000000000000004</v>
      </c>
      <c r="N10" s="201">
        <f t="shared" si="0"/>
        <v>1.5970153924355435</v>
      </c>
      <c r="O10" s="232">
        <f t="shared" si="1"/>
        <v>23.156045338887228</v>
      </c>
      <c r="P10" s="214">
        <f t="shared" si="3"/>
        <v>6.0836766367072244</v>
      </c>
      <c r="Q10" s="129">
        <f>COUNTIF($O$3:O9,"&gt;"&amp;J10)</f>
        <v>4</v>
      </c>
      <c r="R10" s="1">
        <v>0</v>
      </c>
    </row>
    <row r="11" spans="1:18" x14ac:dyDescent="0.25">
      <c r="G11" s="235">
        <v>9</v>
      </c>
      <c r="H11" s="89">
        <v>0.69</v>
      </c>
      <c r="I11" s="111">
        <f t="shared" si="4"/>
        <v>2.7327602901735384</v>
      </c>
      <c r="J11" s="232">
        <f t="shared" si="2"/>
        <v>19.805128992353541</v>
      </c>
      <c r="K11" s="214">
        <f t="shared" si="5"/>
        <v>23.156045338887228</v>
      </c>
      <c r="L11" s="214">
        <f t="shared" si="6"/>
        <v>3.3509163465336869</v>
      </c>
      <c r="M11" s="89">
        <v>0.03</v>
      </c>
      <c r="N11" s="201">
        <f t="shared" si="0"/>
        <v>6.0918414969417148E-2</v>
      </c>
      <c r="O11" s="232">
        <f t="shared" si="1"/>
        <v>23.216963753856646</v>
      </c>
      <c r="P11" s="214">
        <f t="shared" si="3"/>
        <v>3.4118347615031048</v>
      </c>
      <c r="Q11" s="1">
        <f>COUNTIF($O$3:O10,"&gt;"&amp;J11)</f>
        <v>3</v>
      </c>
      <c r="R11" s="1">
        <v>0</v>
      </c>
    </row>
    <row r="12" spans="1:18" x14ac:dyDescent="0.25">
      <c r="G12" s="235">
        <v>10</v>
      </c>
      <c r="H12" s="89">
        <v>0.94</v>
      </c>
      <c r="I12" s="111">
        <f t="shared" si="4"/>
        <v>6.5646250057734168</v>
      </c>
      <c r="J12" s="232">
        <f t="shared" si="2"/>
        <v>26.36975399812696</v>
      </c>
      <c r="K12" s="214">
        <f t="shared" si="5"/>
        <v>26.36975399812696</v>
      </c>
      <c r="L12" s="214">
        <f t="shared" si="6"/>
        <v>0</v>
      </c>
      <c r="M12" s="89">
        <v>0.54</v>
      </c>
      <c r="N12" s="201">
        <f t="shared" si="0"/>
        <v>1.5530575789979928</v>
      </c>
      <c r="O12" s="232">
        <f t="shared" si="1"/>
        <v>27.922811577124953</v>
      </c>
      <c r="P12" s="214">
        <f t="shared" si="3"/>
        <v>1.5530575789979935</v>
      </c>
      <c r="Q12" s="1">
        <f>COUNTIF($O$3:O11,"&gt;"&amp;J12)</f>
        <v>0</v>
      </c>
      <c r="R12" s="1">
        <v>1</v>
      </c>
    </row>
    <row r="13" spans="1:18" x14ac:dyDescent="0.25">
      <c r="G13" s="235">
        <v>11</v>
      </c>
      <c r="H13" s="89">
        <v>0.94</v>
      </c>
      <c r="I13" s="111">
        <f t="shared" si="4"/>
        <v>6.5646250057734168</v>
      </c>
      <c r="J13" s="232">
        <f t="shared" si="2"/>
        <v>32.934379003900375</v>
      </c>
      <c r="K13" s="214">
        <f t="shared" si="5"/>
        <v>32.934379003900375</v>
      </c>
      <c r="L13" s="214">
        <f t="shared" si="6"/>
        <v>0</v>
      </c>
      <c r="M13" s="89">
        <v>0.54</v>
      </c>
      <c r="N13" s="201">
        <f t="shared" si="0"/>
        <v>1.5530575789979928</v>
      </c>
      <c r="O13" s="232">
        <f t="shared" si="1"/>
        <v>34.487436582898368</v>
      </c>
      <c r="P13" s="214">
        <f t="shared" si="3"/>
        <v>1.5530575789979935</v>
      </c>
      <c r="Q13" s="1">
        <f>COUNTIF($O$3:O12,"&gt;"&amp;J13)</f>
        <v>0</v>
      </c>
      <c r="R13" s="1">
        <v>1</v>
      </c>
    </row>
    <row r="14" spans="1:18" x14ac:dyDescent="0.25">
      <c r="A14" t="s">
        <v>80</v>
      </c>
      <c r="B14" s="1" t="s">
        <v>265</v>
      </c>
      <c r="C14" s="80">
        <f>AVERAGE(P3:P20)</f>
        <v>4.0150158143503898</v>
      </c>
      <c r="D14" t="s">
        <v>131</v>
      </c>
      <c r="G14" s="235">
        <v>12</v>
      </c>
      <c r="H14" s="89">
        <v>0.74</v>
      </c>
      <c r="I14" s="111">
        <f t="shared" si="4"/>
        <v>3.1431718452554218</v>
      </c>
      <c r="J14" s="232">
        <f t="shared" si="2"/>
        <v>36.077550849155799</v>
      </c>
      <c r="K14" s="214">
        <f t="shared" si="5"/>
        <v>36.077550849155799</v>
      </c>
      <c r="L14" s="214">
        <f t="shared" si="6"/>
        <v>0</v>
      </c>
      <c r="M14" s="89">
        <v>0.88</v>
      </c>
      <c r="N14" s="201">
        <f t="shared" si="0"/>
        <v>4.240527072400182</v>
      </c>
      <c r="O14" s="232">
        <f t="shared" si="1"/>
        <v>40.318077921555982</v>
      </c>
      <c r="P14" s="214">
        <f t="shared" si="3"/>
        <v>4.2405270724001838</v>
      </c>
      <c r="Q14" s="1">
        <f>COUNTIF($O$3:O13,"&gt;"&amp;J14)</f>
        <v>0</v>
      </c>
      <c r="R14" s="1">
        <v>1</v>
      </c>
    </row>
    <row r="15" spans="1:18" x14ac:dyDescent="0.25">
      <c r="A15" t="s">
        <v>82</v>
      </c>
      <c r="B15" s="1" t="s">
        <v>266</v>
      </c>
      <c r="C15" s="134">
        <f>5/18</f>
        <v>0.27777777777777779</v>
      </c>
      <c r="G15" s="235">
        <v>13</v>
      </c>
      <c r="H15" s="89">
        <v>0.62</v>
      </c>
      <c r="I15" s="111">
        <f t="shared" si="4"/>
        <v>2.2576960612773131</v>
      </c>
      <c r="J15" s="232">
        <f t="shared" si="2"/>
        <v>38.335246910433113</v>
      </c>
      <c r="K15" s="214">
        <f t="shared" si="5"/>
        <v>40.318077921555982</v>
      </c>
      <c r="L15" s="214">
        <f t="shared" si="6"/>
        <v>1.9828310111228689</v>
      </c>
      <c r="M15" s="89">
        <v>0.08</v>
      </c>
      <c r="N15" s="201">
        <f t="shared" si="0"/>
        <v>0.16676321787810203</v>
      </c>
      <c r="O15" s="232">
        <f t="shared" si="1"/>
        <v>40.484841139434081</v>
      </c>
      <c r="P15" s="214">
        <f t="shared" si="3"/>
        <v>2.149594229000968</v>
      </c>
      <c r="Q15" s="129">
        <f>COUNTIF($O$3:O14,"&gt;"&amp;J15)</f>
        <v>1</v>
      </c>
      <c r="R15" s="1">
        <v>0</v>
      </c>
    </row>
    <row r="16" spans="1:18" x14ac:dyDescent="0.25">
      <c r="B16" s="1" t="s">
        <v>267</v>
      </c>
      <c r="C16" s="80">
        <f>AVERAGE(Q3:Q20)</f>
        <v>1.8333333333333333</v>
      </c>
      <c r="D16" t="s">
        <v>328</v>
      </c>
      <c r="G16" s="235">
        <v>14</v>
      </c>
      <c r="H16" s="89">
        <v>0.11</v>
      </c>
      <c r="I16" s="111">
        <f t="shared" si="4"/>
        <v>0.27191223793055352</v>
      </c>
      <c r="J16" s="232">
        <f t="shared" si="2"/>
        <v>38.607159148363664</v>
      </c>
      <c r="K16" s="214">
        <f t="shared" si="5"/>
        <v>40.484841139434081</v>
      </c>
      <c r="L16" s="214">
        <f t="shared" si="6"/>
        <v>1.8776819910704177</v>
      </c>
      <c r="M16" s="89">
        <v>0.81</v>
      </c>
      <c r="N16" s="201">
        <f t="shared" si="0"/>
        <v>3.3214624136433022</v>
      </c>
      <c r="O16" s="232">
        <f t="shared" si="1"/>
        <v>43.806303553077385</v>
      </c>
      <c r="P16" s="214">
        <f t="shared" si="3"/>
        <v>5.1991444047137207</v>
      </c>
      <c r="Q16" s="129">
        <f>COUNTIF($O$3:O15,"&gt;"&amp;J16)</f>
        <v>2</v>
      </c>
      <c r="R16" s="1">
        <v>0</v>
      </c>
    </row>
    <row r="17" spans="2:18" x14ac:dyDescent="0.25">
      <c r="B17" s="181" t="s">
        <v>327</v>
      </c>
      <c r="C17" s="214">
        <f>AVERAGE(L3:L20)</f>
        <v>2.2585386961459353</v>
      </c>
      <c r="D17" t="s">
        <v>131</v>
      </c>
      <c r="G17" s="235">
        <v>15</v>
      </c>
      <c r="H17" s="89">
        <v>0.17</v>
      </c>
      <c r="I17" s="111">
        <f t="shared" si="4"/>
        <v>0.43476901578015148</v>
      </c>
      <c r="J17" s="232">
        <f>J16+I17</f>
        <v>39.041928164143812</v>
      </c>
      <c r="K17" s="214">
        <f t="shared" si="5"/>
        <v>43.806303553077385</v>
      </c>
      <c r="L17" s="214">
        <f t="shared" si="6"/>
        <v>4.7643753889335727</v>
      </c>
      <c r="M17" s="89">
        <v>0.04</v>
      </c>
      <c r="N17" s="201">
        <f t="shared" si="0"/>
        <v>8.1643989040510331E-2</v>
      </c>
      <c r="O17" s="232">
        <f t="shared" si="1"/>
        <v>43.887947542117892</v>
      </c>
      <c r="P17" s="214">
        <f t="shared" si="3"/>
        <v>4.8460193779740806</v>
      </c>
      <c r="Q17" s="129">
        <f>COUNTIF($O$3:O16,"&gt;"&amp;J17)</f>
        <v>3</v>
      </c>
      <c r="R17" s="1">
        <v>0</v>
      </c>
    </row>
    <row r="18" spans="2:18" x14ac:dyDescent="0.25">
      <c r="G18" s="235">
        <v>16</v>
      </c>
      <c r="H18" s="89">
        <v>0.66</v>
      </c>
      <c r="I18" s="111">
        <f t="shared" si="4"/>
        <v>2.5172225432011701</v>
      </c>
      <c r="J18" s="232">
        <f t="shared" si="2"/>
        <v>41.559150707344983</v>
      </c>
      <c r="K18" s="214">
        <f t="shared" si="5"/>
        <v>43.887947542117892</v>
      </c>
      <c r="L18" s="214">
        <f t="shared" si="6"/>
        <v>2.3287968347729091</v>
      </c>
      <c r="M18" s="89">
        <v>0.74</v>
      </c>
      <c r="N18" s="201">
        <f t="shared" si="0"/>
        <v>2.6941472959332184</v>
      </c>
      <c r="O18" s="232">
        <f t="shared" si="1"/>
        <v>46.582094838051113</v>
      </c>
      <c r="P18" s="214">
        <f t="shared" si="3"/>
        <v>5.0229441307061293</v>
      </c>
      <c r="Q18" s="129">
        <f>COUNTIF($O$3:O17,"&gt;"&amp;J18)</f>
        <v>2</v>
      </c>
      <c r="R18" s="1">
        <v>0</v>
      </c>
    </row>
    <row r="19" spans="2:18" x14ac:dyDescent="0.25">
      <c r="G19" s="235">
        <v>17</v>
      </c>
      <c r="H19" s="89">
        <v>0.54</v>
      </c>
      <c r="I19" s="111">
        <f t="shared" si="4"/>
        <v>1.8119005088309916</v>
      </c>
      <c r="J19" s="232">
        <f t="shared" si="2"/>
        <v>43.371051216175978</v>
      </c>
      <c r="K19" s="214">
        <f t="shared" si="5"/>
        <v>46.582094838051113</v>
      </c>
      <c r="L19" s="214">
        <f t="shared" si="6"/>
        <v>3.2110436218751346</v>
      </c>
      <c r="M19" s="89">
        <v>0.49</v>
      </c>
      <c r="N19" s="201">
        <f t="shared" si="0"/>
        <v>1.3466891065275313</v>
      </c>
      <c r="O19" s="232">
        <f t="shared" si="1"/>
        <v>47.92878394457864</v>
      </c>
      <c r="P19" s="214">
        <f t="shared" si="3"/>
        <v>4.5577327284026623</v>
      </c>
      <c r="Q19" s="129">
        <f>COUNTIF($O$3:O18,"&gt;"&amp;J19)</f>
        <v>3</v>
      </c>
      <c r="R19" s="1">
        <v>0</v>
      </c>
    </row>
    <row r="20" spans="2:18" x14ac:dyDescent="0.25">
      <c r="G20" s="235">
        <v>18</v>
      </c>
      <c r="H20" s="89">
        <v>0.03</v>
      </c>
      <c r="I20" s="111">
        <f>-(LN(1-H20)/$C$4)</f>
        <v>7.107148413098667E-2</v>
      </c>
      <c r="J20" s="232">
        <f t="shared" si="2"/>
        <v>43.442122700306967</v>
      </c>
      <c r="K20" s="214">
        <f>MAX(J20,O19)</f>
        <v>47.92878394457864</v>
      </c>
      <c r="L20" s="214">
        <f t="shared" si="6"/>
        <v>4.4866612442716729</v>
      </c>
      <c r="M20" s="89">
        <v>0.55000000000000004</v>
      </c>
      <c r="N20" s="201">
        <f t="shared" si="0"/>
        <v>1.5970153924355435</v>
      </c>
      <c r="O20" s="232">
        <f t="shared" si="1"/>
        <v>49.525799337014185</v>
      </c>
      <c r="P20" s="214">
        <f t="shared" si="3"/>
        <v>6.0836766367072173</v>
      </c>
      <c r="Q20" s="129">
        <f>COUNTIF($O$3:O19,"&gt;"&amp;J20)</f>
        <v>4</v>
      </c>
      <c r="R20" s="1">
        <v>0</v>
      </c>
    </row>
    <row r="21" spans="2:18" x14ac:dyDescent="0.25">
      <c r="C21" s="4"/>
      <c r="D21" s="4"/>
      <c r="E21" s="4"/>
      <c r="F21" s="4"/>
      <c r="G21" s="95">
        <v>19</v>
      </c>
      <c r="H21" s="89">
        <v>0.69</v>
      </c>
      <c r="I21" s="111">
        <f t="shared" si="4"/>
        <v>2.7327602901735384</v>
      </c>
      <c r="J21" s="233">
        <f t="shared" ref="J21" si="7">J20+I21</f>
        <v>46.174882990480505</v>
      </c>
      <c r="K21" s="229"/>
      <c r="L21" s="229"/>
      <c r="M21" s="226">
        <v>0.03</v>
      </c>
      <c r="N21" s="231"/>
      <c r="O21" s="234"/>
      <c r="P21" s="129"/>
      <c r="Q21" s="129"/>
      <c r="R21" s="129"/>
    </row>
    <row r="22" spans="2:18" x14ac:dyDescent="0.25">
      <c r="G22" s="95">
        <v>20</v>
      </c>
      <c r="H22" s="89">
        <v>0.94</v>
      </c>
      <c r="I22" s="111">
        <f t="shared" si="4"/>
        <v>6.5646250057734168</v>
      </c>
      <c r="J22" s="233"/>
      <c r="K22" s="229"/>
      <c r="L22" s="229"/>
      <c r="M22" s="226">
        <v>0.54</v>
      </c>
      <c r="N22" s="231"/>
      <c r="O22" s="234"/>
      <c r="P22" s="129"/>
      <c r="Q22" s="129"/>
      <c r="R22" s="129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34"/>
  <sheetViews>
    <sheetView topLeftCell="A10" zoomScale="115" zoomScaleNormal="115" workbookViewId="0">
      <selection activeCell="C7" sqref="C7"/>
    </sheetView>
  </sheetViews>
  <sheetFormatPr baseColWidth="10" defaultRowHeight="15" x14ac:dyDescent="0.25"/>
  <cols>
    <col min="1" max="1" width="3.5703125" customWidth="1"/>
    <col min="2" max="2" width="30.7109375" customWidth="1"/>
    <col min="3" max="4" width="8.5703125" bestFit="1" customWidth="1"/>
    <col min="5" max="7" width="8.5703125" customWidth="1"/>
    <col min="8" max="8" width="4.28515625" customWidth="1"/>
    <col min="9" max="9" width="6.5703125" customWidth="1"/>
    <col min="10" max="10" width="8.42578125" style="29" customWidth="1"/>
    <col min="11" max="11" width="5.85546875" bestFit="1" customWidth="1"/>
    <col min="12" max="12" width="6.28515625" bestFit="1" customWidth="1"/>
    <col min="13" max="13" width="8.5703125" bestFit="1" customWidth="1"/>
    <col min="14" max="14" width="7.5703125" bestFit="1" customWidth="1"/>
    <col min="15" max="15" width="5.7109375" bestFit="1" customWidth="1"/>
    <col min="16" max="16" width="4.140625" bestFit="1" customWidth="1"/>
    <col min="17" max="17" width="6.28515625" customWidth="1"/>
    <col min="18" max="19" width="5.140625" customWidth="1"/>
    <col min="20" max="20" width="7.5703125" bestFit="1" customWidth="1"/>
    <col min="21" max="21" width="7.5703125" customWidth="1"/>
    <col min="22" max="22" width="9" customWidth="1"/>
    <col min="23" max="23" width="12.140625" customWidth="1"/>
  </cols>
  <sheetData>
    <row r="1" spans="1:23" x14ac:dyDescent="0.25">
      <c r="A1" s="14"/>
      <c r="I1" s="237"/>
      <c r="J1" s="135"/>
      <c r="K1" s="238" t="s">
        <v>275</v>
      </c>
      <c r="L1" s="239" t="s">
        <v>240</v>
      </c>
      <c r="M1" s="136" t="s">
        <v>241</v>
      </c>
    </row>
    <row r="2" spans="1:23" x14ac:dyDescent="0.25">
      <c r="A2" s="6"/>
      <c r="I2" s="1" t="s">
        <v>273</v>
      </c>
      <c r="J2" s="236">
        <v>0.8</v>
      </c>
      <c r="K2" s="134">
        <f>J2</f>
        <v>0.8</v>
      </c>
      <c r="L2" s="215">
        <v>0</v>
      </c>
      <c r="M2" s="215">
        <f>K2-0.01</f>
        <v>0.79</v>
      </c>
    </row>
    <row r="3" spans="1:23" x14ac:dyDescent="0.25">
      <c r="A3" s="6"/>
      <c r="I3" s="20" t="s">
        <v>274</v>
      </c>
      <c r="J3" s="236">
        <v>0.2</v>
      </c>
      <c r="K3" s="134">
        <f>K2+J3</f>
        <v>1</v>
      </c>
      <c r="L3" s="215">
        <f>K2</f>
        <v>0.8</v>
      </c>
      <c r="M3" s="215">
        <f>K3-0.01</f>
        <v>0.99</v>
      </c>
    </row>
    <row r="4" spans="1:23" x14ac:dyDescent="0.25">
      <c r="A4" s="6"/>
    </row>
    <row r="5" spans="1:23" s="212" customFormat="1" ht="30.75" customHeight="1" x14ac:dyDescent="0.25">
      <c r="A5" s="228"/>
      <c r="I5" s="228" t="s">
        <v>270</v>
      </c>
      <c r="J5" s="228" t="s">
        <v>291</v>
      </c>
      <c r="K5" s="228" t="s">
        <v>280</v>
      </c>
      <c r="L5" s="228" t="s">
        <v>278</v>
      </c>
      <c r="M5" s="228" t="s">
        <v>279</v>
      </c>
      <c r="N5" s="228" t="s">
        <v>281</v>
      </c>
      <c r="O5" s="228" t="s">
        <v>282</v>
      </c>
      <c r="P5" s="228" t="s">
        <v>277</v>
      </c>
      <c r="Q5" s="228" t="s">
        <v>287</v>
      </c>
      <c r="R5" s="228" t="s">
        <v>285</v>
      </c>
      <c r="S5" s="228" t="s">
        <v>286</v>
      </c>
      <c r="T5" s="228" t="s">
        <v>288</v>
      </c>
      <c r="U5" s="228" t="s">
        <v>289</v>
      </c>
      <c r="V5" s="228" t="s">
        <v>290</v>
      </c>
      <c r="W5" s="228" t="s">
        <v>292</v>
      </c>
    </row>
    <row r="6" spans="1:23" x14ac:dyDescent="0.25">
      <c r="A6" s="6"/>
      <c r="B6" s="1" t="s">
        <v>276</v>
      </c>
      <c r="C6" s="214">
        <v>12</v>
      </c>
      <c r="D6" t="s">
        <v>183</v>
      </c>
      <c r="I6" s="235">
        <v>1</v>
      </c>
      <c r="J6" s="88">
        <f>C6</f>
        <v>12</v>
      </c>
      <c r="K6" s="88">
        <f>J6</f>
        <v>12</v>
      </c>
      <c r="L6" s="89">
        <v>0.94</v>
      </c>
      <c r="M6" s="230">
        <f>$C$8+L6*($D$8-$C$8)</f>
        <v>14.7</v>
      </c>
      <c r="N6" s="232">
        <f>K6+M6</f>
        <v>26.7</v>
      </c>
      <c r="O6" s="134">
        <v>0.74</v>
      </c>
      <c r="P6" s="242" t="s">
        <v>283</v>
      </c>
      <c r="Q6" s="201" t="str">
        <f>IF(P6="s","n",N6)</f>
        <v>n</v>
      </c>
      <c r="R6" s="89">
        <v>0.54</v>
      </c>
      <c r="S6" s="201">
        <f>$C$9+R6*($D$9-$C$9)</f>
        <v>7.08</v>
      </c>
      <c r="T6" s="201" t="str">
        <f>IF(P6="s","n",Q6+S6)</f>
        <v>n</v>
      </c>
      <c r="U6" s="214">
        <f>IF(P6="s",N6,T6)</f>
        <v>26.7</v>
      </c>
      <c r="V6" s="92">
        <v>0</v>
      </c>
      <c r="W6" s="80">
        <f>N6-J6</f>
        <v>14.7</v>
      </c>
    </row>
    <row r="7" spans="1:23" x14ac:dyDescent="0.25">
      <c r="C7" t="s">
        <v>237</v>
      </c>
      <c r="D7" t="s">
        <v>238</v>
      </c>
      <c r="I7" s="235">
        <v>2</v>
      </c>
      <c r="J7" s="88">
        <f t="shared" ref="J7:J25" si="0">J6+$C$6</f>
        <v>24</v>
      </c>
      <c r="K7" s="241">
        <f>MAX(J7,N6)</f>
        <v>26.7</v>
      </c>
      <c r="L7" s="89">
        <v>0.74</v>
      </c>
      <c r="M7" s="230">
        <f t="shared" ref="M7:M24" si="1">$C$8+L7*($D$8-$C$8)</f>
        <v>13.7</v>
      </c>
      <c r="N7" s="232">
        <f t="shared" ref="N7:N24" si="2">K7+M7</f>
        <v>40.4</v>
      </c>
      <c r="O7" s="134">
        <v>0.22</v>
      </c>
      <c r="P7" s="242" t="s">
        <v>283</v>
      </c>
      <c r="Q7" s="201" t="str">
        <f>IF(P7="s","n",MAX(N7,U6))</f>
        <v>n</v>
      </c>
      <c r="R7" s="89">
        <v>0.88</v>
      </c>
      <c r="S7" s="201">
        <f t="shared" ref="S7:S24" si="3">$C$9+R7*($D$9-$C$9)</f>
        <v>7.76</v>
      </c>
      <c r="T7" s="201" t="str">
        <f t="shared" ref="T7:T24" si="4">IF(P7="s","n",Q7+S7)</f>
        <v>n</v>
      </c>
      <c r="U7" s="214">
        <f t="shared" ref="U7:U24" si="5">IF(P7="s",N7,T7)</f>
        <v>40.4</v>
      </c>
      <c r="V7" s="92">
        <f>COUNTIF($N$6:N6,"&gt;"&amp;J7)</f>
        <v>1</v>
      </c>
      <c r="W7" s="80">
        <f t="shared" ref="W7:W24" si="6">N7-J7</f>
        <v>16.399999999999999</v>
      </c>
    </row>
    <row r="8" spans="1:23" x14ac:dyDescent="0.25">
      <c r="B8" s="1" t="s">
        <v>271</v>
      </c>
      <c r="C8" s="214">
        <v>10</v>
      </c>
      <c r="D8" s="214">
        <v>15</v>
      </c>
      <c r="E8" s="249" t="s">
        <v>308</v>
      </c>
      <c r="F8" s="249"/>
      <c r="G8" s="249"/>
      <c r="I8" s="235">
        <v>3</v>
      </c>
      <c r="J8" s="88">
        <f t="shared" si="0"/>
        <v>36</v>
      </c>
      <c r="K8" s="241">
        <f t="shared" ref="K8:K25" si="7">MAX(J8,N7)</f>
        <v>40.4</v>
      </c>
      <c r="L8" s="89">
        <v>0.62</v>
      </c>
      <c r="M8" s="230">
        <f t="shared" si="1"/>
        <v>13.1</v>
      </c>
      <c r="N8" s="232">
        <f t="shared" si="2"/>
        <v>53.5</v>
      </c>
      <c r="O8" s="134">
        <v>0.73</v>
      </c>
      <c r="P8" s="242" t="s">
        <v>283</v>
      </c>
      <c r="Q8" s="201" t="str">
        <f t="shared" ref="Q8:Q24" si="8">IF(P8="s","n",MAX(N8,U7))</f>
        <v>n</v>
      </c>
      <c r="R8" s="89">
        <v>0.08</v>
      </c>
      <c r="S8" s="201">
        <f t="shared" si="3"/>
        <v>6.16</v>
      </c>
      <c r="T8" s="201" t="str">
        <f t="shared" si="4"/>
        <v>n</v>
      </c>
      <c r="U8" s="214">
        <f t="shared" si="5"/>
        <v>53.5</v>
      </c>
      <c r="V8" s="92">
        <f>COUNTIF($N$6:N7,"&gt;"&amp;J8)</f>
        <v>1</v>
      </c>
      <c r="W8" s="80">
        <f t="shared" si="6"/>
        <v>17.5</v>
      </c>
    </row>
    <row r="9" spans="1:23" x14ac:dyDescent="0.25">
      <c r="B9" s="1" t="s">
        <v>272</v>
      </c>
      <c r="C9" s="214">
        <v>6</v>
      </c>
      <c r="D9" s="214">
        <v>8</v>
      </c>
      <c r="E9" s="249" t="s">
        <v>308</v>
      </c>
      <c r="F9" s="249"/>
      <c r="G9" s="249"/>
      <c r="I9" s="235">
        <v>4</v>
      </c>
      <c r="J9" s="88">
        <f t="shared" si="0"/>
        <v>48</v>
      </c>
      <c r="K9" s="241">
        <f t="shared" si="7"/>
        <v>53.5</v>
      </c>
      <c r="L9" s="89">
        <v>0.11</v>
      </c>
      <c r="M9" s="230">
        <f t="shared" si="1"/>
        <v>10.55</v>
      </c>
      <c r="N9" s="232">
        <f t="shared" si="2"/>
        <v>64.05</v>
      </c>
      <c r="O9" s="134">
        <v>0.02</v>
      </c>
      <c r="P9" s="242" t="s">
        <v>283</v>
      </c>
      <c r="Q9" s="201" t="str">
        <f t="shared" si="8"/>
        <v>n</v>
      </c>
      <c r="R9" s="89">
        <v>0.81</v>
      </c>
      <c r="S9" s="201">
        <f t="shared" si="3"/>
        <v>7.62</v>
      </c>
      <c r="T9" s="201" t="str">
        <f t="shared" si="4"/>
        <v>n</v>
      </c>
      <c r="U9" s="214">
        <f t="shared" si="5"/>
        <v>64.05</v>
      </c>
      <c r="V9" s="92">
        <f>COUNTIF($N$6:N8,"&gt;"&amp;J9)</f>
        <v>1</v>
      </c>
      <c r="W9" s="80">
        <f t="shared" si="6"/>
        <v>16.049999999999997</v>
      </c>
    </row>
    <row r="10" spans="1:23" x14ac:dyDescent="0.25">
      <c r="I10" s="235">
        <v>5</v>
      </c>
      <c r="J10" s="88">
        <f t="shared" si="0"/>
        <v>60</v>
      </c>
      <c r="K10" s="241">
        <f t="shared" si="7"/>
        <v>64.05</v>
      </c>
      <c r="L10" s="89">
        <v>0.17</v>
      </c>
      <c r="M10" s="230">
        <f t="shared" si="1"/>
        <v>10.85</v>
      </c>
      <c r="N10" s="232">
        <f t="shared" si="2"/>
        <v>74.899999999999991</v>
      </c>
      <c r="O10" s="134">
        <v>0.01</v>
      </c>
      <c r="P10" s="242" t="s">
        <v>283</v>
      </c>
      <c r="Q10" s="201" t="str">
        <f t="shared" si="8"/>
        <v>n</v>
      </c>
      <c r="R10" s="89">
        <v>0.4</v>
      </c>
      <c r="S10" s="201">
        <f t="shared" si="3"/>
        <v>6.8</v>
      </c>
      <c r="T10" s="201" t="str">
        <f t="shared" si="4"/>
        <v>n</v>
      </c>
      <c r="U10" s="214">
        <f t="shared" si="5"/>
        <v>74.899999999999991</v>
      </c>
      <c r="V10" s="92">
        <f>COUNTIF($N$6:N9,"&gt;"&amp;J10)</f>
        <v>1</v>
      </c>
      <c r="W10" s="80">
        <f t="shared" si="6"/>
        <v>14.899999999999991</v>
      </c>
    </row>
    <row r="11" spans="1:23" x14ac:dyDescent="0.25">
      <c r="B11" s="1" t="s">
        <v>182</v>
      </c>
      <c r="C11" s="129">
        <v>240</v>
      </c>
      <c r="D11" t="s">
        <v>183</v>
      </c>
      <c r="I11" s="235">
        <v>6</v>
      </c>
      <c r="J11" s="88">
        <f t="shared" si="0"/>
        <v>72</v>
      </c>
      <c r="K11" s="241">
        <f t="shared" si="7"/>
        <v>74.899999999999991</v>
      </c>
      <c r="L11" s="89">
        <v>0.66</v>
      </c>
      <c r="M11" s="230">
        <f t="shared" si="1"/>
        <v>13.3</v>
      </c>
      <c r="N11" s="232">
        <f t="shared" si="2"/>
        <v>88.199999999999989</v>
      </c>
      <c r="O11" s="134">
        <v>0.92</v>
      </c>
      <c r="P11" s="242" t="s">
        <v>284</v>
      </c>
      <c r="Q11" s="201">
        <f>IF(P11="s","n",MAX(N11,U10))</f>
        <v>88.199999999999989</v>
      </c>
      <c r="R11" s="89">
        <v>0.74</v>
      </c>
      <c r="S11" s="201">
        <f t="shared" si="3"/>
        <v>7.48</v>
      </c>
      <c r="T11" s="201">
        <f t="shared" si="4"/>
        <v>95.679999999999993</v>
      </c>
      <c r="U11" s="214">
        <f t="shared" si="5"/>
        <v>95.679999999999993</v>
      </c>
      <c r="V11" s="92">
        <f>COUNTIF($N$6:N10,"&gt;"&amp;J11)</f>
        <v>1</v>
      </c>
      <c r="W11" s="80">
        <f t="shared" si="6"/>
        <v>16.199999999999989</v>
      </c>
    </row>
    <row r="12" spans="1:23" x14ac:dyDescent="0.25">
      <c r="I12" s="235">
        <v>7</v>
      </c>
      <c r="J12" s="88">
        <f t="shared" si="0"/>
        <v>84</v>
      </c>
      <c r="K12" s="241">
        <f t="shared" si="7"/>
        <v>88.199999999999989</v>
      </c>
      <c r="L12" s="89">
        <v>0.54</v>
      </c>
      <c r="M12" s="230">
        <f t="shared" si="1"/>
        <v>12.7</v>
      </c>
      <c r="N12" s="232">
        <f t="shared" si="2"/>
        <v>100.89999999999999</v>
      </c>
      <c r="O12" s="134">
        <v>0.3</v>
      </c>
      <c r="P12" s="242" t="s">
        <v>283</v>
      </c>
      <c r="Q12" s="201" t="str">
        <f t="shared" si="8"/>
        <v>n</v>
      </c>
      <c r="R12" s="89">
        <v>0.49</v>
      </c>
      <c r="S12" s="201">
        <f t="shared" si="3"/>
        <v>6.98</v>
      </c>
      <c r="T12" s="201" t="str">
        <f t="shared" si="4"/>
        <v>n</v>
      </c>
      <c r="U12" s="214">
        <f t="shared" si="5"/>
        <v>100.89999999999999</v>
      </c>
      <c r="V12" s="92">
        <f>COUNTIF($N$6:N11,"&gt;"&amp;J12)</f>
        <v>1</v>
      </c>
      <c r="W12" s="80">
        <f t="shared" si="6"/>
        <v>16.899999999999991</v>
      </c>
    </row>
    <row r="13" spans="1:23" x14ac:dyDescent="0.25">
      <c r="I13" s="235">
        <v>8</v>
      </c>
      <c r="J13" s="88">
        <f t="shared" si="0"/>
        <v>96</v>
      </c>
      <c r="K13" s="241">
        <f t="shared" si="7"/>
        <v>100.89999999999999</v>
      </c>
      <c r="L13" s="89">
        <v>0.3</v>
      </c>
      <c r="M13" s="230">
        <f t="shared" si="1"/>
        <v>11.5</v>
      </c>
      <c r="N13" s="232">
        <f t="shared" si="2"/>
        <v>112.39999999999999</v>
      </c>
      <c r="O13" s="134">
        <v>0.89</v>
      </c>
      <c r="P13" s="242" t="s">
        <v>284</v>
      </c>
      <c r="Q13" s="201">
        <f t="shared" si="8"/>
        <v>112.39999999999999</v>
      </c>
      <c r="R13" s="89">
        <v>0.55000000000000004</v>
      </c>
      <c r="S13" s="201">
        <f t="shared" si="3"/>
        <v>7.1</v>
      </c>
      <c r="T13" s="201">
        <f t="shared" si="4"/>
        <v>119.49999999999999</v>
      </c>
      <c r="U13" s="214">
        <f t="shared" si="5"/>
        <v>119.49999999999999</v>
      </c>
      <c r="V13" s="92">
        <f>COUNTIF($N$6:N12,"&gt;"&amp;J13)</f>
        <v>1</v>
      </c>
      <c r="W13" s="80">
        <f t="shared" si="6"/>
        <v>16.399999999999991</v>
      </c>
    </row>
    <row r="14" spans="1:23" x14ac:dyDescent="0.25">
      <c r="I14" s="235">
        <v>9</v>
      </c>
      <c r="J14" s="88">
        <f t="shared" si="0"/>
        <v>108</v>
      </c>
      <c r="K14" s="241">
        <f t="shared" si="7"/>
        <v>112.39999999999999</v>
      </c>
      <c r="L14" s="89">
        <v>0.69</v>
      </c>
      <c r="M14" s="230">
        <f t="shared" si="1"/>
        <v>13.45</v>
      </c>
      <c r="N14" s="232">
        <f t="shared" si="2"/>
        <v>125.85</v>
      </c>
      <c r="O14" s="134">
        <v>0.03</v>
      </c>
      <c r="P14" s="242" t="s">
        <v>283</v>
      </c>
      <c r="Q14" s="201" t="str">
        <f t="shared" si="8"/>
        <v>n</v>
      </c>
      <c r="R14" s="89">
        <v>0.03</v>
      </c>
      <c r="S14" s="201">
        <f t="shared" si="3"/>
        <v>6.06</v>
      </c>
      <c r="T14" s="201" t="str">
        <f t="shared" si="4"/>
        <v>n</v>
      </c>
      <c r="U14" s="214">
        <f t="shared" si="5"/>
        <v>125.85</v>
      </c>
      <c r="V14" s="92">
        <f>COUNTIF($N$6:N13,"&gt;"&amp;J14)</f>
        <v>1</v>
      </c>
      <c r="W14" s="80">
        <f t="shared" si="6"/>
        <v>17.849999999999994</v>
      </c>
    </row>
    <row r="15" spans="1:23" x14ac:dyDescent="0.25">
      <c r="A15" t="s">
        <v>80</v>
      </c>
      <c r="B15" s="1" t="s">
        <v>293</v>
      </c>
      <c r="C15" s="80">
        <f>AVERAGE(W6:W24)</f>
        <v>16.405263157894733</v>
      </c>
      <c r="I15" s="235">
        <v>10</v>
      </c>
      <c r="J15" s="88">
        <f t="shared" si="0"/>
        <v>120</v>
      </c>
      <c r="K15" s="241">
        <f t="shared" si="7"/>
        <v>125.85</v>
      </c>
      <c r="L15" s="89">
        <v>0.08</v>
      </c>
      <c r="M15" s="230">
        <f t="shared" si="1"/>
        <v>10.4</v>
      </c>
      <c r="N15" s="232">
        <f t="shared" si="2"/>
        <v>136.25</v>
      </c>
      <c r="O15" s="134">
        <v>0.75</v>
      </c>
      <c r="P15" s="242" t="s">
        <v>283</v>
      </c>
      <c r="Q15" s="201" t="str">
        <f t="shared" si="8"/>
        <v>n</v>
      </c>
      <c r="R15" s="89">
        <v>0.57999999999999996</v>
      </c>
      <c r="S15" s="201">
        <f t="shared" si="3"/>
        <v>7.16</v>
      </c>
      <c r="T15" s="201" t="str">
        <f t="shared" si="4"/>
        <v>n</v>
      </c>
      <c r="U15" s="214">
        <f t="shared" si="5"/>
        <v>136.25</v>
      </c>
      <c r="V15" s="92">
        <f>COUNTIF($N$6:N14,"&gt;"&amp;J15)</f>
        <v>1</v>
      </c>
      <c r="W15" s="80">
        <f t="shared" si="6"/>
        <v>16.25</v>
      </c>
    </row>
    <row r="16" spans="1:23" x14ac:dyDescent="0.25">
      <c r="A16" t="s">
        <v>82</v>
      </c>
      <c r="B16" s="1" t="s">
        <v>294</v>
      </c>
      <c r="C16" s="134">
        <f>7/19</f>
        <v>0.36842105263157893</v>
      </c>
      <c r="I16" s="235">
        <v>11</v>
      </c>
      <c r="J16" s="88">
        <f t="shared" si="0"/>
        <v>132</v>
      </c>
      <c r="K16" s="241">
        <f t="shared" si="7"/>
        <v>136.25</v>
      </c>
      <c r="L16" s="89">
        <v>0.27</v>
      </c>
      <c r="M16" s="230">
        <f t="shared" si="1"/>
        <v>11.35</v>
      </c>
      <c r="N16" s="232">
        <f t="shared" si="2"/>
        <v>147.6</v>
      </c>
      <c r="O16" s="134">
        <v>0.84</v>
      </c>
      <c r="P16" s="242" t="s">
        <v>284</v>
      </c>
      <c r="Q16" s="201">
        <f t="shared" si="8"/>
        <v>147.6</v>
      </c>
      <c r="R16" s="89">
        <v>0.74</v>
      </c>
      <c r="S16" s="201">
        <f t="shared" si="3"/>
        <v>7.48</v>
      </c>
      <c r="T16" s="201">
        <f t="shared" si="4"/>
        <v>155.07999999999998</v>
      </c>
      <c r="U16" s="214">
        <f t="shared" si="5"/>
        <v>155.07999999999998</v>
      </c>
      <c r="V16" s="92">
        <f>COUNTIF($N$6:N15,"&gt;"&amp;J16)</f>
        <v>1</v>
      </c>
      <c r="W16" s="80">
        <f t="shared" si="6"/>
        <v>15.599999999999994</v>
      </c>
    </row>
    <row r="17" spans="3:23" x14ac:dyDescent="0.25">
      <c r="I17" s="235">
        <v>12</v>
      </c>
      <c r="J17" s="88">
        <f t="shared" si="0"/>
        <v>144</v>
      </c>
      <c r="K17" s="241">
        <f t="shared" si="7"/>
        <v>147.6</v>
      </c>
      <c r="L17" s="89">
        <v>0.13</v>
      </c>
      <c r="M17" s="230">
        <f t="shared" si="1"/>
        <v>10.65</v>
      </c>
      <c r="N17" s="232">
        <f t="shared" si="2"/>
        <v>158.25</v>
      </c>
      <c r="O17" s="134">
        <v>0.38</v>
      </c>
      <c r="P17" s="242" t="s">
        <v>283</v>
      </c>
      <c r="Q17" s="201" t="str">
        <f t="shared" si="8"/>
        <v>n</v>
      </c>
      <c r="R17" s="89">
        <v>0.51</v>
      </c>
      <c r="S17" s="201">
        <f t="shared" si="3"/>
        <v>7.02</v>
      </c>
      <c r="T17" s="201" t="str">
        <f t="shared" si="4"/>
        <v>n</v>
      </c>
      <c r="U17" s="214">
        <f t="shared" si="5"/>
        <v>158.25</v>
      </c>
      <c r="V17" s="92">
        <f>COUNTIF($N$6:N16,"&gt;"&amp;J17)</f>
        <v>1</v>
      </c>
      <c r="W17" s="80">
        <f t="shared" si="6"/>
        <v>14.25</v>
      </c>
    </row>
    <row r="18" spans="3:23" x14ac:dyDescent="0.25">
      <c r="I18" s="235">
        <v>13</v>
      </c>
      <c r="J18" s="88">
        <f t="shared" si="0"/>
        <v>156</v>
      </c>
      <c r="K18" s="241">
        <f t="shared" si="7"/>
        <v>158.25</v>
      </c>
      <c r="L18" s="89">
        <v>0.8</v>
      </c>
      <c r="M18" s="230">
        <f t="shared" si="1"/>
        <v>14</v>
      </c>
      <c r="N18" s="232">
        <f t="shared" si="2"/>
        <v>172.25</v>
      </c>
      <c r="O18" s="134">
        <v>0.92</v>
      </c>
      <c r="P18" s="242" t="s">
        <v>284</v>
      </c>
      <c r="Q18" s="201">
        <f t="shared" si="8"/>
        <v>172.25</v>
      </c>
      <c r="R18" s="89">
        <v>0.73</v>
      </c>
      <c r="S18" s="201">
        <f t="shared" si="3"/>
        <v>7.46</v>
      </c>
      <c r="T18" s="201">
        <f t="shared" si="4"/>
        <v>179.71</v>
      </c>
      <c r="U18" s="214">
        <f t="shared" si="5"/>
        <v>179.71</v>
      </c>
      <c r="V18" s="92">
        <f>COUNTIF($N$6:N17,"&gt;"&amp;J18)</f>
        <v>1</v>
      </c>
      <c r="W18" s="80">
        <f t="shared" si="6"/>
        <v>16.25</v>
      </c>
    </row>
    <row r="19" spans="3:23" x14ac:dyDescent="0.25">
      <c r="I19" s="235">
        <v>14</v>
      </c>
      <c r="J19" s="88">
        <f t="shared" si="0"/>
        <v>168</v>
      </c>
      <c r="K19" s="241">
        <f t="shared" si="7"/>
        <v>172.25</v>
      </c>
      <c r="L19" s="89">
        <v>0.1</v>
      </c>
      <c r="M19" s="230">
        <f t="shared" si="1"/>
        <v>10.5</v>
      </c>
      <c r="N19" s="232">
        <f t="shared" si="2"/>
        <v>182.75</v>
      </c>
      <c r="O19" s="134">
        <v>0.04</v>
      </c>
      <c r="P19" s="242" t="s">
        <v>283</v>
      </c>
      <c r="Q19" s="201" t="str">
        <f t="shared" si="8"/>
        <v>n</v>
      </c>
      <c r="R19" s="89">
        <v>0.56000000000000005</v>
      </c>
      <c r="S19" s="201">
        <f t="shared" si="3"/>
        <v>7.12</v>
      </c>
      <c r="T19" s="201" t="str">
        <f t="shared" si="4"/>
        <v>n</v>
      </c>
      <c r="U19" s="214">
        <f t="shared" si="5"/>
        <v>182.75</v>
      </c>
      <c r="V19" s="92">
        <f>COUNTIF($N$6:N18,"&gt;"&amp;J19)</f>
        <v>1</v>
      </c>
      <c r="W19" s="80">
        <f t="shared" si="6"/>
        <v>14.75</v>
      </c>
    </row>
    <row r="20" spans="3:23" x14ac:dyDescent="0.25">
      <c r="I20" s="235">
        <v>15</v>
      </c>
      <c r="J20" s="88">
        <f t="shared" si="0"/>
        <v>180</v>
      </c>
      <c r="K20" s="241">
        <f t="shared" si="7"/>
        <v>182.75</v>
      </c>
      <c r="L20" s="240">
        <v>0.54</v>
      </c>
      <c r="M20" s="230">
        <f t="shared" si="1"/>
        <v>12.7</v>
      </c>
      <c r="N20" s="232">
        <f t="shared" si="2"/>
        <v>195.45</v>
      </c>
      <c r="O20" s="134">
        <v>0.26</v>
      </c>
      <c r="P20" s="243" t="s">
        <v>283</v>
      </c>
      <c r="Q20" s="201" t="str">
        <f t="shared" si="8"/>
        <v>n</v>
      </c>
      <c r="R20" s="89">
        <v>0.75</v>
      </c>
      <c r="S20" s="201">
        <f t="shared" si="3"/>
        <v>7.5</v>
      </c>
      <c r="T20" s="201" t="str">
        <f t="shared" si="4"/>
        <v>n</v>
      </c>
      <c r="U20" s="214">
        <f t="shared" si="5"/>
        <v>195.45</v>
      </c>
      <c r="V20" s="92">
        <f>COUNTIF($N$6:N19,"&gt;"&amp;J20)</f>
        <v>1</v>
      </c>
      <c r="W20" s="80">
        <f t="shared" si="6"/>
        <v>15.449999999999989</v>
      </c>
    </row>
    <row r="21" spans="3:23" x14ac:dyDescent="0.25">
      <c r="I21" s="235">
        <v>16</v>
      </c>
      <c r="J21" s="88">
        <f t="shared" si="0"/>
        <v>192</v>
      </c>
      <c r="K21" s="241">
        <f t="shared" si="7"/>
        <v>195.45</v>
      </c>
      <c r="L21" s="240">
        <v>0.6</v>
      </c>
      <c r="M21" s="230">
        <f t="shared" si="1"/>
        <v>13</v>
      </c>
      <c r="N21" s="232">
        <f t="shared" si="2"/>
        <v>208.45</v>
      </c>
      <c r="O21" s="134">
        <v>0.24</v>
      </c>
      <c r="P21" s="244" t="s">
        <v>283</v>
      </c>
      <c r="Q21" s="201" t="str">
        <f t="shared" si="8"/>
        <v>n</v>
      </c>
      <c r="R21" s="89">
        <v>0.14000000000000001</v>
      </c>
      <c r="S21" s="201">
        <f t="shared" si="3"/>
        <v>6.28</v>
      </c>
      <c r="T21" s="201" t="str">
        <f t="shared" si="4"/>
        <v>n</v>
      </c>
      <c r="U21" s="214">
        <f t="shared" si="5"/>
        <v>208.45</v>
      </c>
      <c r="V21" s="92">
        <f>COUNTIF($N$6:N20,"&gt;"&amp;J21)</f>
        <v>1</v>
      </c>
      <c r="W21" s="80">
        <f t="shared" si="6"/>
        <v>16.449999999999989</v>
      </c>
    </row>
    <row r="22" spans="3:23" x14ac:dyDescent="0.25">
      <c r="I22" s="235">
        <v>17</v>
      </c>
      <c r="J22" s="88">
        <f t="shared" si="0"/>
        <v>204</v>
      </c>
      <c r="K22" s="241">
        <f t="shared" si="7"/>
        <v>208.45</v>
      </c>
      <c r="L22" s="240">
        <v>0.49</v>
      </c>
      <c r="M22" s="230">
        <f t="shared" si="1"/>
        <v>12.45</v>
      </c>
      <c r="N22" s="232">
        <f t="shared" si="2"/>
        <v>220.89999999999998</v>
      </c>
      <c r="O22" s="134">
        <v>0.84</v>
      </c>
      <c r="P22" s="244" t="s">
        <v>284</v>
      </c>
      <c r="Q22" s="201">
        <f t="shared" si="8"/>
        <v>220.89999999999998</v>
      </c>
      <c r="R22" s="89">
        <v>0.97</v>
      </c>
      <c r="S22" s="201">
        <f t="shared" si="3"/>
        <v>7.9399999999999995</v>
      </c>
      <c r="T22" s="201">
        <f t="shared" si="4"/>
        <v>228.83999999999997</v>
      </c>
      <c r="U22" s="214">
        <f t="shared" si="5"/>
        <v>228.83999999999997</v>
      </c>
      <c r="V22" s="92">
        <f>COUNTIF($N$6:N21,"&gt;"&amp;J22)</f>
        <v>1</v>
      </c>
      <c r="W22" s="80">
        <f t="shared" si="6"/>
        <v>16.899999999999977</v>
      </c>
    </row>
    <row r="23" spans="3:23" x14ac:dyDescent="0.25">
      <c r="I23" s="235">
        <v>18</v>
      </c>
      <c r="J23" s="88">
        <f t="shared" si="0"/>
        <v>216</v>
      </c>
      <c r="K23" s="241">
        <f t="shared" si="7"/>
        <v>220.89999999999998</v>
      </c>
      <c r="L23" s="240">
        <v>0.78</v>
      </c>
      <c r="M23" s="230">
        <f t="shared" si="1"/>
        <v>13.9</v>
      </c>
      <c r="N23" s="232">
        <f t="shared" si="2"/>
        <v>234.79999999999998</v>
      </c>
      <c r="O23" s="134">
        <v>0.94</v>
      </c>
      <c r="P23" s="244" t="s">
        <v>284</v>
      </c>
      <c r="Q23" s="201">
        <f t="shared" si="8"/>
        <v>234.79999999999998</v>
      </c>
      <c r="R23" s="89">
        <v>0.65</v>
      </c>
      <c r="S23" s="201">
        <f t="shared" si="3"/>
        <v>7.3</v>
      </c>
      <c r="T23" s="201">
        <f t="shared" si="4"/>
        <v>242.1</v>
      </c>
      <c r="U23" s="214">
        <f t="shared" si="5"/>
        <v>242.1</v>
      </c>
      <c r="V23" s="92">
        <f>COUNTIF($N$6:N22,"&gt;"&amp;J23)</f>
        <v>1</v>
      </c>
      <c r="W23" s="80">
        <f t="shared" si="6"/>
        <v>18.799999999999983</v>
      </c>
    </row>
    <row r="24" spans="3:23" x14ac:dyDescent="0.25">
      <c r="I24" s="235">
        <v>19</v>
      </c>
      <c r="J24" s="88">
        <f t="shared" si="0"/>
        <v>228</v>
      </c>
      <c r="K24" s="241">
        <f t="shared" si="7"/>
        <v>234.79999999999998</v>
      </c>
      <c r="L24" s="240">
        <v>0.66</v>
      </c>
      <c r="M24" s="230">
        <f t="shared" si="1"/>
        <v>13.3</v>
      </c>
      <c r="N24" s="232">
        <f t="shared" si="2"/>
        <v>248.1</v>
      </c>
      <c r="O24" s="134">
        <v>0.86</v>
      </c>
      <c r="P24" s="244" t="s">
        <v>284</v>
      </c>
      <c r="Q24" s="201">
        <f t="shared" si="8"/>
        <v>248.1</v>
      </c>
      <c r="R24" s="89">
        <v>0.21</v>
      </c>
      <c r="S24" s="201">
        <f t="shared" si="3"/>
        <v>6.42</v>
      </c>
      <c r="T24" s="201">
        <f t="shared" si="4"/>
        <v>254.51999999999998</v>
      </c>
      <c r="U24" s="214">
        <f t="shared" si="5"/>
        <v>254.51999999999998</v>
      </c>
      <c r="V24" s="92">
        <f>COUNTIF($N$6:N23,"&gt;"&amp;J24)</f>
        <v>1</v>
      </c>
      <c r="W24" s="80">
        <f t="shared" si="6"/>
        <v>20.099999999999994</v>
      </c>
    </row>
    <row r="25" spans="3:23" x14ac:dyDescent="0.25">
      <c r="I25" s="88">
        <v>20</v>
      </c>
      <c r="J25" s="88">
        <f t="shared" si="0"/>
        <v>240</v>
      </c>
      <c r="K25" s="248">
        <f t="shared" si="7"/>
        <v>248.1</v>
      </c>
      <c r="L25" s="226">
        <v>0.44</v>
      </c>
      <c r="M25" s="245"/>
      <c r="N25" s="229"/>
      <c r="O25" s="246">
        <v>0.91</v>
      </c>
      <c r="P25" s="231"/>
      <c r="Q25" s="231"/>
      <c r="R25" s="226">
        <v>0.12</v>
      </c>
      <c r="S25" s="247"/>
      <c r="T25" s="247"/>
      <c r="U25" s="229"/>
      <c r="V25" s="129"/>
      <c r="W25" s="129"/>
    </row>
    <row r="28" spans="3:23" x14ac:dyDescent="0.25">
      <c r="R28" s="4"/>
    </row>
    <row r="29" spans="3:23" x14ac:dyDescent="0.25">
      <c r="R29" s="4"/>
    </row>
    <row r="30" spans="3:23" x14ac:dyDescent="0.25">
      <c r="C30" s="4"/>
      <c r="D30" s="4"/>
      <c r="E30" s="4"/>
      <c r="F30" s="4"/>
      <c r="G30" s="4"/>
      <c r="H30" s="4"/>
      <c r="R30" s="4"/>
    </row>
    <row r="31" spans="3:23" x14ac:dyDescent="0.25">
      <c r="R31" s="4"/>
    </row>
    <row r="32" spans="3:23" x14ac:dyDescent="0.25">
      <c r="R32" s="4"/>
    </row>
    <row r="33" spans="18:18" x14ac:dyDescent="0.25">
      <c r="R33" s="4"/>
    </row>
    <row r="34" spans="18:18" x14ac:dyDescent="0.25">
      <c r="R34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98"/>
  <sheetViews>
    <sheetView topLeftCell="B1" zoomScale="115" zoomScaleNormal="115" workbookViewId="0">
      <selection activeCell="E2" sqref="E2"/>
    </sheetView>
  </sheetViews>
  <sheetFormatPr baseColWidth="10" defaultRowHeight="15" x14ac:dyDescent="0.25"/>
  <cols>
    <col min="1" max="1" width="3.5703125" customWidth="1"/>
    <col min="2" max="2" width="34.85546875" customWidth="1"/>
    <col min="3" max="3" width="7.42578125" bestFit="1" customWidth="1"/>
    <col min="4" max="4" width="7.85546875" bestFit="1" customWidth="1"/>
    <col min="5" max="5" width="5.140625" customWidth="1"/>
    <col min="6" max="6" width="4.28515625" customWidth="1"/>
    <col min="7" max="7" width="9.42578125" customWidth="1"/>
    <col min="8" max="8" width="9.42578125" style="29" customWidth="1"/>
    <col min="9" max="9" width="8.7109375" bestFit="1" customWidth="1"/>
    <col min="10" max="11" width="8.7109375" customWidth="1"/>
    <col min="12" max="12" width="6.85546875" customWidth="1"/>
    <col min="13" max="13" width="6.42578125" customWidth="1"/>
    <col min="14" max="18" width="8.7109375" bestFit="1" customWidth="1"/>
  </cols>
  <sheetData>
    <row r="1" spans="1:18" x14ac:dyDescent="0.25">
      <c r="A1" s="14"/>
      <c r="B1" s="6"/>
      <c r="I1" s="288" t="s">
        <v>307</v>
      </c>
      <c r="J1" s="288"/>
      <c r="K1" s="288"/>
    </row>
    <row r="2" spans="1:18" s="212" customFormat="1" ht="45" x14ac:dyDescent="0.25">
      <c r="A2" s="228"/>
      <c r="G2" s="228" t="s">
        <v>297</v>
      </c>
      <c r="H2" s="228" t="s">
        <v>298</v>
      </c>
      <c r="I2" s="228" t="s">
        <v>301</v>
      </c>
      <c r="J2" s="228" t="s">
        <v>302</v>
      </c>
      <c r="K2" s="228" t="s">
        <v>303</v>
      </c>
      <c r="L2" s="228" t="s">
        <v>114</v>
      </c>
      <c r="M2" s="228" t="s">
        <v>180</v>
      </c>
      <c r="N2" s="228" t="s">
        <v>299</v>
      </c>
      <c r="O2" s="228" t="s">
        <v>264</v>
      </c>
      <c r="P2" s="228" t="s">
        <v>304</v>
      </c>
      <c r="Q2" s="228" t="s">
        <v>305</v>
      </c>
      <c r="R2" s="228" t="s">
        <v>306</v>
      </c>
    </row>
    <row r="3" spans="1:18" x14ac:dyDescent="0.25">
      <c r="A3" s="6"/>
      <c r="B3" s="1" t="s">
        <v>295</v>
      </c>
      <c r="C3" s="55">
        <v>5</v>
      </c>
      <c r="D3" t="s">
        <v>183</v>
      </c>
      <c r="G3" s="88">
        <v>1</v>
      </c>
      <c r="H3" s="252">
        <f>C3</f>
        <v>5</v>
      </c>
      <c r="I3" s="230">
        <f>H3</f>
        <v>5</v>
      </c>
      <c r="J3" s="230"/>
      <c r="K3" s="230"/>
      <c r="L3" s="89">
        <v>0.54</v>
      </c>
      <c r="M3" s="214">
        <f>-LN(1-L3)/$C$4</f>
        <v>7.7652878949899637</v>
      </c>
      <c r="N3" s="232">
        <f>SUM(I3:K3)+M3</f>
        <v>12.765287894989964</v>
      </c>
      <c r="O3" s="214">
        <v>0</v>
      </c>
      <c r="P3" s="214">
        <f>IF(I3&gt;0,$M3,0)</f>
        <v>7.7652878949899637</v>
      </c>
      <c r="Q3" s="214">
        <f t="shared" ref="Q3:R12" si="0">IF(J3&gt;0,$M3,0)</f>
        <v>0</v>
      </c>
      <c r="R3" s="214">
        <f t="shared" si="0"/>
        <v>0</v>
      </c>
    </row>
    <row r="4" spans="1:18" x14ac:dyDescent="0.25">
      <c r="B4" s="1" t="s">
        <v>296</v>
      </c>
      <c r="C4" s="213">
        <f>1/10</f>
        <v>0.1</v>
      </c>
      <c r="D4" t="s">
        <v>300</v>
      </c>
      <c r="G4" s="88">
        <v>2</v>
      </c>
      <c r="H4" s="253">
        <f>H3+$C$3</f>
        <v>10</v>
      </c>
      <c r="I4" s="230"/>
      <c r="J4" s="230">
        <v>10</v>
      </c>
      <c r="K4" s="230"/>
      <c r="L4" s="89">
        <v>0.88</v>
      </c>
      <c r="M4" s="214">
        <f t="shared" ref="M4:M67" si="1">-LN(1-L4)/$C$4</f>
        <v>21.202635362000908</v>
      </c>
      <c r="N4" s="232">
        <f t="shared" ref="N4:N67" si="2">SUM(I4:K4)+M4</f>
        <v>31.202635362000908</v>
      </c>
      <c r="O4" s="214">
        <v>0</v>
      </c>
      <c r="P4" s="214">
        <f t="shared" ref="P4:P12" si="3">IF(I4&gt;0,$M4,0)</f>
        <v>0</v>
      </c>
      <c r="Q4" s="214">
        <f t="shared" si="0"/>
        <v>21.202635362000908</v>
      </c>
      <c r="R4" s="214">
        <f t="shared" si="0"/>
        <v>0</v>
      </c>
    </row>
    <row r="5" spans="1:18" x14ac:dyDescent="0.25">
      <c r="B5" s="1" t="s">
        <v>182</v>
      </c>
      <c r="C5" s="1">
        <v>90</v>
      </c>
      <c r="D5" t="s">
        <v>183</v>
      </c>
      <c r="G5" s="88">
        <v>3</v>
      </c>
      <c r="H5" s="253">
        <f t="shared" ref="H5:H68" si="4">H4+$C$3</f>
        <v>15</v>
      </c>
      <c r="I5" s="230">
        <v>15</v>
      </c>
      <c r="J5" s="230"/>
      <c r="K5" s="230"/>
      <c r="L5" s="89">
        <v>0.08</v>
      </c>
      <c r="M5" s="214">
        <f t="shared" si="1"/>
        <v>0.83381608939051011</v>
      </c>
      <c r="N5" s="232">
        <f t="shared" si="2"/>
        <v>15.83381608939051</v>
      </c>
      <c r="O5" s="214">
        <v>0</v>
      </c>
      <c r="P5" s="214">
        <f t="shared" si="3"/>
        <v>0.83381608939051011</v>
      </c>
      <c r="Q5" s="214">
        <f t="shared" si="0"/>
        <v>0</v>
      </c>
      <c r="R5" s="214">
        <f t="shared" si="0"/>
        <v>0</v>
      </c>
    </row>
    <row r="6" spans="1:18" x14ac:dyDescent="0.25">
      <c r="G6" s="88">
        <v>4</v>
      </c>
      <c r="H6" s="253">
        <f t="shared" si="4"/>
        <v>20</v>
      </c>
      <c r="I6" s="230">
        <v>20</v>
      </c>
      <c r="J6" s="230"/>
      <c r="K6" s="230"/>
      <c r="L6" s="89">
        <v>0.81</v>
      </c>
      <c r="M6" s="214">
        <f t="shared" si="1"/>
        <v>16.607312068216508</v>
      </c>
      <c r="N6" s="232">
        <f t="shared" si="2"/>
        <v>36.607312068216508</v>
      </c>
      <c r="O6" s="214">
        <v>0</v>
      </c>
      <c r="P6" s="214">
        <f t="shared" si="3"/>
        <v>16.607312068216508</v>
      </c>
      <c r="Q6" s="214">
        <f t="shared" si="0"/>
        <v>0</v>
      </c>
      <c r="R6" s="214">
        <f t="shared" si="0"/>
        <v>0</v>
      </c>
    </row>
    <row r="7" spans="1:18" x14ac:dyDescent="0.25">
      <c r="G7" s="88">
        <v>5</v>
      </c>
      <c r="H7" s="253">
        <f t="shared" si="4"/>
        <v>25</v>
      </c>
      <c r="I7" s="230"/>
      <c r="J7" s="230"/>
      <c r="K7" s="230">
        <v>25</v>
      </c>
      <c r="L7" s="89">
        <v>0.4</v>
      </c>
      <c r="M7" s="214">
        <f t="shared" si="1"/>
        <v>5.1082562376599068</v>
      </c>
      <c r="N7" s="232">
        <f t="shared" si="2"/>
        <v>30.108256237659909</v>
      </c>
      <c r="O7" s="214">
        <v>0</v>
      </c>
      <c r="P7" s="214">
        <f t="shared" si="3"/>
        <v>0</v>
      </c>
      <c r="Q7" s="214">
        <f t="shared" si="0"/>
        <v>0</v>
      </c>
      <c r="R7" s="214">
        <f t="shared" si="0"/>
        <v>5.1082562376599068</v>
      </c>
    </row>
    <row r="8" spans="1:18" x14ac:dyDescent="0.25">
      <c r="G8" s="88">
        <v>6</v>
      </c>
      <c r="H8" s="253">
        <f t="shared" si="4"/>
        <v>30</v>
      </c>
      <c r="I8" s="230"/>
      <c r="J8" s="230"/>
      <c r="K8" s="230">
        <v>30</v>
      </c>
      <c r="L8" s="89">
        <v>0.74</v>
      </c>
      <c r="M8" s="214">
        <f t="shared" si="1"/>
        <v>13.470736479666092</v>
      </c>
      <c r="N8" s="232">
        <f t="shared" si="2"/>
        <v>43.470736479666094</v>
      </c>
      <c r="O8" s="214">
        <v>0</v>
      </c>
      <c r="P8" s="214">
        <f t="shared" si="3"/>
        <v>0</v>
      </c>
      <c r="Q8" s="214">
        <f t="shared" si="0"/>
        <v>0</v>
      </c>
      <c r="R8" s="214">
        <f t="shared" si="0"/>
        <v>13.470736479666092</v>
      </c>
    </row>
    <row r="9" spans="1:18" x14ac:dyDescent="0.25">
      <c r="G9" s="88">
        <v>7</v>
      </c>
      <c r="H9" s="253">
        <f t="shared" si="4"/>
        <v>35</v>
      </c>
      <c r="I9" s="230"/>
      <c r="J9" s="230">
        <v>35</v>
      </c>
      <c r="K9" s="230"/>
      <c r="L9" s="89">
        <v>0.49</v>
      </c>
      <c r="M9" s="214">
        <f t="shared" si="1"/>
        <v>6.7334455326376563</v>
      </c>
      <c r="N9" s="232">
        <f t="shared" si="2"/>
        <v>41.73344553263766</v>
      </c>
      <c r="O9" s="214">
        <v>0</v>
      </c>
      <c r="P9" s="214">
        <f t="shared" si="3"/>
        <v>0</v>
      </c>
      <c r="Q9" s="214">
        <f t="shared" si="0"/>
        <v>6.7334455326376563</v>
      </c>
      <c r="R9" s="214">
        <f t="shared" si="0"/>
        <v>0</v>
      </c>
    </row>
    <row r="10" spans="1:18" x14ac:dyDescent="0.25">
      <c r="G10" s="88">
        <v>8</v>
      </c>
      <c r="H10" s="253">
        <f t="shared" si="4"/>
        <v>40</v>
      </c>
      <c r="I10" s="230">
        <v>40</v>
      </c>
      <c r="J10" s="230"/>
      <c r="K10" s="230"/>
      <c r="L10" s="89">
        <v>0.55000000000000004</v>
      </c>
      <c r="M10" s="214">
        <f t="shared" si="1"/>
        <v>7.9850769621777173</v>
      </c>
      <c r="N10" s="232">
        <f t="shared" si="2"/>
        <v>47.985076962177715</v>
      </c>
      <c r="O10" s="214">
        <v>0</v>
      </c>
      <c r="P10" s="214">
        <f t="shared" si="3"/>
        <v>7.9850769621777173</v>
      </c>
      <c r="Q10" s="214">
        <f t="shared" si="0"/>
        <v>0</v>
      </c>
      <c r="R10" s="214">
        <f t="shared" si="0"/>
        <v>0</v>
      </c>
    </row>
    <row r="11" spans="1:18" x14ac:dyDescent="0.25">
      <c r="G11" s="88">
        <v>9</v>
      </c>
      <c r="H11" s="253">
        <f t="shared" si="4"/>
        <v>45</v>
      </c>
      <c r="I11" s="230"/>
      <c r="J11" s="230">
        <v>45</v>
      </c>
      <c r="K11" s="230"/>
      <c r="L11" s="89">
        <v>0.03</v>
      </c>
      <c r="M11" s="214">
        <f t="shared" si="1"/>
        <v>0.30459207484708573</v>
      </c>
      <c r="N11" s="232">
        <f t="shared" si="2"/>
        <v>45.304592074847086</v>
      </c>
      <c r="O11" s="214">
        <v>0</v>
      </c>
      <c r="P11" s="214">
        <f t="shared" si="3"/>
        <v>0</v>
      </c>
      <c r="Q11" s="214">
        <f t="shared" si="0"/>
        <v>0.30459207484708573</v>
      </c>
      <c r="R11" s="214">
        <f t="shared" si="0"/>
        <v>0</v>
      </c>
    </row>
    <row r="12" spans="1:18" x14ac:dyDescent="0.25">
      <c r="G12" s="88">
        <v>10</v>
      </c>
      <c r="H12" s="253">
        <f t="shared" si="4"/>
        <v>50</v>
      </c>
      <c r="I12" s="230">
        <v>50</v>
      </c>
      <c r="J12" s="230"/>
      <c r="K12" s="230"/>
      <c r="L12" s="89">
        <v>0.57999999999999996</v>
      </c>
      <c r="M12" s="214">
        <f t="shared" si="1"/>
        <v>8.6750056770472295</v>
      </c>
      <c r="N12" s="232">
        <f t="shared" si="2"/>
        <v>58.675005677047231</v>
      </c>
      <c r="O12" s="214">
        <v>0</v>
      </c>
      <c r="P12" s="214">
        <f t="shared" si="3"/>
        <v>8.6750056770472295</v>
      </c>
      <c r="Q12" s="214">
        <f t="shared" si="0"/>
        <v>0</v>
      </c>
      <c r="R12" s="214">
        <f t="shared" si="0"/>
        <v>0</v>
      </c>
    </row>
    <row r="13" spans="1:18" x14ac:dyDescent="0.25">
      <c r="G13" s="88">
        <v>11</v>
      </c>
      <c r="H13" s="250">
        <f t="shared" si="4"/>
        <v>55</v>
      </c>
      <c r="I13" s="230"/>
      <c r="J13" s="230"/>
      <c r="K13" s="230"/>
      <c r="L13" s="89">
        <v>0.74</v>
      </c>
      <c r="M13" s="214">
        <f t="shared" si="1"/>
        <v>13.470736479666092</v>
      </c>
      <c r="N13" s="214">
        <f t="shared" si="2"/>
        <v>13.470736479666092</v>
      </c>
      <c r="O13" s="214"/>
      <c r="P13" s="214"/>
      <c r="Q13" s="214"/>
      <c r="R13" s="214"/>
    </row>
    <row r="14" spans="1:18" x14ac:dyDescent="0.25">
      <c r="G14" s="88">
        <v>12</v>
      </c>
      <c r="H14" s="250">
        <f t="shared" si="4"/>
        <v>60</v>
      </c>
      <c r="I14" s="230"/>
      <c r="J14" s="230"/>
      <c r="K14" s="230"/>
      <c r="L14" s="89">
        <v>0.51</v>
      </c>
      <c r="M14" s="214">
        <f t="shared" si="1"/>
        <v>7.1334988787746472</v>
      </c>
      <c r="N14" s="214">
        <f t="shared" si="2"/>
        <v>7.1334988787746472</v>
      </c>
      <c r="O14" s="214"/>
      <c r="P14" s="214"/>
      <c r="Q14" s="214"/>
      <c r="R14" s="214"/>
    </row>
    <row r="15" spans="1:18" x14ac:dyDescent="0.25">
      <c r="G15" s="88">
        <v>13</v>
      </c>
      <c r="H15" s="250">
        <f t="shared" si="4"/>
        <v>65</v>
      </c>
      <c r="I15" s="230"/>
      <c r="J15" s="230"/>
      <c r="K15" s="230"/>
      <c r="L15" s="89">
        <v>0.73</v>
      </c>
      <c r="M15" s="214">
        <f t="shared" si="1"/>
        <v>13.093333199837621</v>
      </c>
      <c r="N15" s="214">
        <f t="shared" si="2"/>
        <v>13.093333199837621</v>
      </c>
      <c r="O15" s="214"/>
      <c r="P15" s="214"/>
      <c r="Q15" s="214"/>
      <c r="R15" s="214"/>
    </row>
    <row r="16" spans="1:18" x14ac:dyDescent="0.25">
      <c r="G16" s="88">
        <v>14</v>
      </c>
      <c r="H16" s="250">
        <f t="shared" si="4"/>
        <v>70</v>
      </c>
      <c r="I16" s="230"/>
      <c r="J16" s="230"/>
      <c r="K16" s="230"/>
      <c r="L16" s="89">
        <v>0.56000000000000005</v>
      </c>
      <c r="M16" s="214">
        <f t="shared" si="1"/>
        <v>8.2098055206983034</v>
      </c>
      <c r="N16" s="214">
        <f t="shared" si="2"/>
        <v>8.2098055206983034</v>
      </c>
      <c r="O16" s="214"/>
      <c r="P16" s="214"/>
      <c r="Q16" s="214"/>
      <c r="R16" s="214"/>
    </row>
    <row r="17" spans="3:18" x14ac:dyDescent="0.25">
      <c r="G17" s="88">
        <v>15</v>
      </c>
      <c r="H17" s="250">
        <f t="shared" si="4"/>
        <v>75</v>
      </c>
      <c r="I17" s="230"/>
      <c r="J17" s="230"/>
      <c r="K17" s="230"/>
      <c r="L17" s="89">
        <v>0.75</v>
      </c>
      <c r="M17" s="214">
        <f t="shared" si="1"/>
        <v>13.862943611198904</v>
      </c>
      <c r="N17" s="214">
        <f t="shared" si="2"/>
        <v>13.862943611198904</v>
      </c>
      <c r="O17" s="214"/>
      <c r="P17" s="214"/>
      <c r="Q17" s="214"/>
      <c r="R17" s="214"/>
    </row>
    <row r="18" spans="3:18" x14ac:dyDescent="0.25">
      <c r="G18" s="88">
        <v>16</v>
      </c>
      <c r="H18" s="250">
        <f t="shared" si="4"/>
        <v>80</v>
      </c>
      <c r="I18" s="230"/>
      <c r="J18" s="230"/>
      <c r="K18" s="230"/>
      <c r="L18" s="89">
        <v>0.14000000000000001</v>
      </c>
      <c r="M18" s="214">
        <f t="shared" si="1"/>
        <v>1.5082288973458364</v>
      </c>
      <c r="N18" s="214">
        <f t="shared" si="2"/>
        <v>1.5082288973458364</v>
      </c>
      <c r="O18" s="214"/>
      <c r="P18" s="214"/>
      <c r="Q18" s="214"/>
      <c r="R18" s="214"/>
    </row>
    <row r="19" spans="3:18" x14ac:dyDescent="0.25">
      <c r="G19" s="88">
        <v>17</v>
      </c>
      <c r="H19" s="250">
        <f t="shared" si="4"/>
        <v>85</v>
      </c>
      <c r="I19" s="230"/>
      <c r="J19" s="230"/>
      <c r="K19" s="230"/>
      <c r="L19" s="89">
        <v>0.97</v>
      </c>
      <c r="M19" s="214">
        <f t="shared" si="1"/>
        <v>35.065578973199806</v>
      </c>
      <c r="N19" s="214">
        <f t="shared" si="2"/>
        <v>35.065578973199806</v>
      </c>
      <c r="O19" s="214"/>
      <c r="P19" s="214"/>
      <c r="Q19" s="214"/>
      <c r="R19" s="214"/>
    </row>
    <row r="20" spans="3:18" x14ac:dyDescent="0.25">
      <c r="G20" s="88">
        <v>18</v>
      </c>
      <c r="H20" s="250">
        <f t="shared" si="4"/>
        <v>90</v>
      </c>
      <c r="I20" s="230"/>
      <c r="J20" s="230"/>
      <c r="K20" s="230"/>
      <c r="L20" s="89">
        <v>0.65</v>
      </c>
      <c r="M20" s="214">
        <f t="shared" si="1"/>
        <v>10.498221244986778</v>
      </c>
      <c r="N20" s="214">
        <f t="shared" si="2"/>
        <v>10.498221244986778</v>
      </c>
      <c r="O20" s="214"/>
      <c r="P20" s="214"/>
      <c r="Q20" s="214"/>
      <c r="R20" s="214"/>
    </row>
    <row r="21" spans="3:18" x14ac:dyDescent="0.25">
      <c r="G21" s="88">
        <v>19</v>
      </c>
      <c r="H21" s="250">
        <f t="shared" si="4"/>
        <v>95</v>
      </c>
      <c r="I21" s="230"/>
      <c r="J21" s="230"/>
      <c r="K21" s="230"/>
      <c r="L21" s="89">
        <v>0.21</v>
      </c>
      <c r="M21" s="214">
        <f t="shared" si="1"/>
        <v>2.3572233352106982</v>
      </c>
      <c r="N21" s="214">
        <f t="shared" si="2"/>
        <v>2.3572233352106982</v>
      </c>
      <c r="O21" s="214"/>
      <c r="P21" s="214"/>
      <c r="Q21" s="214"/>
      <c r="R21" s="214"/>
    </row>
    <row r="22" spans="3:18" x14ac:dyDescent="0.25">
      <c r="G22" s="88">
        <v>20</v>
      </c>
      <c r="H22" s="250">
        <f t="shared" si="4"/>
        <v>100</v>
      </c>
      <c r="I22" s="230"/>
      <c r="J22" s="230"/>
      <c r="K22" s="230"/>
      <c r="L22" s="89">
        <v>0.12</v>
      </c>
      <c r="M22" s="214">
        <f t="shared" si="1"/>
        <v>1.2783337150988487</v>
      </c>
      <c r="N22" s="214">
        <f t="shared" si="2"/>
        <v>1.2783337150988487</v>
      </c>
      <c r="O22" s="214"/>
      <c r="P22" s="214"/>
      <c r="Q22" s="214"/>
      <c r="R22" s="214"/>
    </row>
    <row r="23" spans="3:18" x14ac:dyDescent="0.25">
      <c r="G23" s="88">
        <v>21</v>
      </c>
      <c r="H23" s="250">
        <f t="shared" si="4"/>
        <v>105</v>
      </c>
      <c r="I23" s="230"/>
      <c r="J23" s="230"/>
      <c r="K23" s="230"/>
      <c r="L23" s="89">
        <v>0.54</v>
      </c>
      <c r="M23" s="214">
        <f t="shared" si="1"/>
        <v>7.7652878949899637</v>
      </c>
      <c r="N23" s="214">
        <f t="shared" si="2"/>
        <v>7.7652878949899637</v>
      </c>
      <c r="O23" s="214"/>
      <c r="P23" s="214"/>
      <c r="Q23" s="214"/>
      <c r="R23" s="214"/>
    </row>
    <row r="24" spans="3:18" x14ac:dyDescent="0.25">
      <c r="G24" s="88">
        <v>22</v>
      </c>
      <c r="H24" s="250">
        <f t="shared" si="4"/>
        <v>110</v>
      </c>
      <c r="I24" s="230"/>
      <c r="J24" s="230"/>
      <c r="K24" s="230"/>
      <c r="L24" s="89">
        <v>0.88</v>
      </c>
      <c r="M24" s="214">
        <f t="shared" si="1"/>
        <v>21.202635362000908</v>
      </c>
      <c r="N24" s="214">
        <f t="shared" si="2"/>
        <v>21.202635362000908</v>
      </c>
      <c r="O24" s="214"/>
      <c r="P24" s="214"/>
      <c r="Q24" s="214"/>
      <c r="R24" s="214"/>
    </row>
    <row r="25" spans="3:18" x14ac:dyDescent="0.25">
      <c r="G25" s="88">
        <v>23</v>
      </c>
      <c r="H25" s="250">
        <f t="shared" si="4"/>
        <v>115</v>
      </c>
      <c r="I25" s="230"/>
      <c r="J25" s="230"/>
      <c r="K25" s="230"/>
      <c r="L25" s="89">
        <v>0.08</v>
      </c>
      <c r="M25" s="214">
        <f t="shared" si="1"/>
        <v>0.83381608939051011</v>
      </c>
      <c r="N25" s="214">
        <f t="shared" si="2"/>
        <v>0.83381608939051011</v>
      </c>
      <c r="O25" s="214"/>
      <c r="P25" s="214"/>
      <c r="Q25" s="214"/>
      <c r="R25" s="214"/>
    </row>
    <row r="26" spans="3:18" x14ac:dyDescent="0.25">
      <c r="G26" s="88">
        <v>24</v>
      </c>
      <c r="H26" s="250">
        <f t="shared" si="4"/>
        <v>120</v>
      </c>
      <c r="I26" s="230"/>
      <c r="J26" s="230"/>
      <c r="K26" s="230"/>
      <c r="L26" s="89">
        <v>0.81</v>
      </c>
      <c r="M26" s="214">
        <f t="shared" si="1"/>
        <v>16.607312068216508</v>
      </c>
      <c r="N26" s="214">
        <f t="shared" si="2"/>
        <v>16.607312068216508</v>
      </c>
      <c r="O26" s="214"/>
      <c r="P26" s="214"/>
      <c r="Q26" s="214"/>
      <c r="R26" s="214"/>
    </row>
    <row r="27" spans="3:18" x14ac:dyDescent="0.25">
      <c r="C27" s="4"/>
      <c r="D27" s="4"/>
      <c r="E27" s="4"/>
      <c r="F27" s="4"/>
      <c r="G27" s="88">
        <v>25</v>
      </c>
      <c r="H27" s="250">
        <f t="shared" si="4"/>
        <v>125</v>
      </c>
      <c r="I27" s="230"/>
      <c r="J27" s="230"/>
      <c r="K27" s="230"/>
      <c r="L27" s="89">
        <v>0.4</v>
      </c>
      <c r="M27" s="214">
        <f t="shared" si="1"/>
        <v>5.1082562376599068</v>
      </c>
      <c r="N27" s="214">
        <f t="shared" si="2"/>
        <v>5.1082562376599068</v>
      </c>
      <c r="O27" s="214"/>
      <c r="P27" s="214"/>
      <c r="Q27" s="214"/>
      <c r="R27" s="214"/>
    </row>
    <row r="28" spans="3:18" x14ac:dyDescent="0.25">
      <c r="G28" s="88">
        <v>26</v>
      </c>
      <c r="H28" s="250">
        <f t="shared" si="4"/>
        <v>130</v>
      </c>
      <c r="I28" s="230"/>
      <c r="J28" s="230"/>
      <c r="K28" s="230"/>
      <c r="L28" s="89">
        <v>0.74</v>
      </c>
      <c r="M28" s="214">
        <f t="shared" si="1"/>
        <v>13.470736479666092</v>
      </c>
      <c r="N28" s="214">
        <f t="shared" si="2"/>
        <v>13.470736479666092</v>
      </c>
      <c r="O28" s="214"/>
      <c r="P28" s="214"/>
      <c r="Q28" s="214"/>
      <c r="R28" s="214"/>
    </row>
    <row r="29" spans="3:18" x14ac:dyDescent="0.25">
      <c r="G29" s="88">
        <v>27</v>
      </c>
      <c r="H29" s="250">
        <f t="shared" si="4"/>
        <v>135</v>
      </c>
      <c r="I29" s="230"/>
      <c r="J29" s="230"/>
      <c r="K29" s="230"/>
      <c r="L29" s="89">
        <v>0.49</v>
      </c>
      <c r="M29" s="214">
        <f t="shared" si="1"/>
        <v>6.7334455326376563</v>
      </c>
      <c r="N29" s="214">
        <f t="shared" si="2"/>
        <v>6.7334455326376563</v>
      </c>
      <c r="O29" s="214"/>
      <c r="P29" s="214"/>
      <c r="Q29" s="214"/>
      <c r="R29" s="214"/>
    </row>
    <row r="30" spans="3:18" x14ac:dyDescent="0.25">
      <c r="G30" s="88">
        <v>28</v>
      </c>
      <c r="H30" s="250">
        <f t="shared" si="4"/>
        <v>140</v>
      </c>
      <c r="I30" s="230"/>
      <c r="J30" s="230"/>
      <c r="K30" s="230"/>
      <c r="L30" s="89">
        <v>0.55000000000000004</v>
      </c>
      <c r="M30" s="214">
        <f t="shared" si="1"/>
        <v>7.9850769621777173</v>
      </c>
      <c r="N30" s="214">
        <f t="shared" si="2"/>
        <v>7.9850769621777173</v>
      </c>
      <c r="O30" s="214"/>
      <c r="P30" s="214"/>
      <c r="Q30" s="214"/>
      <c r="R30" s="214"/>
    </row>
    <row r="31" spans="3:18" x14ac:dyDescent="0.25">
      <c r="G31" s="88">
        <v>29</v>
      </c>
      <c r="H31" s="250">
        <f t="shared" si="4"/>
        <v>145</v>
      </c>
      <c r="I31" s="230"/>
      <c r="J31" s="230"/>
      <c r="K31" s="230"/>
      <c r="L31" s="89">
        <v>0.03</v>
      </c>
      <c r="M31" s="214">
        <f t="shared" si="1"/>
        <v>0.30459207484708573</v>
      </c>
      <c r="N31" s="214">
        <f t="shared" si="2"/>
        <v>0.30459207484708573</v>
      </c>
      <c r="O31" s="214"/>
      <c r="P31" s="214"/>
      <c r="Q31" s="214"/>
      <c r="R31" s="214"/>
    </row>
    <row r="32" spans="3:18" x14ac:dyDescent="0.25">
      <c r="G32" s="88">
        <v>30</v>
      </c>
      <c r="H32" s="250">
        <f t="shared" si="4"/>
        <v>150</v>
      </c>
      <c r="I32" s="230"/>
      <c r="J32" s="230"/>
      <c r="K32" s="230"/>
      <c r="L32" s="89">
        <v>0.57999999999999996</v>
      </c>
      <c r="M32" s="214">
        <f t="shared" si="1"/>
        <v>8.6750056770472295</v>
      </c>
      <c r="N32" s="214">
        <f t="shared" si="2"/>
        <v>8.6750056770472295</v>
      </c>
      <c r="O32" s="214"/>
      <c r="P32" s="214"/>
      <c r="Q32" s="214"/>
      <c r="R32" s="214"/>
    </row>
    <row r="33" spans="7:18" x14ac:dyDescent="0.25">
      <c r="G33" s="88">
        <v>31</v>
      </c>
      <c r="H33" s="250">
        <f t="shared" si="4"/>
        <v>155</v>
      </c>
      <c r="I33" s="230"/>
      <c r="J33" s="230"/>
      <c r="K33" s="230"/>
      <c r="L33" s="89">
        <v>0.74</v>
      </c>
      <c r="M33" s="214">
        <f t="shared" si="1"/>
        <v>13.470736479666092</v>
      </c>
      <c r="N33" s="214">
        <f t="shared" si="2"/>
        <v>13.470736479666092</v>
      </c>
      <c r="O33" s="214"/>
      <c r="P33" s="214"/>
      <c r="Q33" s="214"/>
      <c r="R33" s="214"/>
    </row>
    <row r="34" spans="7:18" x14ac:dyDescent="0.25">
      <c r="G34" s="88">
        <v>32</v>
      </c>
      <c r="H34" s="250">
        <f t="shared" si="4"/>
        <v>160</v>
      </c>
      <c r="I34" s="230"/>
      <c r="J34" s="230"/>
      <c r="K34" s="230"/>
      <c r="L34" s="89">
        <v>0.51</v>
      </c>
      <c r="M34" s="214">
        <f t="shared" si="1"/>
        <v>7.1334988787746472</v>
      </c>
      <c r="N34" s="214">
        <f t="shared" si="2"/>
        <v>7.1334988787746472</v>
      </c>
      <c r="O34" s="214"/>
      <c r="P34" s="214"/>
      <c r="Q34" s="214"/>
      <c r="R34" s="214"/>
    </row>
    <row r="35" spans="7:18" x14ac:dyDescent="0.25">
      <c r="G35" s="88">
        <v>33</v>
      </c>
      <c r="H35" s="250">
        <f t="shared" si="4"/>
        <v>165</v>
      </c>
      <c r="I35" s="230"/>
      <c r="J35" s="230"/>
      <c r="K35" s="230"/>
      <c r="L35" s="89">
        <v>0.73</v>
      </c>
      <c r="M35" s="214">
        <f t="shared" si="1"/>
        <v>13.093333199837621</v>
      </c>
      <c r="N35" s="214">
        <f t="shared" si="2"/>
        <v>13.093333199837621</v>
      </c>
      <c r="O35" s="214"/>
      <c r="P35" s="214"/>
      <c r="Q35" s="214"/>
      <c r="R35" s="214"/>
    </row>
    <row r="36" spans="7:18" x14ac:dyDescent="0.25">
      <c r="G36" s="88">
        <v>34</v>
      </c>
      <c r="H36" s="250">
        <f t="shared" si="4"/>
        <v>170</v>
      </c>
      <c r="I36" s="230"/>
      <c r="J36" s="230"/>
      <c r="K36" s="230"/>
      <c r="L36" s="89">
        <v>0.56000000000000005</v>
      </c>
      <c r="M36" s="214">
        <f t="shared" si="1"/>
        <v>8.2098055206983034</v>
      </c>
      <c r="N36" s="214">
        <f t="shared" si="2"/>
        <v>8.2098055206983034</v>
      </c>
      <c r="O36" s="214"/>
      <c r="P36" s="214"/>
      <c r="Q36" s="214"/>
      <c r="R36" s="214"/>
    </row>
    <row r="37" spans="7:18" x14ac:dyDescent="0.25">
      <c r="G37" s="88">
        <v>35</v>
      </c>
      <c r="H37" s="250">
        <f t="shared" si="4"/>
        <v>175</v>
      </c>
      <c r="I37" s="230"/>
      <c r="J37" s="230"/>
      <c r="K37" s="230"/>
      <c r="L37" s="89">
        <v>0.75</v>
      </c>
      <c r="M37" s="214">
        <f t="shared" si="1"/>
        <v>13.862943611198904</v>
      </c>
      <c r="N37" s="214">
        <f t="shared" si="2"/>
        <v>13.862943611198904</v>
      </c>
      <c r="O37" s="214"/>
      <c r="P37" s="214"/>
      <c r="Q37" s="214"/>
      <c r="R37" s="214"/>
    </row>
    <row r="38" spans="7:18" x14ac:dyDescent="0.25">
      <c r="G38" s="88">
        <v>36</v>
      </c>
      <c r="H38" s="250">
        <f t="shared" si="4"/>
        <v>180</v>
      </c>
      <c r="I38" s="230"/>
      <c r="J38" s="230"/>
      <c r="K38" s="230"/>
      <c r="L38" s="89">
        <v>0.14000000000000001</v>
      </c>
      <c r="M38" s="214">
        <f t="shared" si="1"/>
        <v>1.5082288973458364</v>
      </c>
      <c r="N38" s="214">
        <f t="shared" si="2"/>
        <v>1.5082288973458364</v>
      </c>
      <c r="O38" s="214"/>
      <c r="P38" s="214"/>
      <c r="Q38" s="214"/>
      <c r="R38" s="214"/>
    </row>
    <row r="39" spans="7:18" x14ac:dyDescent="0.25">
      <c r="G39" s="88">
        <v>37</v>
      </c>
      <c r="H39" s="250">
        <f t="shared" si="4"/>
        <v>185</v>
      </c>
      <c r="I39" s="230"/>
      <c r="J39" s="230"/>
      <c r="K39" s="230"/>
      <c r="L39" s="89">
        <v>0.97</v>
      </c>
      <c r="M39" s="214">
        <f t="shared" si="1"/>
        <v>35.065578973199806</v>
      </c>
      <c r="N39" s="214">
        <f t="shared" si="2"/>
        <v>35.065578973199806</v>
      </c>
      <c r="O39" s="214"/>
      <c r="P39" s="214"/>
      <c r="Q39" s="214"/>
      <c r="R39" s="214"/>
    </row>
    <row r="40" spans="7:18" x14ac:dyDescent="0.25">
      <c r="G40" s="88">
        <v>38</v>
      </c>
      <c r="H40" s="250">
        <f t="shared" si="4"/>
        <v>190</v>
      </c>
      <c r="I40" s="230"/>
      <c r="J40" s="230"/>
      <c r="K40" s="230"/>
      <c r="L40" s="89">
        <v>0.65</v>
      </c>
      <c r="M40" s="214">
        <f t="shared" si="1"/>
        <v>10.498221244986778</v>
      </c>
      <c r="N40" s="214">
        <f t="shared" si="2"/>
        <v>10.498221244986778</v>
      </c>
      <c r="O40" s="214"/>
      <c r="P40" s="214"/>
      <c r="Q40" s="214"/>
      <c r="R40" s="214"/>
    </row>
    <row r="41" spans="7:18" x14ac:dyDescent="0.25">
      <c r="G41" s="88">
        <v>39</v>
      </c>
      <c r="H41" s="250">
        <f t="shared" si="4"/>
        <v>195</v>
      </c>
      <c r="I41" s="230"/>
      <c r="J41" s="230"/>
      <c r="K41" s="230"/>
      <c r="L41" s="89">
        <v>0.21</v>
      </c>
      <c r="M41" s="214">
        <f t="shared" si="1"/>
        <v>2.3572233352106982</v>
      </c>
      <c r="N41" s="214">
        <f t="shared" si="2"/>
        <v>2.3572233352106982</v>
      </c>
      <c r="O41" s="214"/>
      <c r="P41" s="214"/>
      <c r="Q41" s="214"/>
      <c r="R41" s="214"/>
    </row>
    <row r="42" spans="7:18" x14ac:dyDescent="0.25">
      <c r="G42" s="88">
        <v>40</v>
      </c>
      <c r="H42" s="250">
        <f t="shared" si="4"/>
        <v>200</v>
      </c>
      <c r="I42" s="230"/>
      <c r="J42" s="230"/>
      <c r="K42" s="230"/>
      <c r="L42" s="89">
        <v>0.12</v>
      </c>
      <c r="M42" s="214">
        <f t="shared" si="1"/>
        <v>1.2783337150988487</v>
      </c>
      <c r="N42" s="214">
        <f t="shared" si="2"/>
        <v>1.2783337150988487</v>
      </c>
      <c r="O42" s="214"/>
      <c r="P42" s="214"/>
      <c r="Q42" s="214"/>
      <c r="R42" s="214"/>
    </row>
    <row r="43" spans="7:18" x14ac:dyDescent="0.25">
      <c r="G43" s="88">
        <v>41</v>
      </c>
      <c r="H43" s="250">
        <f t="shared" si="4"/>
        <v>205</v>
      </c>
      <c r="I43" s="230"/>
      <c r="J43" s="230"/>
      <c r="K43" s="230"/>
      <c r="L43" s="89">
        <v>0.54</v>
      </c>
      <c r="M43" s="214">
        <f t="shared" si="1"/>
        <v>7.7652878949899637</v>
      </c>
      <c r="N43" s="214">
        <f t="shared" si="2"/>
        <v>7.7652878949899637</v>
      </c>
      <c r="O43" s="214"/>
      <c r="P43" s="214"/>
      <c r="Q43" s="214"/>
      <c r="R43" s="214"/>
    </row>
    <row r="44" spans="7:18" x14ac:dyDescent="0.25">
      <c r="G44" s="88">
        <v>42</v>
      </c>
      <c r="H44" s="250">
        <f t="shared" si="4"/>
        <v>210</v>
      </c>
      <c r="I44" s="230"/>
      <c r="J44" s="230"/>
      <c r="K44" s="230"/>
      <c r="L44" s="89">
        <v>0.88</v>
      </c>
      <c r="M44" s="214">
        <f t="shared" si="1"/>
        <v>21.202635362000908</v>
      </c>
      <c r="N44" s="214">
        <f t="shared" si="2"/>
        <v>21.202635362000908</v>
      </c>
      <c r="O44" s="214"/>
      <c r="P44" s="214"/>
      <c r="Q44" s="214"/>
      <c r="R44" s="214"/>
    </row>
    <row r="45" spans="7:18" x14ac:dyDescent="0.25">
      <c r="G45" s="88">
        <v>43</v>
      </c>
      <c r="H45" s="250">
        <f t="shared" si="4"/>
        <v>215</v>
      </c>
      <c r="I45" s="230"/>
      <c r="J45" s="230"/>
      <c r="K45" s="230"/>
      <c r="L45" s="89">
        <v>0.08</v>
      </c>
      <c r="M45" s="214">
        <f t="shared" si="1"/>
        <v>0.83381608939051011</v>
      </c>
      <c r="N45" s="214">
        <f t="shared" si="2"/>
        <v>0.83381608939051011</v>
      </c>
      <c r="O45" s="214"/>
      <c r="P45" s="214"/>
      <c r="Q45" s="214"/>
      <c r="R45" s="214"/>
    </row>
    <row r="46" spans="7:18" x14ac:dyDescent="0.25">
      <c r="G46" s="88">
        <v>44</v>
      </c>
      <c r="H46" s="250">
        <f t="shared" si="4"/>
        <v>220</v>
      </c>
      <c r="I46" s="230"/>
      <c r="J46" s="230"/>
      <c r="K46" s="230"/>
      <c r="L46" s="89">
        <v>0.81</v>
      </c>
      <c r="M46" s="214">
        <f t="shared" si="1"/>
        <v>16.607312068216508</v>
      </c>
      <c r="N46" s="214">
        <f t="shared" si="2"/>
        <v>16.607312068216508</v>
      </c>
      <c r="O46" s="214"/>
      <c r="P46" s="214"/>
      <c r="Q46" s="214"/>
      <c r="R46" s="214"/>
    </row>
    <row r="47" spans="7:18" x14ac:dyDescent="0.25">
      <c r="G47" s="88">
        <v>45</v>
      </c>
      <c r="H47" s="250">
        <f t="shared" si="4"/>
        <v>225</v>
      </c>
      <c r="I47" s="230"/>
      <c r="J47" s="230"/>
      <c r="K47" s="230"/>
      <c r="L47" s="89">
        <v>0.4</v>
      </c>
      <c r="M47" s="214">
        <f t="shared" si="1"/>
        <v>5.1082562376599068</v>
      </c>
      <c r="N47" s="214">
        <f t="shared" si="2"/>
        <v>5.1082562376599068</v>
      </c>
      <c r="O47" s="214"/>
      <c r="P47" s="214"/>
      <c r="Q47" s="214"/>
      <c r="R47" s="214"/>
    </row>
    <row r="48" spans="7:18" x14ac:dyDescent="0.25">
      <c r="G48" s="88">
        <v>46</v>
      </c>
      <c r="H48" s="250">
        <f t="shared" si="4"/>
        <v>230</v>
      </c>
      <c r="I48" s="230"/>
      <c r="J48" s="230"/>
      <c r="K48" s="230"/>
      <c r="L48" s="89">
        <v>0.74</v>
      </c>
      <c r="M48" s="214">
        <f t="shared" si="1"/>
        <v>13.470736479666092</v>
      </c>
      <c r="N48" s="214">
        <f t="shared" si="2"/>
        <v>13.470736479666092</v>
      </c>
      <c r="O48" s="214"/>
      <c r="P48" s="214"/>
      <c r="Q48" s="214"/>
      <c r="R48" s="214"/>
    </row>
    <row r="49" spans="7:18" x14ac:dyDescent="0.25">
      <c r="G49" s="88">
        <v>47</v>
      </c>
      <c r="H49" s="250">
        <f t="shared" si="4"/>
        <v>235</v>
      </c>
      <c r="I49" s="230"/>
      <c r="J49" s="230"/>
      <c r="K49" s="230"/>
      <c r="L49" s="89">
        <v>0.49</v>
      </c>
      <c r="M49" s="214">
        <f t="shared" si="1"/>
        <v>6.7334455326376563</v>
      </c>
      <c r="N49" s="214">
        <f t="shared" si="2"/>
        <v>6.7334455326376563</v>
      </c>
      <c r="O49" s="214"/>
      <c r="P49" s="214"/>
      <c r="Q49" s="214"/>
      <c r="R49" s="214"/>
    </row>
    <row r="50" spans="7:18" x14ac:dyDescent="0.25">
      <c r="G50" s="88">
        <v>48</v>
      </c>
      <c r="H50" s="250">
        <f t="shared" si="4"/>
        <v>240</v>
      </c>
      <c r="I50" s="230"/>
      <c r="J50" s="230"/>
      <c r="K50" s="230"/>
      <c r="L50" s="89">
        <v>0.55000000000000004</v>
      </c>
      <c r="M50" s="214">
        <f t="shared" si="1"/>
        <v>7.9850769621777173</v>
      </c>
      <c r="N50" s="214">
        <f t="shared" si="2"/>
        <v>7.9850769621777173</v>
      </c>
      <c r="O50" s="214"/>
      <c r="P50" s="214"/>
      <c r="Q50" s="214"/>
      <c r="R50" s="214"/>
    </row>
    <row r="51" spans="7:18" x14ac:dyDescent="0.25">
      <c r="G51" s="88">
        <v>49</v>
      </c>
      <c r="H51" s="250">
        <f t="shared" si="4"/>
        <v>245</v>
      </c>
      <c r="I51" s="230"/>
      <c r="J51" s="230"/>
      <c r="K51" s="230"/>
      <c r="L51" s="89">
        <v>0.03</v>
      </c>
      <c r="M51" s="214">
        <f t="shared" si="1"/>
        <v>0.30459207484708573</v>
      </c>
      <c r="N51" s="214">
        <f t="shared" si="2"/>
        <v>0.30459207484708573</v>
      </c>
      <c r="O51" s="214"/>
      <c r="P51" s="214"/>
      <c r="Q51" s="214"/>
      <c r="R51" s="214"/>
    </row>
    <row r="52" spans="7:18" x14ac:dyDescent="0.25">
      <c r="G52" s="88">
        <v>50</v>
      </c>
      <c r="H52" s="250">
        <f t="shared" si="4"/>
        <v>250</v>
      </c>
      <c r="I52" s="230"/>
      <c r="J52" s="230"/>
      <c r="K52" s="230"/>
      <c r="L52" s="89">
        <v>0.57999999999999996</v>
      </c>
      <c r="M52" s="214">
        <f t="shared" si="1"/>
        <v>8.6750056770472295</v>
      </c>
      <c r="N52" s="214">
        <f t="shared" si="2"/>
        <v>8.6750056770472295</v>
      </c>
      <c r="O52" s="214"/>
      <c r="P52" s="214"/>
      <c r="Q52" s="214"/>
      <c r="R52" s="214"/>
    </row>
    <row r="53" spans="7:18" x14ac:dyDescent="0.25">
      <c r="G53" s="88">
        <v>51</v>
      </c>
      <c r="H53" s="250">
        <f t="shared" si="4"/>
        <v>255</v>
      </c>
      <c r="I53" s="230"/>
      <c r="J53" s="230"/>
      <c r="K53" s="230"/>
      <c r="L53" s="89">
        <v>0.74</v>
      </c>
      <c r="M53" s="214">
        <f t="shared" si="1"/>
        <v>13.470736479666092</v>
      </c>
      <c r="N53" s="214">
        <f t="shared" si="2"/>
        <v>13.470736479666092</v>
      </c>
      <c r="O53" s="214"/>
      <c r="P53" s="214"/>
      <c r="Q53" s="214"/>
      <c r="R53" s="214"/>
    </row>
    <row r="54" spans="7:18" x14ac:dyDescent="0.25">
      <c r="G54" s="88">
        <v>52</v>
      </c>
      <c r="H54" s="250">
        <f t="shared" si="4"/>
        <v>260</v>
      </c>
      <c r="I54" s="230"/>
      <c r="J54" s="230"/>
      <c r="K54" s="230"/>
      <c r="L54" s="89">
        <v>0.51</v>
      </c>
      <c r="M54" s="214">
        <f t="shared" si="1"/>
        <v>7.1334988787746472</v>
      </c>
      <c r="N54" s="214">
        <f t="shared" si="2"/>
        <v>7.1334988787746472</v>
      </c>
      <c r="O54" s="214"/>
      <c r="P54" s="214"/>
      <c r="Q54" s="214"/>
      <c r="R54" s="214"/>
    </row>
    <row r="55" spans="7:18" x14ac:dyDescent="0.25">
      <c r="G55" s="88">
        <v>53</v>
      </c>
      <c r="H55" s="250">
        <f t="shared" si="4"/>
        <v>265</v>
      </c>
      <c r="I55" s="230"/>
      <c r="J55" s="230"/>
      <c r="K55" s="230"/>
      <c r="L55" s="89">
        <v>0.73</v>
      </c>
      <c r="M55" s="214">
        <f t="shared" si="1"/>
        <v>13.093333199837621</v>
      </c>
      <c r="N55" s="214">
        <f t="shared" si="2"/>
        <v>13.093333199837621</v>
      </c>
      <c r="O55" s="214"/>
      <c r="P55" s="214"/>
      <c r="Q55" s="214"/>
      <c r="R55" s="214"/>
    </row>
    <row r="56" spans="7:18" x14ac:dyDescent="0.25">
      <c r="G56" s="88">
        <v>54</v>
      </c>
      <c r="H56" s="250">
        <f t="shared" si="4"/>
        <v>270</v>
      </c>
      <c r="I56" s="230"/>
      <c r="J56" s="230"/>
      <c r="K56" s="230"/>
      <c r="L56" s="89">
        <v>0.56000000000000005</v>
      </c>
      <c r="M56" s="214">
        <f t="shared" si="1"/>
        <v>8.2098055206983034</v>
      </c>
      <c r="N56" s="214">
        <f t="shared" si="2"/>
        <v>8.2098055206983034</v>
      </c>
      <c r="O56" s="214"/>
      <c r="P56" s="214"/>
      <c r="Q56" s="214"/>
      <c r="R56" s="214"/>
    </row>
    <row r="57" spans="7:18" x14ac:dyDescent="0.25">
      <c r="G57" s="88">
        <v>55</v>
      </c>
      <c r="H57" s="250">
        <f t="shared" si="4"/>
        <v>275</v>
      </c>
      <c r="I57" s="230"/>
      <c r="J57" s="230"/>
      <c r="K57" s="230"/>
      <c r="L57" s="89">
        <v>0.75</v>
      </c>
      <c r="M57" s="214">
        <f t="shared" si="1"/>
        <v>13.862943611198904</v>
      </c>
      <c r="N57" s="214">
        <f t="shared" si="2"/>
        <v>13.862943611198904</v>
      </c>
      <c r="O57" s="214"/>
      <c r="P57" s="214"/>
      <c r="Q57" s="214"/>
      <c r="R57" s="214"/>
    </row>
    <row r="58" spans="7:18" x14ac:dyDescent="0.25">
      <c r="G58" s="88">
        <v>56</v>
      </c>
      <c r="H58" s="250">
        <f t="shared" si="4"/>
        <v>280</v>
      </c>
      <c r="I58" s="230"/>
      <c r="J58" s="230"/>
      <c r="K58" s="230"/>
      <c r="L58" s="89">
        <v>0.14000000000000001</v>
      </c>
      <c r="M58" s="214">
        <f t="shared" si="1"/>
        <v>1.5082288973458364</v>
      </c>
      <c r="N58" s="214">
        <f t="shared" si="2"/>
        <v>1.5082288973458364</v>
      </c>
      <c r="O58" s="214"/>
      <c r="P58" s="214"/>
      <c r="Q58" s="214"/>
      <c r="R58" s="214"/>
    </row>
    <row r="59" spans="7:18" x14ac:dyDescent="0.25">
      <c r="G59" s="88">
        <v>57</v>
      </c>
      <c r="H59" s="250">
        <f t="shared" si="4"/>
        <v>285</v>
      </c>
      <c r="I59" s="230"/>
      <c r="J59" s="230"/>
      <c r="K59" s="230"/>
      <c r="L59" s="89">
        <v>0.97</v>
      </c>
      <c r="M59" s="214">
        <f t="shared" si="1"/>
        <v>35.065578973199806</v>
      </c>
      <c r="N59" s="214">
        <f t="shared" si="2"/>
        <v>35.065578973199806</v>
      </c>
      <c r="O59" s="214"/>
      <c r="P59" s="214"/>
      <c r="Q59" s="214"/>
      <c r="R59" s="214"/>
    </row>
    <row r="60" spans="7:18" x14ac:dyDescent="0.25">
      <c r="G60" s="88">
        <v>58</v>
      </c>
      <c r="H60" s="250">
        <f t="shared" si="4"/>
        <v>290</v>
      </c>
      <c r="I60" s="230"/>
      <c r="J60" s="230"/>
      <c r="K60" s="230"/>
      <c r="L60" s="89">
        <v>0.65</v>
      </c>
      <c r="M60" s="214">
        <f t="shared" si="1"/>
        <v>10.498221244986778</v>
      </c>
      <c r="N60" s="214">
        <f t="shared" si="2"/>
        <v>10.498221244986778</v>
      </c>
      <c r="O60" s="214"/>
      <c r="P60" s="214"/>
      <c r="Q60" s="214"/>
      <c r="R60" s="214"/>
    </row>
    <row r="61" spans="7:18" x14ac:dyDescent="0.25">
      <c r="G61" s="88">
        <v>59</v>
      </c>
      <c r="H61" s="250">
        <f t="shared" si="4"/>
        <v>295</v>
      </c>
      <c r="I61" s="230"/>
      <c r="J61" s="230"/>
      <c r="K61" s="230"/>
      <c r="L61" s="89">
        <v>0.21</v>
      </c>
      <c r="M61" s="214">
        <f t="shared" si="1"/>
        <v>2.3572233352106982</v>
      </c>
      <c r="N61" s="214">
        <f t="shared" si="2"/>
        <v>2.3572233352106982</v>
      </c>
      <c r="O61" s="214"/>
      <c r="P61" s="214"/>
      <c r="Q61" s="214"/>
      <c r="R61" s="214"/>
    </row>
    <row r="62" spans="7:18" x14ac:dyDescent="0.25">
      <c r="G62" s="88">
        <v>60</v>
      </c>
      <c r="H62" s="250">
        <f t="shared" si="4"/>
        <v>300</v>
      </c>
      <c r="I62" s="230"/>
      <c r="J62" s="230"/>
      <c r="K62" s="230"/>
      <c r="L62" s="89">
        <v>0.12</v>
      </c>
      <c r="M62" s="214">
        <f t="shared" si="1"/>
        <v>1.2783337150988487</v>
      </c>
      <c r="N62" s="214">
        <f t="shared" si="2"/>
        <v>1.2783337150988487</v>
      </c>
      <c r="O62" s="214"/>
      <c r="P62" s="214"/>
      <c r="Q62" s="214"/>
      <c r="R62" s="214"/>
    </row>
    <row r="63" spans="7:18" x14ac:dyDescent="0.25">
      <c r="G63" s="88">
        <v>61</v>
      </c>
      <c r="H63" s="250">
        <f t="shared" si="4"/>
        <v>305</v>
      </c>
      <c r="I63" s="230"/>
      <c r="J63" s="230"/>
      <c r="K63" s="230"/>
      <c r="L63" s="89">
        <v>0.54</v>
      </c>
      <c r="M63" s="214">
        <f t="shared" si="1"/>
        <v>7.7652878949899637</v>
      </c>
      <c r="N63" s="214">
        <f t="shared" si="2"/>
        <v>7.7652878949899637</v>
      </c>
      <c r="O63" s="214"/>
      <c r="P63" s="214"/>
      <c r="Q63" s="214"/>
      <c r="R63" s="214"/>
    </row>
    <row r="64" spans="7:18" x14ac:dyDescent="0.25">
      <c r="G64" s="88">
        <v>62</v>
      </c>
      <c r="H64" s="250">
        <f t="shared" si="4"/>
        <v>310</v>
      </c>
      <c r="I64" s="230"/>
      <c r="J64" s="230"/>
      <c r="K64" s="230"/>
      <c r="L64" s="89">
        <v>0.88</v>
      </c>
      <c r="M64" s="214">
        <f t="shared" si="1"/>
        <v>21.202635362000908</v>
      </c>
      <c r="N64" s="214">
        <f t="shared" si="2"/>
        <v>21.202635362000908</v>
      </c>
      <c r="O64" s="214"/>
      <c r="P64" s="214"/>
      <c r="Q64" s="214"/>
      <c r="R64" s="214"/>
    </row>
    <row r="65" spans="7:18" x14ac:dyDescent="0.25">
      <c r="G65" s="88">
        <v>63</v>
      </c>
      <c r="H65" s="250">
        <f t="shared" si="4"/>
        <v>315</v>
      </c>
      <c r="I65" s="230"/>
      <c r="J65" s="230"/>
      <c r="K65" s="230"/>
      <c r="L65" s="89">
        <v>0.08</v>
      </c>
      <c r="M65" s="214">
        <f t="shared" si="1"/>
        <v>0.83381608939051011</v>
      </c>
      <c r="N65" s="214">
        <f t="shared" si="2"/>
        <v>0.83381608939051011</v>
      </c>
      <c r="O65" s="214"/>
      <c r="P65" s="214"/>
      <c r="Q65" s="214"/>
      <c r="R65" s="214"/>
    </row>
    <row r="66" spans="7:18" x14ac:dyDescent="0.25">
      <c r="G66" s="88">
        <v>64</v>
      </c>
      <c r="H66" s="250">
        <f t="shared" si="4"/>
        <v>320</v>
      </c>
      <c r="I66" s="230"/>
      <c r="J66" s="230"/>
      <c r="K66" s="230"/>
      <c r="L66" s="89">
        <v>0.81</v>
      </c>
      <c r="M66" s="214">
        <f t="shared" si="1"/>
        <v>16.607312068216508</v>
      </c>
      <c r="N66" s="214">
        <f t="shared" si="2"/>
        <v>16.607312068216508</v>
      </c>
      <c r="O66" s="214"/>
      <c r="P66" s="214"/>
      <c r="Q66" s="214"/>
      <c r="R66" s="214"/>
    </row>
    <row r="67" spans="7:18" x14ac:dyDescent="0.25">
      <c r="G67" s="88">
        <v>65</v>
      </c>
      <c r="H67" s="250">
        <f t="shared" si="4"/>
        <v>325</v>
      </c>
      <c r="I67" s="230"/>
      <c r="J67" s="230"/>
      <c r="K67" s="230"/>
      <c r="L67" s="89">
        <v>0.4</v>
      </c>
      <c r="M67" s="214">
        <f t="shared" si="1"/>
        <v>5.1082562376599068</v>
      </c>
      <c r="N67" s="214">
        <f t="shared" si="2"/>
        <v>5.1082562376599068</v>
      </c>
      <c r="O67" s="214"/>
      <c r="P67" s="214"/>
      <c r="Q67" s="214"/>
      <c r="R67" s="214"/>
    </row>
    <row r="68" spans="7:18" x14ac:dyDescent="0.25">
      <c r="G68" s="88">
        <v>66</v>
      </c>
      <c r="H68" s="250">
        <f t="shared" si="4"/>
        <v>330</v>
      </c>
      <c r="I68" s="230"/>
      <c r="J68" s="230"/>
      <c r="K68" s="230"/>
      <c r="L68" s="89">
        <v>0.74</v>
      </c>
      <c r="M68" s="214">
        <f t="shared" ref="M68:M98" si="5">-LN(1-L68)/$C$4</f>
        <v>13.470736479666092</v>
      </c>
      <c r="N68" s="214">
        <f t="shared" ref="N68:N98" si="6">SUM(I68:K68)+M68</f>
        <v>13.470736479666092</v>
      </c>
      <c r="O68" s="214"/>
      <c r="P68" s="214"/>
      <c r="Q68" s="214"/>
      <c r="R68" s="214"/>
    </row>
    <row r="69" spans="7:18" x14ac:dyDescent="0.25">
      <c r="G69" s="88">
        <v>67</v>
      </c>
      <c r="H69" s="250">
        <f t="shared" ref="H69:H98" si="7">H68+$C$3</f>
        <v>335</v>
      </c>
      <c r="I69" s="230"/>
      <c r="J69" s="230"/>
      <c r="K69" s="230"/>
      <c r="L69" s="89">
        <v>0.49</v>
      </c>
      <c r="M69" s="214">
        <f t="shared" si="5"/>
        <v>6.7334455326376563</v>
      </c>
      <c r="N69" s="214">
        <f t="shared" si="6"/>
        <v>6.7334455326376563</v>
      </c>
      <c r="O69" s="214"/>
      <c r="P69" s="214"/>
      <c r="Q69" s="214"/>
      <c r="R69" s="214"/>
    </row>
    <row r="70" spans="7:18" x14ac:dyDescent="0.25">
      <c r="G70" s="88">
        <v>68</v>
      </c>
      <c r="H70" s="250">
        <f t="shared" si="7"/>
        <v>340</v>
      </c>
      <c r="I70" s="230"/>
      <c r="J70" s="230"/>
      <c r="K70" s="230"/>
      <c r="L70" s="89">
        <v>0.55000000000000004</v>
      </c>
      <c r="M70" s="214">
        <f t="shared" si="5"/>
        <v>7.9850769621777173</v>
      </c>
      <c r="N70" s="214">
        <f t="shared" si="6"/>
        <v>7.9850769621777173</v>
      </c>
      <c r="O70" s="214"/>
      <c r="P70" s="214"/>
      <c r="Q70" s="214"/>
      <c r="R70" s="214"/>
    </row>
    <row r="71" spans="7:18" x14ac:dyDescent="0.25">
      <c r="G71" s="88">
        <v>69</v>
      </c>
      <c r="H71" s="250">
        <f t="shared" si="7"/>
        <v>345</v>
      </c>
      <c r="I71" s="230"/>
      <c r="J71" s="230"/>
      <c r="K71" s="230"/>
      <c r="L71" s="89">
        <v>0.03</v>
      </c>
      <c r="M71" s="214">
        <f t="shared" si="5"/>
        <v>0.30459207484708573</v>
      </c>
      <c r="N71" s="214">
        <f t="shared" si="6"/>
        <v>0.30459207484708573</v>
      </c>
      <c r="O71" s="214"/>
      <c r="P71" s="214"/>
      <c r="Q71" s="214"/>
      <c r="R71" s="214"/>
    </row>
    <row r="72" spans="7:18" x14ac:dyDescent="0.25">
      <c r="G72" s="88">
        <v>70</v>
      </c>
      <c r="H72" s="250">
        <f t="shared" si="7"/>
        <v>350</v>
      </c>
      <c r="I72" s="230"/>
      <c r="J72" s="230"/>
      <c r="K72" s="230"/>
      <c r="L72" s="89">
        <v>0.57999999999999996</v>
      </c>
      <c r="M72" s="214">
        <f t="shared" si="5"/>
        <v>8.6750056770472295</v>
      </c>
      <c r="N72" s="214">
        <f t="shared" si="6"/>
        <v>8.6750056770472295</v>
      </c>
      <c r="O72" s="214"/>
      <c r="P72" s="214"/>
      <c r="Q72" s="214"/>
      <c r="R72" s="214"/>
    </row>
    <row r="73" spans="7:18" x14ac:dyDescent="0.25">
      <c r="G73" s="88">
        <v>71</v>
      </c>
      <c r="H73" s="250">
        <f t="shared" si="7"/>
        <v>355</v>
      </c>
      <c r="I73" s="230"/>
      <c r="J73" s="230"/>
      <c r="K73" s="230"/>
      <c r="L73" s="89">
        <v>0.74</v>
      </c>
      <c r="M73" s="214">
        <f t="shared" si="5"/>
        <v>13.470736479666092</v>
      </c>
      <c r="N73" s="214">
        <f t="shared" si="6"/>
        <v>13.470736479666092</v>
      </c>
      <c r="O73" s="214"/>
      <c r="P73" s="214"/>
      <c r="Q73" s="214"/>
      <c r="R73" s="214"/>
    </row>
    <row r="74" spans="7:18" x14ac:dyDescent="0.25">
      <c r="G74" s="88">
        <v>72</v>
      </c>
      <c r="H74" s="250">
        <f t="shared" si="7"/>
        <v>360</v>
      </c>
      <c r="I74" s="230"/>
      <c r="J74" s="230"/>
      <c r="K74" s="230"/>
      <c r="L74" s="89">
        <v>0.51</v>
      </c>
      <c r="M74" s="214">
        <f t="shared" si="5"/>
        <v>7.1334988787746472</v>
      </c>
      <c r="N74" s="214">
        <f t="shared" si="6"/>
        <v>7.1334988787746472</v>
      </c>
      <c r="O74" s="214"/>
      <c r="P74" s="214"/>
      <c r="Q74" s="214"/>
      <c r="R74" s="214"/>
    </row>
    <row r="75" spans="7:18" x14ac:dyDescent="0.25">
      <c r="G75" s="88">
        <v>73</v>
      </c>
      <c r="H75" s="250">
        <f t="shared" si="7"/>
        <v>365</v>
      </c>
      <c r="I75" s="230"/>
      <c r="J75" s="230"/>
      <c r="K75" s="230"/>
      <c r="L75" s="89">
        <v>0.73</v>
      </c>
      <c r="M75" s="214">
        <f t="shared" si="5"/>
        <v>13.093333199837621</v>
      </c>
      <c r="N75" s="214">
        <f t="shared" si="6"/>
        <v>13.093333199837621</v>
      </c>
      <c r="O75" s="214"/>
      <c r="P75" s="214"/>
      <c r="Q75" s="214"/>
      <c r="R75" s="214"/>
    </row>
    <row r="76" spans="7:18" x14ac:dyDescent="0.25">
      <c r="G76" s="88">
        <v>74</v>
      </c>
      <c r="H76" s="250">
        <f t="shared" si="7"/>
        <v>370</v>
      </c>
      <c r="I76" s="230"/>
      <c r="J76" s="230"/>
      <c r="K76" s="230"/>
      <c r="L76" s="89">
        <v>0.56000000000000005</v>
      </c>
      <c r="M76" s="214">
        <f t="shared" si="5"/>
        <v>8.2098055206983034</v>
      </c>
      <c r="N76" s="214">
        <f t="shared" si="6"/>
        <v>8.2098055206983034</v>
      </c>
      <c r="O76" s="214"/>
      <c r="P76" s="214"/>
      <c r="Q76" s="214"/>
      <c r="R76" s="214"/>
    </row>
    <row r="77" spans="7:18" x14ac:dyDescent="0.25">
      <c r="G77" s="88">
        <v>75</v>
      </c>
      <c r="H77" s="250">
        <f t="shared" si="7"/>
        <v>375</v>
      </c>
      <c r="I77" s="230"/>
      <c r="J77" s="230"/>
      <c r="K77" s="230"/>
      <c r="L77" s="89">
        <v>0.75</v>
      </c>
      <c r="M77" s="214">
        <f t="shared" si="5"/>
        <v>13.862943611198904</v>
      </c>
      <c r="N77" s="214">
        <f t="shared" si="6"/>
        <v>13.862943611198904</v>
      </c>
      <c r="O77" s="214"/>
      <c r="P77" s="214"/>
      <c r="Q77" s="214"/>
      <c r="R77" s="214"/>
    </row>
    <row r="78" spans="7:18" x14ac:dyDescent="0.25">
      <c r="G78" s="88">
        <v>76</v>
      </c>
      <c r="H78" s="250">
        <f t="shared" si="7"/>
        <v>380</v>
      </c>
      <c r="I78" s="230"/>
      <c r="J78" s="230"/>
      <c r="K78" s="230"/>
      <c r="L78" s="89">
        <v>0.14000000000000001</v>
      </c>
      <c r="M78" s="214">
        <f t="shared" si="5"/>
        <v>1.5082288973458364</v>
      </c>
      <c r="N78" s="214">
        <f t="shared" si="6"/>
        <v>1.5082288973458364</v>
      </c>
      <c r="O78" s="214"/>
      <c r="P78" s="214"/>
      <c r="Q78" s="214"/>
      <c r="R78" s="214"/>
    </row>
    <row r="79" spans="7:18" x14ac:dyDescent="0.25">
      <c r="G79" s="88">
        <v>77</v>
      </c>
      <c r="H79" s="250">
        <f t="shared" si="7"/>
        <v>385</v>
      </c>
      <c r="I79" s="230"/>
      <c r="J79" s="230"/>
      <c r="K79" s="230"/>
      <c r="L79" s="89">
        <v>0.97</v>
      </c>
      <c r="M79" s="214">
        <f t="shared" si="5"/>
        <v>35.065578973199806</v>
      </c>
      <c r="N79" s="214">
        <f t="shared" si="6"/>
        <v>35.065578973199806</v>
      </c>
      <c r="O79" s="214"/>
      <c r="P79" s="214"/>
      <c r="Q79" s="214"/>
      <c r="R79" s="214"/>
    </row>
    <row r="80" spans="7:18" x14ac:dyDescent="0.25">
      <c r="G80" s="88">
        <v>78</v>
      </c>
      <c r="H80" s="250">
        <f t="shared" si="7"/>
        <v>390</v>
      </c>
      <c r="I80" s="230"/>
      <c r="J80" s="230"/>
      <c r="K80" s="230"/>
      <c r="L80" s="89">
        <v>0.65</v>
      </c>
      <c r="M80" s="214">
        <f t="shared" si="5"/>
        <v>10.498221244986778</v>
      </c>
      <c r="N80" s="214">
        <f t="shared" si="6"/>
        <v>10.498221244986778</v>
      </c>
      <c r="O80" s="214"/>
      <c r="P80" s="214"/>
      <c r="Q80" s="214"/>
      <c r="R80" s="214"/>
    </row>
    <row r="81" spans="7:18" x14ac:dyDescent="0.25">
      <c r="G81" s="88">
        <v>79</v>
      </c>
      <c r="H81" s="250">
        <f t="shared" si="7"/>
        <v>395</v>
      </c>
      <c r="I81" s="230"/>
      <c r="J81" s="230"/>
      <c r="K81" s="230"/>
      <c r="L81" s="89">
        <v>0.21</v>
      </c>
      <c r="M81" s="214">
        <f t="shared" si="5"/>
        <v>2.3572233352106982</v>
      </c>
      <c r="N81" s="214">
        <f t="shared" si="6"/>
        <v>2.3572233352106982</v>
      </c>
      <c r="O81" s="214"/>
      <c r="P81" s="214"/>
      <c r="Q81" s="214"/>
      <c r="R81" s="214"/>
    </row>
    <row r="82" spans="7:18" x14ac:dyDescent="0.25">
      <c r="G82" s="88">
        <v>80</v>
      </c>
      <c r="H82" s="250">
        <f t="shared" si="7"/>
        <v>400</v>
      </c>
      <c r="I82" s="230"/>
      <c r="J82" s="230"/>
      <c r="K82" s="230"/>
      <c r="L82" s="89">
        <v>0.12</v>
      </c>
      <c r="M82" s="214">
        <f t="shared" si="5"/>
        <v>1.2783337150988487</v>
      </c>
      <c r="N82" s="214">
        <f t="shared" si="6"/>
        <v>1.2783337150988487</v>
      </c>
      <c r="O82" s="214"/>
      <c r="P82" s="214"/>
      <c r="Q82" s="214"/>
      <c r="R82" s="214"/>
    </row>
    <row r="83" spans="7:18" x14ac:dyDescent="0.25">
      <c r="G83" s="88">
        <v>81</v>
      </c>
      <c r="H83" s="250">
        <f t="shared" si="7"/>
        <v>405</v>
      </c>
      <c r="I83" s="230"/>
      <c r="J83" s="230"/>
      <c r="K83" s="230"/>
      <c r="L83" s="89">
        <v>0.54</v>
      </c>
      <c r="M83" s="214">
        <f t="shared" si="5"/>
        <v>7.7652878949899637</v>
      </c>
      <c r="N83" s="214">
        <f t="shared" si="6"/>
        <v>7.7652878949899637</v>
      </c>
      <c r="O83" s="214"/>
      <c r="P83" s="214"/>
      <c r="Q83" s="214"/>
      <c r="R83" s="214"/>
    </row>
    <row r="84" spans="7:18" x14ac:dyDescent="0.25">
      <c r="G84" s="88">
        <v>82</v>
      </c>
      <c r="H84" s="250">
        <f t="shared" si="7"/>
        <v>410</v>
      </c>
      <c r="I84" s="230"/>
      <c r="J84" s="230"/>
      <c r="K84" s="230"/>
      <c r="L84" s="89">
        <v>0.88</v>
      </c>
      <c r="M84" s="214">
        <f t="shared" si="5"/>
        <v>21.202635362000908</v>
      </c>
      <c r="N84" s="214">
        <f t="shared" si="6"/>
        <v>21.202635362000908</v>
      </c>
      <c r="O84" s="214"/>
      <c r="P84" s="214"/>
      <c r="Q84" s="214"/>
      <c r="R84" s="214"/>
    </row>
    <row r="85" spans="7:18" x14ac:dyDescent="0.25">
      <c r="G85" s="88">
        <v>83</v>
      </c>
      <c r="H85" s="250">
        <f t="shared" si="7"/>
        <v>415</v>
      </c>
      <c r="I85" s="230"/>
      <c r="J85" s="230"/>
      <c r="K85" s="230"/>
      <c r="L85" s="89">
        <v>0.08</v>
      </c>
      <c r="M85" s="214">
        <f t="shared" si="5"/>
        <v>0.83381608939051011</v>
      </c>
      <c r="N85" s="214">
        <f t="shared" si="6"/>
        <v>0.83381608939051011</v>
      </c>
      <c r="O85" s="214"/>
      <c r="P85" s="214"/>
      <c r="Q85" s="214"/>
      <c r="R85" s="214"/>
    </row>
    <row r="86" spans="7:18" x14ac:dyDescent="0.25">
      <c r="G86" s="88">
        <v>84</v>
      </c>
      <c r="H86" s="250">
        <f t="shared" si="7"/>
        <v>420</v>
      </c>
      <c r="I86" s="230"/>
      <c r="J86" s="230"/>
      <c r="K86" s="230"/>
      <c r="L86" s="89">
        <v>0.81</v>
      </c>
      <c r="M86" s="214">
        <f t="shared" si="5"/>
        <v>16.607312068216508</v>
      </c>
      <c r="N86" s="214">
        <f t="shared" si="6"/>
        <v>16.607312068216508</v>
      </c>
      <c r="O86" s="214"/>
      <c r="P86" s="214"/>
      <c r="Q86" s="214"/>
      <c r="R86" s="214"/>
    </row>
    <row r="87" spans="7:18" x14ac:dyDescent="0.25">
      <c r="G87" s="88">
        <v>85</v>
      </c>
      <c r="H87" s="250">
        <f t="shared" si="7"/>
        <v>425</v>
      </c>
      <c r="I87" s="230"/>
      <c r="J87" s="230"/>
      <c r="K87" s="230"/>
      <c r="L87" s="89">
        <v>0.4</v>
      </c>
      <c r="M87" s="214">
        <f t="shared" si="5"/>
        <v>5.1082562376599068</v>
      </c>
      <c r="N87" s="214">
        <f t="shared" si="6"/>
        <v>5.1082562376599068</v>
      </c>
      <c r="O87" s="214"/>
      <c r="P87" s="214"/>
      <c r="Q87" s="214"/>
      <c r="R87" s="214"/>
    </row>
    <row r="88" spans="7:18" x14ac:dyDescent="0.25">
      <c r="G88" s="88">
        <v>86</v>
      </c>
      <c r="H88" s="250">
        <f t="shared" si="7"/>
        <v>430</v>
      </c>
      <c r="I88" s="230"/>
      <c r="J88" s="230"/>
      <c r="K88" s="230"/>
      <c r="L88" s="89">
        <v>0.74</v>
      </c>
      <c r="M88" s="214">
        <f t="shared" si="5"/>
        <v>13.470736479666092</v>
      </c>
      <c r="N88" s="214">
        <f t="shared" si="6"/>
        <v>13.470736479666092</v>
      </c>
      <c r="O88" s="214"/>
      <c r="P88" s="214"/>
      <c r="Q88" s="214"/>
      <c r="R88" s="214"/>
    </row>
    <row r="89" spans="7:18" x14ac:dyDescent="0.25">
      <c r="G89" s="88">
        <v>87</v>
      </c>
      <c r="H89" s="250">
        <f t="shared" si="7"/>
        <v>435</v>
      </c>
      <c r="I89" s="230"/>
      <c r="J89" s="230"/>
      <c r="K89" s="230"/>
      <c r="L89" s="89">
        <v>0.49</v>
      </c>
      <c r="M89" s="214">
        <f t="shared" si="5"/>
        <v>6.7334455326376563</v>
      </c>
      <c r="N89" s="214">
        <f t="shared" si="6"/>
        <v>6.7334455326376563</v>
      </c>
      <c r="O89" s="214"/>
      <c r="P89" s="214"/>
      <c r="Q89" s="214"/>
      <c r="R89" s="214"/>
    </row>
    <row r="90" spans="7:18" x14ac:dyDescent="0.25">
      <c r="G90" s="88">
        <v>88</v>
      </c>
      <c r="H90" s="250">
        <f t="shared" si="7"/>
        <v>440</v>
      </c>
      <c r="I90" s="230"/>
      <c r="J90" s="230"/>
      <c r="K90" s="230"/>
      <c r="L90" s="89">
        <v>0.55000000000000004</v>
      </c>
      <c r="M90" s="214">
        <f t="shared" si="5"/>
        <v>7.9850769621777173</v>
      </c>
      <c r="N90" s="214">
        <f t="shared" si="6"/>
        <v>7.9850769621777173</v>
      </c>
      <c r="O90" s="214"/>
      <c r="P90" s="214"/>
      <c r="Q90" s="214"/>
      <c r="R90" s="214"/>
    </row>
    <row r="91" spans="7:18" x14ac:dyDescent="0.25">
      <c r="G91" s="88">
        <v>89</v>
      </c>
      <c r="H91" s="250">
        <f t="shared" si="7"/>
        <v>445</v>
      </c>
      <c r="I91" s="230"/>
      <c r="J91" s="230"/>
      <c r="K91" s="230"/>
      <c r="L91" s="89">
        <v>0.03</v>
      </c>
      <c r="M91" s="214">
        <f t="shared" si="5"/>
        <v>0.30459207484708573</v>
      </c>
      <c r="N91" s="214">
        <f t="shared" si="6"/>
        <v>0.30459207484708573</v>
      </c>
      <c r="O91" s="214"/>
      <c r="P91" s="214"/>
      <c r="Q91" s="214"/>
      <c r="R91" s="214"/>
    </row>
    <row r="92" spans="7:18" x14ac:dyDescent="0.25">
      <c r="G92" s="88">
        <v>90</v>
      </c>
      <c r="H92" s="250">
        <f t="shared" si="7"/>
        <v>450</v>
      </c>
      <c r="I92" s="230"/>
      <c r="J92" s="230"/>
      <c r="K92" s="230"/>
      <c r="L92" s="89">
        <v>0.57999999999999996</v>
      </c>
      <c r="M92" s="214">
        <f t="shared" si="5"/>
        <v>8.6750056770472295</v>
      </c>
      <c r="N92" s="214">
        <f t="shared" si="6"/>
        <v>8.6750056770472295</v>
      </c>
      <c r="O92" s="214"/>
      <c r="P92" s="214"/>
      <c r="Q92" s="214"/>
      <c r="R92" s="214"/>
    </row>
    <row r="93" spans="7:18" x14ac:dyDescent="0.25">
      <c r="G93" s="88">
        <v>91</v>
      </c>
      <c r="H93" s="250">
        <f t="shared" si="7"/>
        <v>455</v>
      </c>
      <c r="I93" s="230"/>
      <c r="J93" s="230"/>
      <c r="K93" s="230"/>
      <c r="L93" s="89">
        <v>0.74</v>
      </c>
      <c r="M93" s="214">
        <f t="shared" si="5"/>
        <v>13.470736479666092</v>
      </c>
      <c r="N93" s="214">
        <f t="shared" si="6"/>
        <v>13.470736479666092</v>
      </c>
      <c r="O93" s="214"/>
      <c r="P93" s="214"/>
      <c r="Q93" s="214"/>
      <c r="R93" s="214"/>
    </row>
    <row r="94" spans="7:18" x14ac:dyDescent="0.25">
      <c r="G94" s="88">
        <v>92</v>
      </c>
      <c r="H94" s="250">
        <f t="shared" si="7"/>
        <v>460</v>
      </c>
      <c r="I94" s="230"/>
      <c r="J94" s="230"/>
      <c r="K94" s="230"/>
      <c r="L94" s="89">
        <v>0.51</v>
      </c>
      <c r="M94" s="214">
        <f t="shared" si="5"/>
        <v>7.1334988787746472</v>
      </c>
      <c r="N94" s="214">
        <f t="shared" si="6"/>
        <v>7.1334988787746472</v>
      </c>
      <c r="O94" s="214"/>
      <c r="P94" s="214"/>
      <c r="Q94" s="214"/>
      <c r="R94" s="214"/>
    </row>
    <row r="95" spans="7:18" x14ac:dyDescent="0.25">
      <c r="G95" s="88">
        <v>93</v>
      </c>
      <c r="H95" s="250">
        <f t="shared" si="7"/>
        <v>465</v>
      </c>
      <c r="I95" s="230"/>
      <c r="J95" s="230"/>
      <c r="K95" s="230"/>
      <c r="L95" s="89">
        <v>0.73</v>
      </c>
      <c r="M95" s="214">
        <f t="shared" si="5"/>
        <v>13.093333199837621</v>
      </c>
      <c r="N95" s="214">
        <f t="shared" si="6"/>
        <v>13.093333199837621</v>
      </c>
      <c r="O95" s="214"/>
      <c r="P95" s="214"/>
      <c r="Q95" s="214"/>
      <c r="R95" s="214"/>
    </row>
    <row r="96" spans="7:18" x14ac:dyDescent="0.25">
      <c r="G96" s="88">
        <v>94</v>
      </c>
      <c r="H96" s="250">
        <f t="shared" si="7"/>
        <v>470</v>
      </c>
      <c r="I96" s="230"/>
      <c r="J96" s="230"/>
      <c r="K96" s="230"/>
      <c r="L96" s="89">
        <v>0.56000000000000005</v>
      </c>
      <c r="M96" s="214">
        <f t="shared" si="5"/>
        <v>8.2098055206983034</v>
      </c>
      <c r="N96" s="214">
        <f t="shared" si="6"/>
        <v>8.2098055206983034</v>
      </c>
      <c r="O96" s="214"/>
      <c r="P96" s="214"/>
      <c r="Q96" s="214"/>
      <c r="R96" s="214"/>
    </row>
    <row r="97" spans="7:18" x14ac:dyDescent="0.25">
      <c r="G97" s="88">
        <v>95</v>
      </c>
      <c r="H97" s="250">
        <f t="shared" si="7"/>
        <v>475</v>
      </c>
      <c r="I97" s="230"/>
      <c r="J97" s="230"/>
      <c r="K97" s="230"/>
      <c r="L97" s="89">
        <v>0.75</v>
      </c>
      <c r="M97" s="214">
        <f t="shared" si="5"/>
        <v>13.862943611198904</v>
      </c>
      <c r="N97" s="214">
        <f t="shared" si="6"/>
        <v>13.862943611198904</v>
      </c>
      <c r="O97" s="214"/>
      <c r="P97" s="214"/>
      <c r="Q97" s="214"/>
      <c r="R97" s="214"/>
    </row>
    <row r="98" spans="7:18" x14ac:dyDescent="0.25">
      <c r="G98" s="88">
        <v>96</v>
      </c>
      <c r="H98" s="250">
        <f t="shared" si="7"/>
        <v>480</v>
      </c>
      <c r="I98" s="230"/>
      <c r="J98" s="230"/>
      <c r="K98" s="230"/>
      <c r="L98" s="89">
        <v>0.14000000000000001</v>
      </c>
      <c r="M98" s="214">
        <f t="shared" si="5"/>
        <v>1.5082288973458364</v>
      </c>
      <c r="N98" s="214">
        <f t="shared" si="6"/>
        <v>1.5082288973458364</v>
      </c>
      <c r="O98" s="214"/>
      <c r="P98" s="214"/>
      <c r="Q98" s="214"/>
      <c r="R98" s="214"/>
    </row>
  </sheetData>
  <mergeCells count="1">
    <mergeCell ref="I1:K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P36"/>
  <sheetViews>
    <sheetView showGridLines="0" topLeftCell="A7" zoomScaleNormal="100" workbookViewId="0">
      <selection activeCell="C21" sqref="C21"/>
    </sheetView>
  </sheetViews>
  <sheetFormatPr baseColWidth="10" defaultRowHeight="15" x14ac:dyDescent="0.25"/>
  <cols>
    <col min="1" max="1" width="3.5703125" style="17" customWidth="1"/>
    <col min="2" max="2" width="10.85546875" style="17" customWidth="1"/>
    <col min="3" max="3" width="16.7109375" style="17" customWidth="1"/>
    <col min="4" max="11" width="10.85546875" style="17" customWidth="1"/>
    <col min="12" max="12" width="2.85546875" style="17" customWidth="1"/>
    <col min="13" max="18" width="10.85546875" style="17" customWidth="1"/>
    <col min="19" max="16384" width="11.42578125" style="17"/>
  </cols>
  <sheetData>
    <row r="1" spans="1:16" x14ac:dyDescent="0.25">
      <c r="A1" s="50"/>
    </row>
    <row r="3" spans="1:16" s="53" customFormat="1" ht="47.25" customHeight="1" x14ac:dyDescent="0.25">
      <c r="A3" s="51"/>
      <c r="B3" s="45" t="s">
        <v>153</v>
      </c>
      <c r="C3" s="52" t="s">
        <v>72</v>
      </c>
      <c r="D3" s="45" t="s">
        <v>73</v>
      </c>
      <c r="E3" s="45" t="s">
        <v>74</v>
      </c>
      <c r="F3" s="45" t="s">
        <v>152</v>
      </c>
      <c r="G3" s="45" t="s">
        <v>75</v>
      </c>
      <c r="H3" s="45" t="s">
        <v>76</v>
      </c>
      <c r="I3" s="45" t="s">
        <v>77</v>
      </c>
      <c r="J3" s="45" t="s">
        <v>78</v>
      </c>
      <c r="K3" s="45" t="s">
        <v>69</v>
      </c>
    </row>
    <row r="4" spans="1:16" s="58" customFormat="1" x14ac:dyDescent="0.25">
      <c r="A4" s="15">
        <v>1</v>
      </c>
      <c r="B4" s="124">
        <v>0.33</v>
      </c>
      <c r="C4" s="126">
        <v>350</v>
      </c>
      <c r="D4" s="109">
        <v>350</v>
      </c>
      <c r="E4" s="55">
        <f>200+(500-200)*B4</f>
        <v>299</v>
      </c>
      <c r="F4" s="109">
        <f>C4+D4</f>
        <v>700</v>
      </c>
      <c r="G4" s="127">
        <f>C4+D4-E4</f>
        <v>401</v>
      </c>
      <c r="H4" s="109">
        <v>35</v>
      </c>
      <c r="I4" s="56">
        <f>((C4+D4)+G4)/2</f>
        <v>550.5</v>
      </c>
      <c r="J4" s="57">
        <f>I4*3</f>
        <v>1651.5</v>
      </c>
      <c r="K4" s="57">
        <f>H4+J4</f>
        <v>1686.5</v>
      </c>
      <c r="L4" s="16"/>
    </row>
    <row r="5" spans="1:16" x14ac:dyDescent="0.25">
      <c r="A5" s="1">
        <v>2</v>
      </c>
      <c r="B5" s="101">
        <v>0.6</v>
      </c>
      <c r="C5" s="126">
        <f>G4</f>
        <v>401</v>
      </c>
      <c r="D5" s="109">
        <f>D4</f>
        <v>350</v>
      </c>
      <c r="E5" s="55">
        <f t="shared" ref="E5:E13" si="0">200+(500-200)*B5</f>
        <v>380</v>
      </c>
      <c r="F5" s="109">
        <f>C5+D5</f>
        <v>751</v>
      </c>
      <c r="G5" s="56">
        <f t="shared" ref="G5:G13" si="1">C5+D5-E5</f>
        <v>371</v>
      </c>
      <c r="H5" s="109">
        <v>35</v>
      </c>
      <c r="I5" s="56">
        <f>((C5+D5)+G5)/2</f>
        <v>561</v>
      </c>
      <c r="J5" s="57">
        <f>I5*3</f>
        <v>1683</v>
      </c>
      <c r="K5" s="57">
        <f>H5+J5</f>
        <v>1718</v>
      </c>
    </row>
    <row r="6" spans="1:16" x14ac:dyDescent="0.25">
      <c r="A6" s="1">
        <v>3</v>
      </c>
      <c r="B6" s="101">
        <v>0.18</v>
      </c>
      <c r="C6" s="126">
        <f>G5</f>
        <v>371</v>
      </c>
      <c r="D6" s="109">
        <f>D5</f>
        <v>350</v>
      </c>
      <c r="E6" s="55">
        <f t="shared" si="0"/>
        <v>254</v>
      </c>
      <c r="F6" s="109">
        <f t="shared" ref="F6:F13" si="2">C6+D6</f>
        <v>721</v>
      </c>
      <c r="G6" s="56">
        <f t="shared" si="1"/>
        <v>467</v>
      </c>
      <c r="H6" s="109">
        <v>35</v>
      </c>
      <c r="I6" s="56">
        <f t="shared" ref="I6:I13" si="3">((C6+D6)+G6)/2</f>
        <v>594</v>
      </c>
      <c r="J6" s="57">
        <f>I6*3</f>
        <v>1782</v>
      </c>
      <c r="K6" s="57">
        <f t="shared" ref="K6:K13" si="4">H6+J6</f>
        <v>1817</v>
      </c>
    </row>
    <row r="7" spans="1:16" x14ac:dyDescent="0.25">
      <c r="A7" s="15">
        <v>4</v>
      </c>
      <c r="B7" s="125">
        <v>0.46</v>
      </c>
      <c r="C7" s="126">
        <f>G6</f>
        <v>467</v>
      </c>
      <c r="D7" s="109">
        <f>D6</f>
        <v>350</v>
      </c>
      <c r="E7" s="55">
        <f t="shared" si="0"/>
        <v>338</v>
      </c>
      <c r="F7" s="109">
        <f t="shared" si="2"/>
        <v>817</v>
      </c>
      <c r="G7" s="56">
        <f t="shared" si="1"/>
        <v>479</v>
      </c>
      <c r="H7" s="109">
        <v>35</v>
      </c>
      <c r="I7" s="56">
        <f t="shared" si="3"/>
        <v>648</v>
      </c>
      <c r="J7" s="57">
        <f>I7*3</f>
        <v>1944</v>
      </c>
      <c r="K7" s="57">
        <f t="shared" si="4"/>
        <v>1979</v>
      </c>
    </row>
    <row r="8" spans="1:16" x14ac:dyDescent="0.25">
      <c r="A8" s="1">
        <v>5</v>
      </c>
      <c r="B8" s="125">
        <v>0.97</v>
      </c>
      <c r="C8" s="126">
        <f t="shared" ref="C8:C13" si="5">G7</f>
        <v>479</v>
      </c>
      <c r="D8" s="109">
        <f t="shared" ref="D8:D13" si="6">D7</f>
        <v>350</v>
      </c>
      <c r="E8" s="55">
        <f t="shared" si="0"/>
        <v>491</v>
      </c>
      <c r="F8" s="109">
        <f t="shared" si="2"/>
        <v>829</v>
      </c>
      <c r="G8" s="56">
        <f t="shared" si="1"/>
        <v>338</v>
      </c>
      <c r="H8" s="109">
        <v>35</v>
      </c>
      <c r="I8" s="56">
        <f t="shared" si="3"/>
        <v>583.5</v>
      </c>
      <c r="J8" s="57">
        <f t="shared" ref="J8:J13" si="7">I8*3</f>
        <v>1750.5</v>
      </c>
      <c r="K8" s="57">
        <f t="shared" si="4"/>
        <v>1785.5</v>
      </c>
    </row>
    <row r="9" spans="1:16" x14ac:dyDescent="0.25">
      <c r="A9" s="1">
        <v>6</v>
      </c>
      <c r="B9" s="125">
        <v>0.28999999999999998</v>
      </c>
      <c r="C9" s="126">
        <f t="shared" si="5"/>
        <v>338</v>
      </c>
      <c r="D9" s="109">
        <f t="shared" si="6"/>
        <v>350</v>
      </c>
      <c r="E9" s="55">
        <f t="shared" si="0"/>
        <v>287</v>
      </c>
      <c r="F9" s="109">
        <f t="shared" si="2"/>
        <v>688</v>
      </c>
      <c r="G9" s="56">
        <f t="shared" si="1"/>
        <v>401</v>
      </c>
      <c r="H9" s="109">
        <v>35</v>
      </c>
      <c r="I9" s="56">
        <f t="shared" si="3"/>
        <v>544.5</v>
      </c>
      <c r="J9" s="57">
        <f t="shared" si="7"/>
        <v>1633.5</v>
      </c>
      <c r="K9" s="57">
        <f t="shared" si="4"/>
        <v>1668.5</v>
      </c>
      <c r="M9" s="59"/>
    </row>
    <row r="10" spans="1:16" x14ac:dyDescent="0.25">
      <c r="A10" s="15">
        <v>7</v>
      </c>
      <c r="B10" s="125">
        <v>0.75</v>
      </c>
      <c r="C10" s="126">
        <f t="shared" si="5"/>
        <v>401</v>
      </c>
      <c r="D10" s="109">
        <f t="shared" si="6"/>
        <v>350</v>
      </c>
      <c r="E10" s="55">
        <f t="shared" si="0"/>
        <v>425</v>
      </c>
      <c r="F10" s="109">
        <f t="shared" si="2"/>
        <v>751</v>
      </c>
      <c r="G10" s="56">
        <f t="shared" si="1"/>
        <v>326</v>
      </c>
      <c r="H10" s="109">
        <v>35</v>
      </c>
      <c r="I10" s="56">
        <f t="shared" si="3"/>
        <v>538.5</v>
      </c>
      <c r="J10" s="57">
        <f t="shared" si="7"/>
        <v>1615.5</v>
      </c>
      <c r="K10" s="57">
        <f t="shared" si="4"/>
        <v>1650.5</v>
      </c>
      <c r="M10" s="59"/>
    </row>
    <row r="11" spans="1:16" x14ac:dyDescent="0.25">
      <c r="A11" s="1">
        <v>8</v>
      </c>
      <c r="B11" s="125">
        <v>0.84</v>
      </c>
      <c r="C11" s="126">
        <f t="shared" si="5"/>
        <v>326</v>
      </c>
      <c r="D11" s="109">
        <f t="shared" si="6"/>
        <v>350</v>
      </c>
      <c r="E11" s="55">
        <f t="shared" si="0"/>
        <v>452</v>
      </c>
      <c r="F11" s="109">
        <f t="shared" si="2"/>
        <v>676</v>
      </c>
      <c r="G11" s="56">
        <f t="shared" si="1"/>
        <v>224</v>
      </c>
      <c r="H11" s="109">
        <v>35</v>
      </c>
      <c r="I11" s="56">
        <f t="shared" si="3"/>
        <v>450</v>
      </c>
      <c r="J11" s="57">
        <f t="shared" si="7"/>
        <v>1350</v>
      </c>
      <c r="K11" s="57">
        <f t="shared" si="4"/>
        <v>1385</v>
      </c>
    </row>
    <row r="12" spans="1:16" s="58" customFormat="1" x14ac:dyDescent="0.25">
      <c r="A12" s="1">
        <v>9</v>
      </c>
      <c r="B12" s="124">
        <v>0.87</v>
      </c>
      <c r="C12" s="126">
        <f t="shared" si="5"/>
        <v>224</v>
      </c>
      <c r="D12" s="109">
        <f t="shared" si="6"/>
        <v>350</v>
      </c>
      <c r="E12" s="55">
        <f t="shared" si="0"/>
        <v>461</v>
      </c>
      <c r="F12" s="109">
        <f t="shared" si="2"/>
        <v>574</v>
      </c>
      <c r="G12" s="56">
        <f t="shared" si="1"/>
        <v>113</v>
      </c>
      <c r="H12" s="109">
        <v>35</v>
      </c>
      <c r="I12" s="56">
        <f t="shared" si="3"/>
        <v>343.5</v>
      </c>
      <c r="J12" s="57">
        <f t="shared" si="7"/>
        <v>1030.5</v>
      </c>
      <c r="K12" s="57">
        <f t="shared" si="4"/>
        <v>1065.5</v>
      </c>
      <c r="M12" s="60"/>
    </row>
    <row r="13" spans="1:16" x14ac:dyDescent="0.25">
      <c r="A13" s="15">
        <v>10</v>
      </c>
      <c r="B13" s="125">
        <v>0.82</v>
      </c>
      <c r="C13" s="126">
        <f t="shared" si="5"/>
        <v>113</v>
      </c>
      <c r="D13" s="109">
        <f t="shared" si="6"/>
        <v>350</v>
      </c>
      <c r="E13" s="55">
        <f t="shared" si="0"/>
        <v>446</v>
      </c>
      <c r="F13" s="109">
        <f t="shared" si="2"/>
        <v>463</v>
      </c>
      <c r="G13" s="56">
        <f t="shared" si="1"/>
        <v>17</v>
      </c>
      <c r="H13" s="109">
        <v>35</v>
      </c>
      <c r="I13" s="56">
        <f t="shared" si="3"/>
        <v>240</v>
      </c>
      <c r="J13" s="57">
        <f t="shared" si="7"/>
        <v>720</v>
      </c>
      <c r="K13" s="57">
        <f t="shared" si="4"/>
        <v>755</v>
      </c>
      <c r="M13" s="61"/>
      <c r="O13" s="62"/>
      <c r="P13" s="63"/>
    </row>
    <row r="14" spans="1:16" x14ac:dyDescent="0.25">
      <c r="C14" s="59"/>
      <c r="K14" s="64"/>
      <c r="M14" s="61"/>
      <c r="O14" s="62"/>
      <c r="P14" s="63"/>
    </row>
    <row r="15" spans="1:16" x14ac:dyDescent="0.25">
      <c r="C15" s="65">
        <v>10</v>
      </c>
      <c r="D15" s="66" t="s">
        <v>79</v>
      </c>
      <c r="M15" s="61"/>
      <c r="O15" s="62"/>
      <c r="P15" s="63"/>
    </row>
    <row r="16" spans="1:16" x14ac:dyDescent="0.25">
      <c r="B16" s="67" t="s">
        <v>80</v>
      </c>
      <c r="C16" s="128">
        <f>SUM(K4:K13)</f>
        <v>15510.5</v>
      </c>
      <c r="D16" s="17" t="s">
        <v>81</v>
      </c>
      <c r="M16" s="61"/>
      <c r="O16" s="62"/>
      <c r="P16" s="63"/>
    </row>
    <row r="17" spans="2:16" x14ac:dyDescent="0.25">
      <c r="B17" s="69" t="s">
        <v>82</v>
      </c>
      <c r="C17" s="70">
        <f>AVERAGE(I4:I13)</f>
        <v>505.35</v>
      </c>
      <c r="D17" s="17" t="s">
        <v>83</v>
      </c>
      <c r="M17" s="61"/>
    </row>
    <row r="18" spans="2:16" x14ac:dyDescent="0.25">
      <c r="B18" s="69" t="s">
        <v>84</v>
      </c>
      <c r="C18" s="68">
        <f>AVERAGE(J4:J13)</f>
        <v>1516.05</v>
      </c>
      <c r="D18" s="71" t="s">
        <v>85</v>
      </c>
      <c r="M18" s="61"/>
      <c r="O18" s="62"/>
    </row>
    <row r="19" spans="2:16" x14ac:dyDescent="0.25">
      <c r="B19" s="67" t="s">
        <v>86</v>
      </c>
      <c r="C19" s="68">
        <f>AVERAGE(H4:H13)</f>
        <v>35</v>
      </c>
      <c r="D19" s="71" t="s">
        <v>87</v>
      </c>
      <c r="M19" s="61"/>
      <c r="O19" s="62"/>
      <c r="P19" s="59"/>
    </row>
    <row r="20" spans="2:16" x14ac:dyDescent="0.25">
      <c r="B20" s="69" t="s">
        <v>88</v>
      </c>
      <c r="C20" s="70">
        <f>AVERAGE(E4:E13)</f>
        <v>383.3</v>
      </c>
      <c r="D20" s="71" t="s">
        <v>89</v>
      </c>
      <c r="M20" s="61"/>
      <c r="O20" s="72"/>
    </row>
    <row r="21" spans="2:16" x14ac:dyDescent="0.25">
      <c r="C21" s="59"/>
      <c r="M21" s="61"/>
    </row>
    <row r="22" spans="2:16" x14ac:dyDescent="0.25">
      <c r="C22" s="59"/>
      <c r="M22" s="61"/>
    </row>
    <row r="23" spans="2:16" x14ac:dyDescent="0.25">
      <c r="C23" s="59"/>
      <c r="M23" s="73"/>
    </row>
    <row r="24" spans="2:16" s="75" customFormat="1" x14ac:dyDescent="0.25">
      <c r="B24" s="17"/>
      <c r="C24" s="74"/>
      <c r="M24" s="61"/>
    </row>
    <row r="25" spans="2:16" s="58" customFormat="1" x14ac:dyDescent="0.25">
      <c r="B25" s="17"/>
    </row>
    <row r="26" spans="2:16" x14ac:dyDescent="0.25">
      <c r="C26" s="53"/>
      <c r="D26" s="76"/>
      <c r="E26" s="76"/>
      <c r="F26" s="76"/>
      <c r="G26" s="76"/>
      <c r="H26" s="76"/>
      <c r="I26" s="76"/>
      <c r="J26" s="76"/>
      <c r="K26" s="76"/>
    </row>
    <row r="27" spans="2:16" x14ac:dyDescent="0.25">
      <c r="C27" s="77"/>
    </row>
    <row r="28" spans="2:16" x14ac:dyDescent="0.25">
      <c r="C28" s="78"/>
    </row>
    <row r="29" spans="2:16" x14ac:dyDescent="0.25">
      <c r="C29" s="78"/>
    </row>
    <row r="30" spans="2:16" x14ac:dyDescent="0.25">
      <c r="C30" s="77"/>
    </row>
    <row r="31" spans="2:16" x14ac:dyDescent="0.25">
      <c r="C31" s="78"/>
    </row>
    <row r="32" spans="2:16" x14ac:dyDescent="0.25">
      <c r="C32" s="78"/>
    </row>
    <row r="33" spans="3:3" x14ac:dyDescent="0.25">
      <c r="C33" s="78"/>
    </row>
    <row r="34" spans="3:3" x14ac:dyDescent="0.25">
      <c r="C34" s="78"/>
    </row>
    <row r="35" spans="3:3" x14ac:dyDescent="0.25">
      <c r="C35" s="78"/>
    </row>
    <row r="36" spans="3:3" x14ac:dyDescent="0.25">
      <c r="C36" s="7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T35"/>
  <sheetViews>
    <sheetView showGridLines="0" topLeftCell="G1" zoomScale="85" zoomScaleNormal="85" workbookViewId="0">
      <selection activeCell="O4" sqref="O4"/>
    </sheetView>
  </sheetViews>
  <sheetFormatPr baseColWidth="10" defaultRowHeight="15" x14ac:dyDescent="0.25"/>
  <cols>
    <col min="1" max="1" width="3.5703125" style="17" customWidth="1"/>
    <col min="2" max="6" width="10.85546875" style="17" customWidth="1"/>
    <col min="7" max="7" width="11.85546875" style="17" customWidth="1"/>
    <col min="8" max="11" width="10.85546875" style="17" customWidth="1"/>
    <col min="12" max="12" width="14.5703125" style="17" customWidth="1"/>
    <col min="13" max="15" width="10.85546875" style="17" customWidth="1"/>
    <col min="16" max="16" width="2.85546875" style="17" customWidth="1"/>
    <col min="17" max="22" width="10.85546875" style="17" customWidth="1"/>
    <col min="23" max="16384" width="11.42578125" style="17"/>
  </cols>
  <sheetData>
    <row r="1" spans="1:20" x14ac:dyDescent="0.25">
      <c r="A1" s="50"/>
    </row>
    <row r="2" spans="1:20" s="53" customFormat="1" ht="47.25" customHeight="1" x14ac:dyDescent="0.25">
      <c r="A2" s="51"/>
      <c r="B2" s="256" t="s">
        <v>2</v>
      </c>
      <c r="C2" s="251" t="s">
        <v>15</v>
      </c>
      <c r="D2" s="52" t="s">
        <v>72</v>
      </c>
      <c r="E2" s="45" t="s">
        <v>74</v>
      </c>
      <c r="F2" s="52" t="s">
        <v>90</v>
      </c>
      <c r="G2" s="52" t="s">
        <v>91</v>
      </c>
      <c r="H2" s="45" t="s">
        <v>75</v>
      </c>
      <c r="I2" s="45" t="s">
        <v>77</v>
      </c>
      <c r="J2" s="45" t="s">
        <v>78</v>
      </c>
      <c r="K2" s="122" t="s">
        <v>218</v>
      </c>
      <c r="L2" s="171" t="s">
        <v>93</v>
      </c>
      <c r="M2" s="45" t="s">
        <v>94</v>
      </c>
      <c r="N2" s="45" t="s">
        <v>69</v>
      </c>
      <c r="O2" s="122" t="s">
        <v>219</v>
      </c>
    </row>
    <row r="3" spans="1:20" s="58" customFormat="1" x14ac:dyDescent="0.25">
      <c r="A3" s="15">
        <v>1</v>
      </c>
      <c r="B3" s="260">
        <v>33</v>
      </c>
      <c r="C3" s="211">
        <f>NORMINV(B3/100,0,1)</f>
        <v>-0.43991316567323374</v>
      </c>
      <c r="D3" s="54">
        <v>150</v>
      </c>
      <c r="E3" s="80">
        <f>C3*10+70</f>
        <v>65.600868343267663</v>
      </c>
      <c r="F3" s="54">
        <f>IF(E3&lt;D3,E3,D3)</f>
        <v>65.600868343267663</v>
      </c>
      <c r="G3" s="54">
        <f>IF(E3&gt;D3,D3-E3,0)</f>
        <v>0</v>
      </c>
      <c r="H3" s="54">
        <f>IF(E3&lt;D3,D3-E3,0)</f>
        <v>84.399131656732337</v>
      </c>
      <c r="I3" s="54">
        <f>(D3+H3)/2</f>
        <v>117.19956582836616</v>
      </c>
      <c r="J3" s="54">
        <f>I3*(5+8/8)</f>
        <v>703.19739497019691</v>
      </c>
      <c r="K3" s="81">
        <v>150</v>
      </c>
      <c r="L3" s="54">
        <f>IF(K3&gt;0,130,0)</f>
        <v>130</v>
      </c>
      <c r="M3" s="54">
        <f>K3*270</f>
        <v>40500</v>
      </c>
      <c r="N3" s="54">
        <f>J3+L3+M3</f>
        <v>41333.197394970193</v>
      </c>
      <c r="O3" s="54">
        <f>H3+K3</f>
        <v>234.39913165673232</v>
      </c>
      <c r="P3" s="16"/>
    </row>
    <row r="4" spans="1:20" x14ac:dyDescent="0.25">
      <c r="A4" s="1">
        <v>2</v>
      </c>
      <c r="B4" s="261">
        <v>60</v>
      </c>
      <c r="C4" s="211">
        <f t="shared" ref="C4:C12" si="0">NORMINV(B4/100,0,1)</f>
        <v>0.25334710313579978</v>
      </c>
      <c r="D4" s="54">
        <f>O3</f>
        <v>234.39913165673232</v>
      </c>
      <c r="E4" s="80">
        <f>(C4*10+70)+G3</f>
        <v>72.533471031358005</v>
      </c>
      <c r="F4" s="54">
        <f>IF(E4&lt;D4,E4,D4)</f>
        <v>72.533471031358005</v>
      </c>
      <c r="G4" s="54">
        <f t="shared" ref="G4:G12" si="1">IF(E4&gt;D4,D4-E4,0)</f>
        <v>0</v>
      </c>
      <c r="H4" s="54">
        <f t="shared" ref="H4:H12" si="2">IF(E4&lt;D4,D4-E4,0)</f>
        <v>161.86566062537432</v>
      </c>
      <c r="I4" s="54">
        <f>(D4+H4)/2</f>
        <v>198.13239614105333</v>
      </c>
      <c r="J4" s="54">
        <f>I4*(5+8/8)</f>
        <v>1188.7943768463201</v>
      </c>
      <c r="K4" s="81">
        <v>150</v>
      </c>
      <c r="L4" s="54">
        <f t="shared" ref="L4:L12" si="3">IF(K4&gt;0,130,0)</f>
        <v>130</v>
      </c>
      <c r="M4" s="54">
        <f t="shared" ref="M4:M12" si="4">K4*270</f>
        <v>40500</v>
      </c>
      <c r="N4" s="54">
        <f t="shared" ref="N4:N12" si="5">J4+L4+M4</f>
        <v>41818.794376846323</v>
      </c>
      <c r="O4" s="54">
        <f t="shared" ref="O4:O12" si="6">H4+K4</f>
        <v>311.86566062537429</v>
      </c>
    </row>
    <row r="5" spans="1:20" x14ac:dyDescent="0.25">
      <c r="A5" s="1">
        <v>3</v>
      </c>
      <c r="B5" s="261">
        <v>18</v>
      </c>
      <c r="C5" s="211">
        <f t="shared" si="0"/>
        <v>-0.91536508784281501</v>
      </c>
      <c r="D5" s="54">
        <f>O4</f>
        <v>311.86566062537429</v>
      </c>
      <c r="E5" s="80">
        <f t="shared" ref="E5:E12" si="7">(C5*10+70)+G4</f>
        <v>60.846349121571848</v>
      </c>
      <c r="F5" s="54">
        <f t="shared" ref="F5:F12" si="8">IF(E5&lt;D5,E5,D5)</f>
        <v>60.846349121571848</v>
      </c>
      <c r="G5" s="54">
        <f t="shared" si="1"/>
        <v>0</v>
      </c>
      <c r="H5" s="54">
        <f t="shared" si="2"/>
        <v>251.01931150380244</v>
      </c>
      <c r="I5" s="54">
        <f t="shared" ref="I5:I12" si="9">(D5+H5)/2</f>
        <v>281.44248606458837</v>
      </c>
      <c r="J5" s="54">
        <f>I5*(5+8/8)</f>
        <v>1688.6549163875302</v>
      </c>
      <c r="K5" s="81">
        <v>150</v>
      </c>
      <c r="L5" s="54">
        <f t="shared" si="3"/>
        <v>130</v>
      </c>
      <c r="M5" s="54">
        <f t="shared" si="4"/>
        <v>40500</v>
      </c>
      <c r="N5" s="54">
        <f t="shared" si="5"/>
        <v>42318.654916387532</v>
      </c>
      <c r="O5" s="54">
        <f>H5+K5</f>
        <v>401.01931150380244</v>
      </c>
    </row>
    <row r="6" spans="1:20" x14ac:dyDescent="0.25">
      <c r="A6" s="15">
        <v>4</v>
      </c>
      <c r="B6" s="262">
        <v>46</v>
      </c>
      <c r="C6" s="211">
        <f t="shared" si="0"/>
        <v>-0.10043372051146976</v>
      </c>
      <c r="D6" s="54">
        <f t="shared" ref="D6:D12" si="10">O5</f>
        <v>401.01931150380244</v>
      </c>
      <c r="E6" s="80">
        <f t="shared" si="7"/>
        <v>68.995662794885305</v>
      </c>
      <c r="F6" s="54">
        <f t="shared" si="8"/>
        <v>68.995662794885305</v>
      </c>
      <c r="G6" s="54">
        <f t="shared" si="1"/>
        <v>0</v>
      </c>
      <c r="H6" s="54">
        <f t="shared" si="2"/>
        <v>332.02364870891711</v>
      </c>
      <c r="I6" s="54">
        <f t="shared" si="9"/>
        <v>366.52148010635977</v>
      </c>
      <c r="J6" s="54">
        <f t="shared" ref="J6:J12" si="11">I6*(5+8/8)</f>
        <v>2199.1288806381585</v>
      </c>
      <c r="K6" s="81">
        <v>150</v>
      </c>
      <c r="L6" s="54">
        <f t="shared" si="3"/>
        <v>130</v>
      </c>
      <c r="M6" s="54">
        <f t="shared" si="4"/>
        <v>40500</v>
      </c>
      <c r="N6" s="54">
        <f t="shared" si="5"/>
        <v>42829.128880638156</v>
      </c>
      <c r="O6" s="54">
        <f t="shared" si="6"/>
        <v>482.02364870891711</v>
      </c>
    </row>
    <row r="7" spans="1:20" x14ac:dyDescent="0.25">
      <c r="A7" s="1">
        <v>5</v>
      </c>
      <c r="B7" s="262">
        <v>97</v>
      </c>
      <c r="C7" s="211">
        <f t="shared" si="0"/>
        <v>1.8807936081512504</v>
      </c>
      <c r="D7" s="54">
        <f t="shared" si="10"/>
        <v>482.02364870891711</v>
      </c>
      <c r="E7" s="80">
        <f t="shared" si="7"/>
        <v>88.807936081512509</v>
      </c>
      <c r="F7" s="54">
        <f t="shared" si="8"/>
        <v>88.807936081512509</v>
      </c>
      <c r="G7" s="54">
        <f t="shared" si="1"/>
        <v>0</v>
      </c>
      <c r="H7" s="54">
        <f t="shared" si="2"/>
        <v>393.21571262740463</v>
      </c>
      <c r="I7" s="54">
        <f t="shared" si="9"/>
        <v>437.61968066816087</v>
      </c>
      <c r="J7" s="54">
        <f t="shared" si="11"/>
        <v>2625.718084008965</v>
      </c>
      <c r="K7" s="81">
        <v>150</v>
      </c>
      <c r="L7" s="54">
        <f t="shared" si="3"/>
        <v>130</v>
      </c>
      <c r="M7" s="54">
        <f t="shared" si="4"/>
        <v>40500</v>
      </c>
      <c r="N7" s="54">
        <f t="shared" si="5"/>
        <v>43255.718084008964</v>
      </c>
      <c r="O7" s="54">
        <f t="shared" si="6"/>
        <v>543.21571262740463</v>
      </c>
    </row>
    <row r="8" spans="1:20" x14ac:dyDescent="0.25">
      <c r="A8" s="1">
        <v>6</v>
      </c>
      <c r="B8" s="262">
        <v>29</v>
      </c>
      <c r="C8" s="211">
        <f t="shared" si="0"/>
        <v>-0.55338471955567303</v>
      </c>
      <c r="D8" s="54">
        <f t="shared" si="10"/>
        <v>543.21571262740463</v>
      </c>
      <c r="E8" s="80">
        <f t="shared" si="7"/>
        <v>64.466152804443269</v>
      </c>
      <c r="F8" s="54">
        <f t="shared" si="8"/>
        <v>64.466152804443269</v>
      </c>
      <c r="G8" s="54">
        <f t="shared" si="1"/>
        <v>0</v>
      </c>
      <c r="H8" s="54">
        <f t="shared" si="2"/>
        <v>478.74955982296137</v>
      </c>
      <c r="I8" s="54">
        <f t="shared" si="9"/>
        <v>510.982636225183</v>
      </c>
      <c r="J8" s="54">
        <f t="shared" si="11"/>
        <v>3065.8958173510982</v>
      </c>
      <c r="K8" s="81">
        <v>150</v>
      </c>
      <c r="L8" s="54">
        <f>IF(K8&gt;0,130,0)</f>
        <v>130</v>
      </c>
      <c r="M8" s="54">
        <f t="shared" si="4"/>
        <v>40500</v>
      </c>
      <c r="N8" s="54">
        <f t="shared" si="5"/>
        <v>43695.895817351098</v>
      </c>
      <c r="O8" s="54">
        <f t="shared" si="6"/>
        <v>628.74955982296137</v>
      </c>
      <c r="Q8" s="59"/>
    </row>
    <row r="9" spans="1:20" x14ac:dyDescent="0.25">
      <c r="A9" s="15">
        <v>7</v>
      </c>
      <c r="B9" s="262">
        <v>75</v>
      </c>
      <c r="C9" s="211">
        <f t="shared" si="0"/>
        <v>0.67448975019608193</v>
      </c>
      <c r="D9" s="54">
        <f t="shared" si="10"/>
        <v>628.74955982296137</v>
      </c>
      <c r="E9" s="80">
        <f t="shared" si="7"/>
        <v>76.744897501960821</v>
      </c>
      <c r="F9" s="54">
        <f t="shared" si="8"/>
        <v>76.744897501960821</v>
      </c>
      <c r="G9" s="54">
        <f t="shared" si="1"/>
        <v>0</v>
      </c>
      <c r="H9" s="54">
        <f t="shared" si="2"/>
        <v>552.00466232100052</v>
      </c>
      <c r="I9" s="54">
        <f t="shared" si="9"/>
        <v>590.37711107198095</v>
      </c>
      <c r="J9" s="54">
        <f t="shared" si="11"/>
        <v>3542.2626664318859</v>
      </c>
      <c r="K9" s="81">
        <v>150</v>
      </c>
      <c r="L9" s="54">
        <f t="shared" si="3"/>
        <v>130</v>
      </c>
      <c r="M9" s="54">
        <f t="shared" si="4"/>
        <v>40500</v>
      </c>
      <c r="N9" s="54">
        <f t="shared" si="5"/>
        <v>44172.262666431889</v>
      </c>
      <c r="O9" s="54">
        <f t="shared" si="6"/>
        <v>702.00466232100052</v>
      </c>
      <c r="Q9" s="59"/>
    </row>
    <row r="10" spans="1:20" x14ac:dyDescent="0.25">
      <c r="A10" s="1">
        <v>8</v>
      </c>
      <c r="B10" s="262">
        <v>84</v>
      </c>
      <c r="C10" s="211">
        <f t="shared" si="0"/>
        <v>0.9944578832097497</v>
      </c>
      <c r="D10" s="54">
        <f t="shared" si="10"/>
        <v>702.00466232100052</v>
      </c>
      <c r="E10" s="80">
        <f t="shared" si="7"/>
        <v>79.944578832097491</v>
      </c>
      <c r="F10" s="54">
        <f t="shared" si="8"/>
        <v>79.944578832097491</v>
      </c>
      <c r="G10" s="54">
        <f t="shared" si="1"/>
        <v>0</v>
      </c>
      <c r="H10" s="54">
        <f t="shared" si="2"/>
        <v>622.06008348890305</v>
      </c>
      <c r="I10" s="54">
        <f t="shared" si="9"/>
        <v>662.03237290495179</v>
      </c>
      <c r="J10" s="54">
        <f t="shared" si="11"/>
        <v>3972.1942374297105</v>
      </c>
      <c r="K10" s="81">
        <v>150</v>
      </c>
      <c r="L10" s="54">
        <f t="shared" si="3"/>
        <v>130</v>
      </c>
      <c r="M10" s="54">
        <f t="shared" si="4"/>
        <v>40500</v>
      </c>
      <c r="N10" s="54">
        <f t="shared" si="5"/>
        <v>44602.194237429707</v>
      </c>
      <c r="O10" s="54">
        <f t="shared" si="6"/>
        <v>772.06008348890305</v>
      </c>
    </row>
    <row r="11" spans="1:20" s="58" customFormat="1" x14ac:dyDescent="0.25">
      <c r="A11" s="1">
        <v>9</v>
      </c>
      <c r="B11" s="260">
        <v>87</v>
      </c>
      <c r="C11" s="211">
        <f t="shared" si="0"/>
        <v>1.1263911290388013</v>
      </c>
      <c r="D11" s="54">
        <f t="shared" si="10"/>
        <v>772.06008348890305</v>
      </c>
      <c r="E11" s="80">
        <f t="shared" si="7"/>
        <v>81.263911290388009</v>
      </c>
      <c r="F11" s="54">
        <f t="shared" si="8"/>
        <v>81.263911290388009</v>
      </c>
      <c r="G11" s="54">
        <f t="shared" si="1"/>
        <v>0</v>
      </c>
      <c r="H11" s="54">
        <f t="shared" si="2"/>
        <v>690.79617219851502</v>
      </c>
      <c r="I11" s="54">
        <f t="shared" si="9"/>
        <v>731.42812784370904</v>
      </c>
      <c r="J11" s="54">
        <f t="shared" si="11"/>
        <v>4388.5687670622538</v>
      </c>
      <c r="K11" s="81">
        <v>150</v>
      </c>
      <c r="L11" s="54">
        <f t="shared" si="3"/>
        <v>130</v>
      </c>
      <c r="M11" s="54">
        <f t="shared" si="4"/>
        <v>40500</v>
      </c>
      <c r="N11" s="54">
        <f t="shared" si="5"/>
        <v>45018.568767062257</v>
      </c>
      <c r="O11" s="54">
        <f t="shared" si="6"/>
        <v>840.79617219851502</v>
      </c>
      <c r="Q11" s="60"/>
    </row>
    <row r="12" spans="1:20" x14ac:dyDescent="0.25">
      <c r="A12" s="15">
        <v>10</v>
      </c>
      <c r="B12" s="262">
        <v>82</v>
      </c>
      <c r="C12" s="211">
        <f t="shared" si="0"/>
        <v>0.91536508784281256</v>
      </c>
      <c r="D12" s="54">
        <f t="shared" si="10"/>
        <v>840.79617219851502</v>
      </c>
      <c r="E12" s="80">
        <f t="shared" si="7"/>
        <v>79.153650878428124</v>
      </c>
      <c r="F12" s="54">
        <f t="shared" si="8"/>
        <v>79.153650878428124</v>
      </c>
      <c r="G12" s="54">
        <f t="shared" si="1"/>
        <v>0</v>
      </c>
      <c r="H12" s="54">
        <f t="shared" si="2"/>
        <v>761.64252132008687</v>
      </c>
      <c r="I12" s="54">
        <f t="shared" si="9"/>
        <v>801.21934675930095</v>
      </c>
      <c r="J12" s="54">
        <f t="shared" si="11"/>
        <v>4807.3160805558055</v>
      </c>
      <c r="K12" s="81">
        <v>150</v>
      </c>
      <c r="L12" s="54">
        <f t="shared" si="3"/>
        <v>130</v>
      </c>
      <c r="M12" s="54">
        <f t="shared" si="4"/>
        <v>40500</v>
      </c>
      <c r="N12" s="54">
        <f t="shared" si="5"/>
        <v>45437.316080555807</v>
      </c>
      <c r="O12" s="54">
        <f t="shared" si="6"/>
        <v>911.64252132008687</v>
      </c>
      <c r="Q12" s="61"/>
      <c r="S12" s="62"/>
      <c r="T12" s="63"/>
    </row>
    <row r="13" spans="1:20" x14ac:dyDescent="0.25">
      <c r="D13" s="59"/>
      <c r="K13" s="59"/>
      <c r="Q13" s="61"/>
      <c r="S13" s="62"/>
      <c r="T13" s="63"/>
    </row>
    <row r="14" spans="1:20" x14ac:dyDescent="0.25">
      <c r="D14" s="59"/>
      <c r="K14" s="67" t="s">
        <v>80</v>
      </c>
      <c r="L14" s="65">
        <v>10</v>
      </c>
      <c r="M14" s="66" t="s">
        <v>79</v>
      </c>
      <c r="Q14" s="61"/>
      <c r="S14" s="62"/>
      <c r="T14" s="63"/>
    </row>
    <row r="15" spans="1:20" x14ac:dyDescent="0.25">
      <c r="D15" s="59"/>
      <c r="K15" s="69" t="s">
        <v>82</v>
      </c>
      <c r="L15" s="68">
        <f>SUM(N3:N12)</f>
        <v>434481.73122168187</v>
      </c>
      <c r="M15" s="17" t="s">
        <v>81</v>
      </c>
      <c r="Q15" s="61"/>
      <c r="S15" s="62"/>
      <c r="T15" s="63"/>
    </row>
    <row r="16" spans="1:20" x14ac:dyDescent="0.25">
      <c r="D16" s="59"/>
      <c r="K16" s="69" t="s">
        <v>84</v>
      </c>
      <c r="L16" s="70">
        <f>AVERAGE(I3:I12)</f>
        <v>469.69552036136537</v>
      </c>
      <c r="M16" s="17" t="s">
        <v>83</v>
      </c>
      <c r="Q16" s="61"/>
    </row>
    <row r="17" spans="2:20" x14ac:dyDescent="0.25">
      <c r="D17" s="59"/>
      <c r="K17" s="67" t="s">
        <v>86</v>
      </c>
      <c r="L17" s="68">
        <f>AVERAGE(J3:J12)</f>
        <v>2818.1731221681925</v>
      </c>
      <c r="M17" s="71" t="s">
        <v>85</v>
      </c>
      <c r="Q17" s="61"/>
      <c r="S17" s="62"/>
    </row>
    <row r="18" spans="2:20" x14ac:dyDescent="0.25">
      <c r="D18" s="59"/>
      <c r="K18" s="69" t="s">
        <v>88</v>
      </c>
      <c r="L18" s="70">
        <f>AVERAGE(E3:E12)</f>
        <v>73.835747867991302</v>
      </c>
      <c r="M18" s="71" t="s">
        <v>89</v>
      </c>
      <c r="Q18" s="61"/>
      <c r="S18" s="62"/>
      <c r="T18" s="59"/>
    </row>
    <row r="19" spans="2:20" x14ac:dyDescent="0.25">
      <c r="D19" s="59"/>
      <c r="K19" s="59"/>
      <c r="Q19" s="61"/>
      <c r="S19" s="72"/>
    </row>
    <row r="20" spans="2:20" x14ac:dyDescent="0.25">
      <c r="D20" s="59"/>
      <c r="K20" s="59"/>
      <c r="Q20" s="61"/>
    </row>
    <row r="21" spans="2:20" x14ac:dyDescent="0.25">
      <c r="D21" s="59"/>
      <c r="K21" s="59"/>
      <c r="Q21" s="61"/>
    </row>
    <row r="22" spans="2:20" x14ac:dyDescent="0.25">
      <c r="D22" s="59"/>
      <c r="O22" s="59"/>
      <c r="Q22" s="73"/>
    </row>
    <row r="23" spans="2:20" s="75" customFormat="1" x14ac:dyDescent="0.25">
      <c r="D23" s="74"/>
      <c r="O23" s="74"/>
      <c r="Q23" s="61"/>
    </row>
    <row r="24" spans="2:20" s="58" customFormat="1" x14ac:dyDescent="0.25">
      <c r="O24" s="83"/>
    </row>
    <row r="25" spans="2:20" x14ac:dyDescent="0.25">
      <c r="B25" s="76"/>
      <c r="C25" s="76"/>
      <c r="D25" s="53"/>
      <c r="E25" s="76"/>
      <c r="H25" s="76"/>
      <c r="I25" s="76"/>
      <c r="J25" s="76"/>
      <c r="K25" s="76"/>
      <c r="L25" s="76"/>
      <c r="M25" s="76"/>
      <c r="N25" s="76"/>
    </row>
    <row r="26" spans="2:20" x14ac:dyDescent="0.25">
      <c r="D26" s="77"/>
    </row>
    <row r="27" spans="2:20" x14ac:dyDescent="0.25">
      <c r="D27" s="78"/>
    </row>
    <row r="28" spans="2:20" x14ac:dyDescent="0.25">
      <c r="D28" s="78"/>
    </row>
    <row r="29" spans="2:20" x14ac:dyDescent="0.25">
      <c r="D29" s="77"/>
    </row>
    <row r="30" spans="2:20" x14ac:dyDescent="0.25">
      <c r="D30" s="78"/>
    </row>
    <row r="31" spans="2:20" x14ac:dyDescent="0.25">
      <c r="D31" s="78"/>
    </row>
    <row r="32" spans="2:20" x14ac:dyDescent="0.25">
      <c r="D32" s="78"/>
    </row>
    <row r="33" spans="4:4" x14ac:dyDescent="0.25">
      <c r="D33" s="78"/>
    </row>
    <row r="34" spans="4:4" x14ac:dyDescent="0.25">
      <c r="D34" s="78"/>
    </row>
    <row r="35" spans="4:4" x14ac:dyDescent="0.25">
      <c r="D35" s="7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AX65"/>
  <sheetViews>
    <sheetView showGridLines="0" zoomScale="85" zoomScaleNormal="85" workbookViewId="0">
      <selection activeCell="Q44" sqref="Q44"/>
    </sheetView>
  </sheetViews>
  <sheetFormatPr baseColWidth="10" defaultRowHeight="15" x14ac:dyDescent="0.25"/>
  <cols>
    <col min="1" max="1" width="9" style="17" customWidth="1"/>
    <col min="2" max="3" width="10.5703125" style="76" customWidth="1"/>
    <col min="4" max="4" width="11" style="76" bestFit="1" customWidth="1"/>
    <col min="5" max="5" width="9.5703125" style="17" customWidth="1"/>
    <col min="6" max="6" width="12.42578125" style="17" customWidth="1"/>
    <col min="7" max="7" width="9" style="17" customWidth="1"/>
    <col min="8" max="8" width="3" style="17" bestFit="1" customWidth="1"/>
    <col min="9" max="9" width="7.28515625" style="17" bestFit="1" customWidth="1"/>
    <col min="10" max="10" width="13.85546875" style="17" bestFit="1" customWidth="1"/>
    <col min="11" max="11" width="11.42578125" style="17" bestFit="1" customWidth="1"/>
    <col min="12" max="12" width="9.42578125" style="17" bestFit="1" customWidth="1"/>
    <col min="13" max="13" width="11.28515625" style="17" bestFit="1" customWidth="1"/>
    <col min="14" max="14" width="11.42578125" style="17" bestFit="1" customWidth="1"/>
    <col min="15" max="15" width="11.5703125" style="17" bestFit="1" customWidth="1"/>
    <col min="16" max="16" width="11.42578125" style="17" bestFit="1" customWidth="1"/>
    <col min="17" max="17" width="9.42578125" style="17" bestFit="1" customWidth="1"/>
    <col min="18" max="18" width="11.28515625" style="17" bestFit="1" customWidth="1"/>
    <col min="19" max="19" width="11.42578125" style="17" bestFit="1" customWidth="1"/>
    <col min="20" max="20" width="11.5703125" style="17" bestFit="1" customWidth="1"/>
    <col min="21" max="21" width="11.42578125" style="17" bestFit="1" customWidth="1"/>
    <col min="22" max="22" width="9.42578125" style="17" bestFit="1" customWidth="1"/>
    <col min="23" max="23" width="11.28515625" style="17" bestFit="1" customWidth="1"/>
    <col min="24" max="24" width="11.42578125" style="17" bestFit="1" customWidth="1"/>
    <col min="25" max="25" width="11.5703125" style="17" bestFit="1" customWidth="1"/>
    <col min="26" max="26" width="11.42578125" style="17" bestFit="1" customWidth="1"/>
    <col min="27" max="27" width="9.42578125" style="17" bestFit="1" customWidth="1"/>
    <col min="28" max="28" width="11.28515625" style="17" bestFit="1" customWidth="1"/>
    <col min="29" max="29" width="11.42578125" style="17" bestFit="1" customWidth="1"/>
    <col min="30" max="30" width="11.5703125" style="17" bestFit="1" customWidth="1"/>
    <col min="31" max="31" width="11.42578125" style="17" bestFit="1" customWidth="1"/>
    <col min="32" max="32" width="9.42578125" style="17" bestFit="1" customWidth="1"/>
    <col min="33" max="33" width="11.28515625" style="17" bestFit="1" customWidth="1"/>
    <col min="34" max="34" width="11.42578125" style="17" bestFit="1" customWidth="1"/>
    <col min="35" max="35" width="11.5703125" style="17" bestFit="1" customWidth="1"/>
    <col min="36" max="36" width="11.42578125" style="17" bestFit="1" customWidth="1"/>
    <col min="37" max="37" width="9.42578125" style="17" bestFit="1" customWidth="1"/>
    <col min="38" max="38" width="11.28515625" style="17" bestFit="1" customWidth="1"/>
    <col min="39" max="39" width="11.42578125" style="17" bestFit="1" customWidth="1"/>
    <col min="40" max="40" width="11.5703125" style="17" bestFit="1" customWidth="1"/>
    <col min="41" max="41" width="11.42578125" style="17" bestFit="1" customWidth="1"/>
    <col min="42" max="42" width="9.42578125" style="17" bestFit="1" customWidth="1"/>
    <col min="43" max="43" width="11.28515625" style="17" bestFit="1" customWidth="1"/>
    <col min="44" max="44" width="11.42578125" style="17" bestFit="1" customWidth="1"/>
    <col min="45" max="45" width="11.5703125" style="17" bestFit="1" customWidth="1"/>
    <col min="46" max="46" width="18.5703125" style="17" customWidth="1"/>
    <col min="47" max="47" width="15.42578125" style="17" bestFit="1" customWidth="1"/>
    <col min="48" max="48" width="13" style="17" bestFit="1" customWidth="1"/>
    <col min="49" max="49" width="18.5703125" style="17" bestFit="1" customWidth="1"/>
    <col min="50" max="50" width="23.7109375" style="17" customWidth="1"/>
    <col min="51" max="16384" width="11.42578125" style="17"/>
  </cols>
  <sheetData>
    <row r="1" spans="2:50" x14ac:dyDescent="0.25">
      <c r="B1" s="157"/>
      <c r="C1" s="158"/>
      <c r="D1" s="158"/>
      <c r="E1" s="84"/>
      <c r="H1" s="63"/>
      <c r="M1" s="63"/>
    </row>
    <row r="2" spans="2:50" x14ac:dyDescent="0.25">
      <c r="B2" s="17"/>
      <c r="C2" s="17"/>
      <c r="D2" s="17"/>
      <c r="E2" s="157"/>
      <c r="F2" s="158"/>
      <c r="G2" s="158"/>
      <c r="H2" s="17" t="s">
        <v>140</v>
      </c>
      <c r="K2" s="289" t="s">
        <v>189</v>
      </c>
      <c r="L2" s="289"/>
      <c r="M2" s="289"/>
      <c r="N2" s="289"/>
      <c r="O2" s="289"/>
      <c r="P2" s="289" t="s">
        <v>206</v>
      </c>
      <c r="Q2" s="289"/>
      <c r="R2" s="289"/>
      <c r="S2" s="289"/>
      <c r="T2" s="289"/>
      <c r="U2" s="289" t="s">
        <v>207</v>
      </c>
      <c r="V2" s="289"/>
      <c r="W2" s="289"/>
      <c r="X2" s="289"/>
      <c r="Y2" s="289"/>
      <c r="Z2" s="289" t="s">
        <v>208</v>
      </c>
      <c r="AA2" s="289"/>
      <c r="AB2" s="289"/>
      <c r="AC2" s="289"/>
      <c r="AD2" s="289"/>
      <c r="AE2" s="289" t="s">
        <v>209</v>
      </c>
      <c r="AF2" s="289"/>
      <c r="AG2" s="289"/>
      <c r="AH2" s="289"/>
      <c r="AI2" s="289"/>
      <c r="AJ2" s="289" t="s">
        <v>210</v>
      </c>
      <c r="AK2" s="289"/>
      <c r="AL2" s="289"/>
      <c r="AM2" s="289"/>
      <c r="AN2" s="289"/>
      <c r="AO2" s="289" t="s">
        <v>211</v>
      </c>
      <c r="AP2" s="289"/>
      <c r="AQ2" s="289"/>
      <c r="AR2" s="289"/>
      <c r="AS2" s="289"/>
    </row>
    <row r="3" spans="2:50" s="78" customFormat="1" ht="14.25" customHeight="1" x14ac:dyDescent="0.25">
      <c r="E3" s="77"/>
      <c r="F3" s="159"/>
      <c r="G3" s="159"/>
      <c r="I3" s="78" t="s">
        <v>92</v>
      </c>
      <c r="J3" s="142" t="s">
        <v>190</v>
      </c>
      <c r="K3" s="153" t="s">
        <v>205</v>
      </c>
      <c r="L3" s="153" t="s">
        <v>11</v>
      </c>
      <c r="M3" s="154" t="s">
        <v>75</v>
      </c>
      <c r="N3" s="153" t="s">
        <v>203</v>
      </c>
      <c r="O3" s="153" t="s">
        <v>204</v>
      </c>
      <c r="P3" s="155" t="s">
        <v>152</v>
      </c>
      <c r="Q3" s="155" t="s">
        <v>11</v>
      </c>
      <c r="R3" s="156" t="s">
        <v>75</v>
      </c>
      <c r="S3" s="155" t="s">
        <v>203</v>
      </c>
      <c r="T3" s="155" t="s">
        <v>204</v>
      </c>
      <c r="U3" s="153" t="s">
        <v>205</v>
      </c>
      <c r="V3" s="153" t="s">
        <v>11</v>
      </c>
      <c r="W3" s="154" t="s">
        <v>75</v>
      </c>
      <c r="X3" s="153" t="s">
        <v>203</v>
      </c>
      <c r="Y3" s="153" t="s">
        <v>204</v>
      </c>
      <c r="Z3" s="155" t="s">
        <v>152</v>
      </c>
      <c r="AA3" s="155" t="s">
        <v>11</v>
      </c>
      <c r="AB3" s="156" t="s">
        <v>75</v>
      </c>
      <c r="AC3" s="155" t="s">
        <v>203</v>
      </c>
      <c r="AD3" s="155" t="s">
        <v>204</v>
      </c>
      <c r="AE3" s="153" t="s">
        <v>205</v>
      </c>
      <c r="AF3" s="153" t="s">
        <v>11</v>
      </c>
      <c r="AG3" s="154" t="s">
        <v>75</v>
      </c>
      <c r="AH3" s="153" t="s">
        <v>203</v>
      </c>
      <c r="AI3" s="153" t="s">
        <v>204</v>
      </c>
      <c r="AJ3" s="155" t="s">
        <v>152</v>
      </c>
      <c r="AK3" s="155" t="s">
        <v>11</v>
      </c>
      <c r="AL3" s="156" t="s">
        <v>75</v>
      </c>
      <c r="AM3" s="155" t="s">
        <v>203</v>
      </c>
      <c r="AN3" s="155" t="s">
        <v>204</v>
      </c>
      <c r="AO3" s="153" t="s">
        <v>205</v>
      </c>
      <c r="AP3" s="153" t="s">
        <v>11</v>
      </c>
      <c r="AQ3" s="154" t="s">
        <v>75</v>
      </c>
      <c r="AR3" s="153" t="s">
        <v>203</v>
      </c>
      <c r="AS3" s="153" t="s">
        <v>204</v>
      </c>
      <c r="AT3" s="143" t="s">
        <v>192</v>
      </c>
      <c r="AU3" s="141" t="s">
        <v>193</v>
      </c>
      <c r="AV3" s="141" t="s">
        <v>194</v>
      </c>
      <c r="AW3" s="141" t="s">
        <v>195</v>
      </c>
    </row>
    <row r="4" spans="2:50" s="147" customFormat="1" x14ac:dyDescent="0.25">
      <c r="E4" s="160"/>
      <c r="F4" s="160"/>
      <c r="G4" s="160"/>
      <c r="H4" s="17"/>
      <c r="I4" s="144">
        <v>350</v>
      </c>
      <c r="J4" s="151">
        <v>1</v>
      </c>
      <c r="K4" s="145">
        <v>50</v>
      </c>
      <c r="L4" s="145">
        <v>150</v>
      </c>
      <c r="M4" s="145">
        <f>IF(L4&gt;K4,0,K4-L4)</f>
        <v>0</v>
      </c>
      <c r="N4" s="145">
        <f>(K4+M4)/2</f>
        <v>25</v>
      </c>
      <c r="O4" s="145">
        <f>IF(L4&gt;K4,K4-L4,0)</f>
        <v>-100</v>
      </c>
      <c r="P4" s="146">
        <f>M4</f>
        <v>0</v>
      </c>
      <c r="Q4" s="146">
        <v>150</v>
      </c>
      <c r="R4" s="146">
        <f>IF(Q4&gt;P4,0,P4-Q4)</f>
        <v>0</v>
      </c>
      <c r="S4" s="146">
        <f>(P4+R4)/2</f>
        <v>0</v>
      </c>
      <c r="T4" s="146">
        <f>IF(Q4&gt;P4,P4-Q4,0)</f>
        <v>-150</v>
      </c>
      <c r="U4" s="145">
        <f>R4</f>
        <v>0</v>
      </c>
      <c r="V4" s="145">
        <v>300</v>
      </c>
      <c r="W4" s="145">
        <f>IF(V4&gt;U4,0,U4-V4)</f>
        <v>0</v>
      </c>
      <c r="X4" s="145">
        <f>(U4+W4)/2</f>
        <v>0</v>
      </c>
      <c r="Y4" s="145">
        <f>IF(V4&gt;U4,U4-V4,0)</f>
        <v>-300</v>
      </c>
      <c r="Z4" s="146">
        <f>W4+350</f>
        <v>350</v>
      </c>
      <c r="AA4" s="146">
        <v>200</v>
      </c>
      <c r="AB4" s="146">
        <f>IF(AA4&gt;Z4,0,Z4-AA4)</f>
        <v>150</v>
      </c>
      <c r="AC4" s="146">
        <f>(Z4+AB4)/2</f>
        <v>250</v>
      </c>
      <c r="AD4" s="146">
        <f>IF(AA4&gt;Z4,Z4-AA4,0)</f>
        <v>0</v>
      </c>
      <c r="AE4" s="145">
        <f>AB4</f>
        <v>150</v>
      </c>
      <c r="AF4" s="145">
        <v>150</v>
      </c>
      <c r="AG4" s="145">
        <f>IF(AF4&gt;AE4,0,AE4-AF4)</f>
        <v>0</v>
      </c>
      <c r="AH4" s="145">
        <f>(AE4+AG4)/2</f>
        <v>75</v>
      </c>
      <c r="AI4" s="145">
        <f>IF(AF4&gt;AE4,AE4-AF4,0)</f>
        <v>0</v>
      </c>
      <c r="AJ4" s="146">
        <f>AG4</f>
        <v>0</v>
      </c>
      <c r="AK4" s="146">
        <v>150</v>
      </c>
      <c r="AL4" s="146">
        <f>IF(AK4&gt;AJ4,0,AJ4-AK4)</f>
        <v>0</v>
      </c>
      <c r="AM4" s="146">
        <f>(AJ4+AL4)/2</f>
        <v>0</v>
      </c>
      <c r="AN4" s="146">
        <f>IF(AK4&gt;AJ4,AJ4-AK4,0)</f>
        <v>-150</v>
      </c>
      <c r="AO4" s="145">
        <f>AL4</f>
        <v>0</v>
      </c>
      <c r="AP4" s="145">
        <v>300</v>
      </c>
      <c r="AQ4" s="145">
        <f>IF(AP4&gt;AO4,0,AO4-AP4)</f>
        <v>0</v>
      </c>
      <c r="AR4" s="145">
        <f>(AO4+AQ4)/2</f>
        <v>0</v>
      </c>
      <c r="AS4" s="145">
        <f>IF(AP4&gt;AO4,AO4-AP4,0)</f>
        <v>-300</v>
      </c>
      <c r="AT4" s="144">
        <f>(N4+S4++X4+AC4+AH4+AM4+AR4)*(10/7)</f>
        <v>500</v>
      </c>
      <c r="AU4" s="144">
        <v>200</v>
      </c>
      <c r="AV4" s="144">
        <f>(O4+T4+Y4+AD4+AI4+AN4+AS4)*50*-1</f>
        <v>50000</v>
      </c>
      <c r="AW4" s="144">
        <f>AT4+AU4+AV4</f>
        <v>50700</v>
      </c>
    </row>
    <row r="5" spans="2:50" s="147" customFormat="1" x14ac:dyDescent="0.25">
      <c r="E5" s="160"/>
      <c r="F5" s="160"/>
      <c r="G5" s="160"/>
      <c r="H5" s="17"/>
      <c r="I5" s="144">
        <v>350</v>
      </c>
      <c r="J5" s="152">
        <v>1</v>
      </c>
      <c r="K5" s="145">
        <f>AQ4</f>
        <v>0</v>
      </c>
      <c r="L5" s="145">
        <v>150</v>
      </c>
      <c r="M5" s="145">
        <f>IF(L5&gt;K5,0,K5-L5)</f>
        <v>0</v>
      </c>
      <c r="N5" s="145">
        <f>(K5+M5)/2</f>
        <v>0</v>
      </c>
      <c r="O5" s="145">
        <f t="shared" ref="O5:O7" si="0">IF(L5&gt;K5,K5-L5,0)</f>
        <v>-150</v>
      </c>
      <c r="P5" s="146">
        <f>M5</f>
        <v>0</v>
      </c>
      <c r="Q5" s="146">
        <v>200</v>
      </c>
      <c r="R5" s="146">
        <f>IF(Q5&gt;P5,0,P5-Q5)</f>
        <v>0</v>
      </c>
      <c r="S5" s="146">
        <f>(P5+R5)/2</f>
        <v>0</v>
      </c>
      <c r="T5" s="146">
        <f t="shared" ref="T5:T7" si="1">IF(Q5&gt;P5,P5-Q5,0)</f>
        <v>-200</v>
      </c>
      <c r="U5" s="145">
        <f t="shared" ref="U5" si="2">R5</f>
        <v>0</v>
      </c>
      <c r="V5" s="145">
        <v>100</v>
      </c>
      <c r="W5" s="145">
        <f>IF(V5&gt;U5,0,U5-V5)</f>
        <v>0</v>
      </c>
      <c r="X5" s="145">
        <f>(U5+W5)/2</f>
        <v>0</v>
      </c>
      <c r="Y5" s="145">
        <f t="shared" ref="Y5:Y7" si="3">IF(V5&gt;U5,U5-V5,0)</f>
        <v>-100</v>
      </c>
      <c r="Z5" s="146">
        <f t="shared" ref="Z5" si="4">W5+350</f>
        <v>350</v>
      </c>
      <c r="AA5" s="146">
        <v>100</v>
      </c>
      <c r="AB5" s="146">
        <f>IF(AA5&gt;Z5,0,Z5-AA5)</f>
        <v>250</v>
      </c>
      <c r="AC5" s="146">
        <f>(Z5+AB5)/2</f>
        <v>300</v>
      </c>
      <c r="AD5" s="146">
        <f t="shared" ref="AD5:AD7" si="5">IF(AA5&gt;Z5,Z5-AA5,0)</f>
        <v>0</v>
      </c>
      <c r="AE5" s="145">
        <f t="shared" ref="AE5:AE7" si="6">AB5</f>
        <v>250</v>
      </c>
      <c r="AF5" s="145">
        <v>200</v>
      </c>
      <c r="AG5" s="145">
        <f>IF(AF5&gt;AE5,0,AE5-AF5)</f>
        <v>50</v>
      </c>
      <c r="AH5" s="145">
        <f>(AE5+AG5)/2</f>
        <v>150</v>
      </c>
      <c r="AI5" s="145">
        <f t="shared" ref="AI5:AI7" si="7">IF(AF5&gt;AE5,AE5-AF5,0)</f>
        <v>0</v>
      </c>
      <c r="AJ5" s="146">
        <f t="shared" ref="AJ5:AJ7" si="8">AG5</f>
        <v>50</v>
      </c>
      <c r="AK5" s="146">
        <v>200</v>
      </c>
      <c r="AL5" s="146">
        <f>IF(AK5&gt;AJ5,0,AJ5-AK5)</f>
        <v>0</v>
      </c>
      <c r="AM5" s="146">
        <f>(AJ5+AL5)/2</f>
        <v>25</v>
      </c>
      <c r="AN5" s="146">
        <f t="shared" ref="AN5:AN7" si="9">IF(AK5&gt;AJ5,AJ5-AK5,0)</f>
        <v>-150</v>
      </c>
      <c r="AO5" s="145">
        <f t="shared" ref="AO5:AO7" si="10">AL5</f>
        <v>0</v>
      </c>
      <c r="AP5" s="145">
        <v>200</v>
      </c>
      <c r="AQ5" s="145">
        <f>IF(AP5&gt;AO5,0,AO5-AP5)</f>
        <v>0</v>
      </c>
      <c r="AR5" s="145">
        <f>(AO5+AQ5)/2</f>
        <v>0</v>
      </c>
      <c r="AS5" s="145">
        <f t="shared" ref="AS5:AS7" si="11">IF(AP5&gt;AO5,AO5-AP5,0)</f>
        <v>-200</v>
      </c>
      <c r="AT5" s="144">
        <f>(N5+S5++X5+AC5+AH5+AM5+AR5)*(10/7)</f>
        <v>678.57142857142856</v>
      </c>
      <c r="AU5" s="144">
        <v>200</v>
      </c>
      <c r="AV5" s="144">
        <f t="shared" ref="AV5:AV7" si="12">(O5+T5+Y5+AD5+AI5+AN5+AS5)*50*-1</f>
        <v>40000</v>
      </c>
      <c r="AW5" s="144">
        <f t="shared" ref="AW5:AW7" si="13">AT5+AU5+AV5</f>
        <v>40878.571428571428</v>
      </c>
    </row>
    <row r="6" spans="2:50" s="150" customFormat="1" x14ac:dyDescent="0.25">
      <c r="E6" s="160"/>
      <c r="F6" s="160"/>
      <c r="G6" s="160"/>
      <c r="H6" s="17"/>
      <c r="I6" s="144">
        <v>350</v>
      </c>
      <c r="J6" s="151">
        <v>2</v>
      </c>
      <c r="K6" s="145">
        <f t="shared" ref="K6:K7" si="14">AQ5</f>
        <v>0</v>
      </c>
      <c r="L6" s="148">
        <v>150</v>
      </c>
      <c r="M6" s="145">
        <f>IF(L6&gt;K6,0,K6-L6)</f>
        <v>0</v>
      </c>
      <c r="N6" s="145">
        <f>(K6+M6)/2</f>
        <v>0</v>
      </c>
      <c r="O6" s="145">
        <f t="shared" si="0"/>
        <v>-150</v>
      </c>
      <c r="P6" s="146">
        <f t="shared" ref="P6:P7" si="15">M6</f>
        <v>0</v>
      </c>
      <c r="Q6" s="149">
        <v>250</v>
      </c>
      <c r="R6" s="146">
        <f>IF(Q6&gt;P6,0,P6-Q6)</f>
        <v>0</v>
      </c>
      <c r="S6" s="146">
        <f>(P6+R6)/2</f>
        <v>0</v>
      </c>
      <c r="T6" s="146">
        <f t="shared" si="1"/>
        <v>-250</v>
      </c>
      <c r="U6" s="145">
        <f>R6+350</f>
        <v>350</v>
      </c>
      <c r="V6" s="148">
        <v>200</v>
      </c>
      <c r="W6" s="145">
        <f>IF(V6&gt;U6,0,U6-V6)</f>
        <v>150</v>
      </c>
      <c r="X6" s="145">
        <f>(U6+W6)/2</f>
        <v>250</v>
      </c>
      <c r="Y6" s="145">
        <f t="shared" si="3"/>
        <v>0</v>
      </c>
      <c r="Z6" s="146">
        <f>W6</f>
        <v>150</v>
      </c>
      <c r="AA6" s="149">
        <v>150</v>
      </c>
      <c r="AB6" s="146">
        <f>IF(AA6&gt;Z6,0,Z6-AA6)</f>
        <v>0</v>
      </c>
      <c r="AC6" s="146">
        <f>(Z6+AB6)/2</f>
        <v>75</v>
      </c>
      <c r="AD6" s="146">
        <f t="shared" si="5"/>
        <v>0</v>
      </c>
      <c r="AE6" s="145">
        <f t="shared" si="6"/>
        <v>0</v>
      </c>
      <c r="AF6" s="148">
        <v>200</v>
      </c>
      <c r="AG6" s="145">
        <f>IF(AF6&gt;AE6,0,AE6-AF6)</f>
        <v>0</v>
      </c>
      <c r="AH6" s="145">
        <f>(AE6+AG6)/2</f>
        <v>0</v>
      </c>
      <c r="AI6" s="145">
        <f t="shared" si="7"/>
        <v>-200</v>
      </c>
      <c r="AJ6" s="146">
        <f t="shared" si="8"/>
        <v>0</v>
      </c>
      <c r="AK6" s="149">
        <v>300</v>
      </c>
      <c r="AL6" s="146">
        <f>IF(AK6&gt;AJ6,0,AJ6-AK6)</f>
        <v>0</v>
      </c>
      <c r="AM6" s="146">
        <f>(AJ6+AL6)/2</f>
        <v>0</v>
      </c>
      <c r="AN6" s="146">
        <f t="shared" si="9"/>
        <v>-300</v>
      </c>
      <c r="AO6" s="145">
        <f t="shared" si="10"/>
        <v>0</v>
      </c>
      <c r="AP6" s="148">
        <v>150</v>
      </c>
      <c r="AQ6" s="145">
        <f>IF(AP6&gt;AO6,0,AO6-AP6)</f>
        <v>0</v>
      </c>
      <c r="AR6" s="145">
        <f>(AO6+AQ6)/2</f>
        <v>0</v>
      </c>
      <c r="AS6" s="145">
        <f t="shared" si="11"/>
        <v>-150</v>
      </c>
      <c r="AT6" s="144">
        <f>(N6+S6++X6+AC6+AH6+AM6+AR6)*(10/7)</f>
        <v>464.28571428571428</v>
      </c>
      <c r="AU6" s="144">
        <v>200</v>
      </c>
      <c r="AV6" s="144">
        <f t="shared" si="12"/>
        <v>52500</v>
      </c>
      <c r="AW6" s="144">
        <f t="shared" si="13"/>
        <v>53164.285714285717</v>
      </c>
    </row>
    <row r="7" spans="2:50" s="147" customFormat="1" x14ac:dyDescent="0.25">
      <c r="E7" s="160"/>
      <c r="F7" s="160"/>
      <c r="G7" s="160"/>
      <c r="H7" s="17"/>
      <c r="I7" s="144">
        <v>350</v>
      </c>
      <c r="J7" s="151">
        <v>2</v>
      </c>
      <c r="K7" s="145">
        <f t="shared" si="14"/>
        <v>0</v>
      </c>
      <c r="L7" s="145">
        <v>200</v>
      </c>
      <c r="M7" s="145">
        <f>IF(L7&gt;K7,0,K7-L7)</f>
        <v>0</v>
      </c>
      <c r="N7" s="145">
        <f>(K7+M7)/2</f>
        <v>0</v>
      </c>
      <c r="O7" s="145">
        <f t="shared" si="0"/>
        <v>-200</v>
      </c>
      <c r="P7" s="146">
        <f t="shared" si="15"/>
        <v>0</v>
      </c>
      <c r="Q7" s="146">
        <v>200</v>
      </c>
      <c r="R7" s="146">
        <f>IF(Q7&gt;P7,0,P7-Q7)</f>
        <v>0</v>
      </c>
      <c r="S7" s="146">
        <f>(P7+R7)/2</f>
        <v>0</v>
      </c>
      <c r="T7" s="146">
        <f t="shared" si="1"/>
        <v>-200</v>
      </c>
      <c r="U7" s="145">
        <f>R7+350</f>
        <v>350</v>
      </c>
      <c r="V7" s="145">
        <v>150</v>
      </c>
      <c r="W7" s="145">
        <f>IF(V7&gt;U7,0,U7-V7)</f>
        <v>200</v>
      </c>
      <c r="X7" s="145">
        <f>(U7+W7)/2</f>
        <v>275</v>
      </c>
      <c r="Y7" s="145">
        <f t="shared" si="3"/>
        <v>0</v>
      </c>
      <c r="Z7" s="146">
        <f>W7</f>
        <v>200</v>
      </c>
      <c r="AA7" s="146">
        <v>250</v>
      </c>
      <c r="AB7" s="146">
        <f>IF(AA7&gt;Z7,0,Z7-AA7)</f>
        <v>0</v>
      </c>
      <c r="AC7" s="146">
        <f>(Z7+AB7)/2</f>
        <v>100</v>
      </c>
      <c r="AD7" s="146">
        <f t="shared" si="5"/>
        <v>-50</v>
      </c>
      <c r="AE7" s="145">
        <f t="shared" si="6"/>
        <v>0</v>
      </c>
      <c r="AF7" s="145">
        <v>150</v>
      </c>
      <c r="AG7" s="145">
        <f>IF(AF7&gt;AE7,0,AE7-AF7)</f>
        <v>0</v>
      </c>
      <c r="AH7" s="145">
        <f>(AE7+AG7)/2</f>
        <v>0</v>
      </c>
      <c r="AI7" s="145">
        <f t="shared" si="7"/>
        <v>-150</v>
      </c>
      <c r="AJ7" s="146">
        <f t="shared" si="8"/>
        <v>0</v>
      </c>
      <c r="AK7" s="146">
        <v>300</v>
      </c>
      <c r="AL7" s="146">
        <f>IF(AK7&gt;AJ7,0,AJ7-AK7)</f>
        <v>0</v>
      </c>
      <c r="AM7" s="146">
        <f>(AJ7+AL7)/2</f>
        <v>0</v>
      </c>
      <c r="AN7" s="146">
        <f t="shared" si="9"/>
        <v>-300</v>
      </c>
      <c r="AO7" s="145">
        <f t="shared" si="10"/>
        <v>0</v>
      </c>
      <c r="AP7" s="145">
        <v>200</v>
      </c>
      <c r="AQ7" s="145">
        <f>IF(AP7&gt;AO7,0,AO7-AP7)</f>
        <v>0</v>
      </c>
      <c r="AR7" s="145">
        <f>(AO7+AQ7)/2</f>
        <v>0</v>
      </c>
      <c r="AS7" s="145">
        <f t="shared" si="11"/>
        <v>-200</v>
      </c>
      <c r="AT7" s="144">
        <f>(N7+S7++X7+AC7+AH7+AM7+AR7)*(10/7)</f>
        <v>535.71428571428578</v>
      </c>
      <c r="AU7" s="144">
        <v>200</v>
      </c>
      <c r="AV7" s="144">
        <f t="shared" si="12"/>
        <v>55000</v>
      </c>
      <c r="AW7" s="144">
        <f t="shared" si="13"/>
        <v>55735.714285714283</v>
      </c>
    </row>
    <row r="8" spans="2:50" x14ac:dyDescent="0.25">
      <c r="B8" s="17"/>
      <c r="C8" s="17"/>
      <c r="D8" s="17"/>
      <c r="E8" s="157"/>
      <c r="F8" s="158"/>
      <c r="G8" s="158"/>
      <c r="H8" s="63"/>
      <c r="I8" s="63"/>
      <c r="J8" s="76"/>
      <c r="K8" s="63"/>
      <c r="L8" s="63"/>
      <c r="M8" s="63"/>
      <c r="P8" s="63"/>
      <c r="Q8" s="63"/>
      <c r="R8" s="63"/>
      <c r="AW8" s="170">
        <f>SUM(AW4:AW7)</f>
        <v>200478.57142857142</v>
      </c>
      <c r="AX8" s="138" t="s">
        <v>81</v>
      </c>
    </row>
    <row r="9" spans="2:50" x14ac:dyDescent="0.25">
      <c r="B9" s="17"/>
      <c r="C9" s="17"/>
      <c r="D9" s="17"/>
      <c r="E9" s="157"/>
      <c r="F9" s="158"/>
      <c r="G9" s="158"/>
      <c r="K9" s="76"/>
      <c r="L9" s="76"/>
      <c r="M9" s="76"/>
      <c r="O9" s="63"/>
      <c r="P9" s="76"/>
      <c r="Q9" s="76"/>
      <c r="R9" s="76"/>
      <c r="S9" s="76"/>
      <c r="T9" s="63"/>
      <c r="U9" s="63"/>
    </row>
    <row r="10" spans="2:50" x14ac:dyDescent="0.25">
      <c r="B10" s="157"/>
      <c r="C10" s="158"/>
      <c r="D10" s="158"/>
      <c r="E10" s="84"/>
      <c r="H10" s="63"/>
      <c r="M10" s="63"/>
    </row>
    <row r="11" spans="2:50" x14ac:dyDescent="0.25">
      <c r="B11" s="157"/>
      <c r="C11" s="158"/>
      <c r="D11" s="158"/>
      <c r="E11" s="84"/>
      <c r="H11" s="76"/>
      <c r="I11" s="76"/>
      <c r="J11" s="76"/>
      <c r="L11" s="63"/>
      <c r="M11" s="76"/>
      <c r="N11" s="76"/>
      <c r="O11" s="76"/>
      <c r="P11" s="76"/>
      <c r="Q11" s="63"/>
      <c r="R11" s="63"/>
    </row>
    <row r="12" spans="2:50" x14ac:dyDescent="0.25">
      <c r="B12" s="157"/>
      <c r="C12" s="158"/>
      <c r="D12" s="158"/>
      <c r="E12" s="84"/>
      <c r="H12" s="63"/>
      <c r="I12" s="76"/>
      <c r="J12" s="76"/>
      <c r="K12" s="76"/>
      <c r="L12" s="76"/>
      <c r="M12" s="63"/>
      <c r="N12" s="76"/>
      <c r="O12" s="76"/>
      <c r="P12" s="76"/>
      <c r="Q12" s="76"/>
      <c r="R12" s="63"/>
      <c r="S12" s="63"/>
      <c r="T12" s="63"/>
    </row>
    <row r="13" spans="2:50" ht="14.25" customHeight="1" x14ac:dyDescent="0.25">
      <c r="B13" s="157"/>
      <c r="C13" s="158"/>
      <c r="D13" s="158"/>
      <c r="E13" s="84"/>
      <c r="H13" s="63"/>
      <c r="I13" s="76"/>
      <c r="J13" s="76"/>
      <c r="K13" s="76"/>
      <c r="L13" s="76"/>
      <c r="M13" s="63"/>
      <c r="N13" s="76"/>
      <c r="O13" s="76"/>
      <c r="P13" s="76"/>
      <c r="Q13" s="76"/>
      <c r="R13" s="63"/>
      <c r="S13" s="63"/>
      <c r="T13" s="63"/>
    </row>
    <row r="14" spans="2:50" ht="12" customHeight="1" x14ac:dyDescent="0.25">
      <c r="B14" s="157"/>
      <c r="C14" s="158"/>
      <c r="D14" s="158"/>
      <c r="E14" s="84"/>
      <c r="H14" s="63"/>
      <c r="I14" s="76"/>
      <c r="J14" s="76"/>
      <c r="K14" s="76"/>
      <c r="L14" s="76"/>
      <c r="M14" s="63"/>
      <c r="N14" s="76"/>
      <c r="O14" s="76"/>
      <c r="P14" s="76"/>
      <c r="Q14" s="76"/>
      <c r="R14" s="63"/>
      <c r="S14" s="63"/>
      <c r="T14" s="63"/>
    </row>
    <row r="15" spans="2:50" x14ac:dyDescent="0.25">
      <c r="B15" s="157"/>
      <c r="C15" s="158"/>
      <c r="D15" s="158"/>
      <c r="E15" s="84"/>
      <c r="H15" s="63"/>
      <c r="I15" s="76"/>
      <c r="J15" s="76"/>
      <c r="K15" s="76"/>
      <c r="L15" s="76"/>
      <c r="M15" s="63"/>
      <c r="N15" s="76"/>
      <c r="O15" s="76"/>
      <c r="P15" s="76"/>
      <c r="Q15" s="76"/>
      <c r="R15" s="63"/>
      <c r="S15" s="63"/>
      <c r="T15" s="63"/>
    </row>
    <row r="16" spans="2:50" x14ac:dyDescent="0.25">
      <c r="B16" s="157"/>
      <c r="C16" s="158"/>
      <c r="D16" s="158"/>
      <c r="E16" s="84"/>
      <c r="H16" s="63"/>
      <c r="I16" s="76"/>
      <c r="J16" s="76"/>
      <c r="K16" s="76"/>
      <c r="L16" s="76"/>
      <c r="M16" s="63"/>
      <c r="N16" s="76"/>
      <c r="O16" s="76"/>
      <c r="P16" s="76"/>
      <c r="Q16" s="76"/>
      <c r="R16" s="63"/>
      <c r="S16" s="63"/>
      <c r="T16" s="63"/>
    </row>
    <row r="17" spans="2:50" x14ac:dyDescent="0.25">
      <c r="B17" s="157"/>
      <c r="C17" s="158"/>
      <c r="D17" s="158"/>
      <c r="E17" s="84"/>
      <c r="H17" s="63"/>
      <c r="I17" s="76"/>
      <c r="J17" s="76"/>
      <c r="K17" s="76"/>
      <c r="L17" s="76"/>
      <c r="M17" s="63"/>
      <c r="N17" s="76"/>
      <c r="O17" s="76"/>
      <c r="P17" s="76"/>
      <c r="Q17" s="76"/>
      <c r="R17" s="63"/>
      <c r="S17" s="63"/>
      <c r="T17" s="63"/>
    </row>
    <row r="18" spans="2:50" x14ac:dyDescent="0.25">
      <c r="B18" s="157"/>
      <c r="C18" s="158"/>
      <c r="D18" s="158"/>
      <c r="E18" s="84"/>
      <c r="H18" s="63"/>
      <c r="I18" s="76"/>
      <c r="J18" s="76"/>
      <c r="K18" s="76"/>
      <c r="L18" s="76"/>
      <c r="M18" s="63"/>
      <c r="N18" s="76"/>
      <c r="O18" s="76"/>
      <c r="P18" s="76"/>
      <c r="Q18" s="76"/>
      <c r="R18" s="63"/>
      <c r="S18" s="63"/>
      <c r="T18" s="63"/>
    </row>
    <row r="19" spans="2:50" x14ac:dyDescent="0.25">
      <c r="B19" s="157"/>
      <c r="C19" s="158"/>
      <c r="D19" s="158"/>
      <c r="E19" s="84"/>
      <c r="H19" s="63"/>
      <c r="I19" s="76"/>
      <c r="J19" s="76"/>
      <c r="K19" s="76"/>
      <c r="L19" s="76"/>
      <c r="M19" s="63"/>
      <c r="N19" s="76"/>
      <c r="O19" s="76"/>
      <c r="P19" s="76"/>
      <c r="Q19" s="76"/>
      <c r="R19" s="63"/>
      <c r="S19" s="63"/>
      <c r="T19" s="63"/>
    </row>
    <row r="20" spans="2:50" x14ac:dyDescent="0.25">
      <c r="B20" s="157"/>
      <c r="C20" s="158"/>
      <c r="D20" s="158"/>
      <c r="E20" s="84"/>
      <c r="H20" s="63"/>
      <c r="I20" s="76"/>
      <c r="J20" s="76"/>
      <c r="K20" s="17" t="s">
        <v>216</v>
      </c>
      <c r="L20" s="76"/>
      <c r="M20" s="63"/>
      <c r="N20" s="76"/>
      <c r="O20" s="76"/>
      <c r="P20" s="17" t="s">
        <v>216</v>
      </c>
      <c r="Q20" s="76"/>
      <c r="R20" s="63"/>
      <c r="S20" s="63"/>
      <c r="T20" s="63"/>
      <c r="U20" s="17" t="s">
        <v>217</v>
      </c>
      <c r="Z20" s="17" t="s">
        <v>217</v>
      </c>
    </row>
    <row r="21" spans="2:50" x14ac:dyDescent="0.25">
      <c r="B21" s="157"/>
      <c r="C21" s="158"/>
      <c r="D21" s="158"/>
      <c r="E21" s="84"/>
      <c r="H21" s="63"/>
      <c r="I21" s="76"/>
      <c r="J21" s="76"/>
      <c r="K21" s="76"/>
      <c r="L21" s="76"/>
      <c r="M21" s="63"/>
      <c r="N21" s="76"/>
      <c r="O21" s="76"/>
      <c r="P21" s="76"/>
      <c r="Q21" s="76"/>
      <c r="R21" s="63"/>
      <c r="S21" s="63"/>
      <c r="T21" s="63"/>
    </row>
    <row r="22" spans="2:50" x14ac:dyDescent="0.25">
      <c r="B22" s="157"/>
      <c r="C22" s="158"/>
      <c r="D22" s="158"/>
      <c r="E22" s="84"/>
      <c r="J22" s="62" t="s">
        <v>141</v>
      </c>
      <c r="K22" s="289" t="s">
        <v>189</v>
      </c>
      <c r="L22" s="289"/>
      <c r="M22" s="289"/>
      <c r="N22" s="289"/>
      <c r="O22" s="289"/>
      <c r="P22" s="289" t="s">
        <v>206</v>
      </c>
      <c r="Q22" s="289"/>
      <c r="R22" s="289"/>
      <c r="S22" s="289"/>
      <c r="T22" s="289"/>
      <c r="U22" s="289" t="s">
        <v>207</v>
      </c>
      <c r="V22" s="289"/>
      <c r="W22" s="289"/>
      <c r="X22" s="289"/>
      <c r="Y22" s="289"/>
      <c r="Z22" s="289" t="s">
        <v>208</v>
      </c>
      <c r="AA22" s="289"/>
      <c r="AB22" s="289"/>
      <c r="AC22" s="289"/>
      <c r="AD22" s="289"/>
      <c r="AE22" s="289" t="s">
        <v>209</v>
      </c>
      <c r="AF22" s="289"/>
      <c r="AG22" s="289"/>
      <c r="AH22" s="289"/>
      <c r="AI22" s="289"/>
      <c r="AJ22" s="289" t="s">
        <v>210</v>
      </c>
      <c r="AK22" s="289"/>
      <c r="AL22" s="289"/>
      <c r="AM22" s="289"/>
      <c r="AN22" s="289"/>
      <c r="AO22" s="289" t="s">
        <v>211</v>
      </c>
      <c r="AP22" s="289"/>
      <c r="AQ22" s="289"/>
      <c r="AR22" s="289"/>
      <c r="AS22" s="289"/>
    </row>
    <row r="23" spans="2:50" s="58" customFormat="1" x14ac:dyDescent="0.25">
      <c r="B23" s="157"/>
      <c r="C23" s="158"/>
      <c r="D23" s="158"/>
      <c r="E23" s="84"/>
      <c r="F23" s="17"/>
      <c r="G23" s="17"/>
      <c r="H23" s="78"/>
      <c r="I23" s="17"/>
      <c r="J23" s="17"/>
      <c r="K23" s="153" t="s">
        <v>205</v>
      </c>
      <c r="L23" s="153" t="s">
        <v>11</v>
      </c>
      <c r="M23" s="154" t="s">
        <v>75</v>
      </c>
      <c r="N23" s="153" t="s">
        <v>203</v>
      </c>
      <c r="O23" s="153" t="s">
        <v>204</v>
      </c>
      <c r="P23" s="155" t="s">
        <v>152</v>
      </c>
      <c r="Q23" s="155" t="s">
        <v>11</v>
      </c>
      <c r="R23" s="156" t="s">
        <v>75</v>
      </c>
      <c r="S23" s="155" t="s">
        <v>203</v>
      </c>
      <c r="T23" s="155" t="s">
        <v>204</v>
      </c>
      <c r="U23" s="153" t="s">
        <v>205</v>
      </c>
      <c r="V23" s="153" t="s">
        <v>11</v>
      </c>
      <c r="W23" s="154" t="s">
        <v>75</v>
      </c>
      <c r="X23" s="153" t="s">
        <v>203</v>
      </c>
      <c r="Y23" s="153" t="s">
        <v>204</v>
      </c>
      <c r="Z23" s="155" t="s">
        <v>152</v>
      </c>
      <c r="AA23" s="155" t="s">
        <v>11</v>
      </c>
      <c r="AB23" s="156" t="s">
        <v>75</v>
      </c>
      <c r="AC23" s="155" t="s">
        <v>203</v>
      </c>
      <c r="AD23" s="155" t="s">
        <v>204</v>
      </c>
      <c r="AE23" s="153" t="s">
        <v>205</v>
      </c>
      <c r="AF23" s="153" t="s">
        <v>11</v>
      </c>
      <c r="AG23" s="154" t="s">
        <v>75</v>
      </c>
      <c r="AH23" s="153" t="s">
        <v>203</v>
      </c>
      <c r="AI23" s="153" t="s">
        <v>204</v>
      </c>
      <c r="AJ23" s="155" t="s">
        <v>152</v>
      </c>
      <c r="AK23" s="155" t="s">
        <v>11</v>
      </c>
      <c r="AL23" s="156" t="s">
        <v>75</v>
      </c>
      <c r="AM23" s="155" t="s">
        <v>203</v>
      </c>
      <c r="AN23" s="155" t="s">
        <v>204</v>
      </c>
      <c r="AO23" s="153" t="s">
        <v>205</v>
      </c>
      <c r="AP23" s="153" t="s">
        <v>11</v>
      </c>
      <c r="AQ23" s="154" t="s">
        <v>75</v>
      </c>
      <c r="AR23" s="153" t="s">
        <v>203</v>
      </c>
      <c r="AS23" s="153" t="s">
        <v>204</v>
      </c>
      <c r="AT23" s="143" t="s">
        <v>192</v>
      </c>
      <c r="AU23" s="141" t="s">
        <v>193</v>
      </c>
      <c r="AV23" s="141" t="s">
        <v>194</v>
      </c>
      <c r="AW23" s="141" t="s">
        <v>195</v>
      </c>
      <c r="AX23" s="78"/>
    </row>
    <row r="24" spans="2:50" s="58" customFormat="1" x14ac:dyDescent="0.25">
      <c r="B24" s="157"/>
      <c r="C24" s="158"/>
      <c r="D24" s="158"/>
      <c r="E24" s="84"/>
      <c r="F24" s="17"/>
      <c r="G24" s="17"/>
      <c r="H24" s="17"/>
      <c r="I24" s="17"/>
      <c r="J24" s="17"/>
      <c r="K24" s="145">
        <v>50</v>
      </c>
      <c r="L24" s="145">
        <v>150</v>
      </c>
      <c r="M24" s="145">
        <f>IF(L24&gt;K24,0,K24-L24)</f>
        <v>0</v>
      </c>
      <c r="N24" s="145">
        <f>(K24+M24)/2</f>
        <v>25</v>
      </c>
      <c r="O24" s="145">
        <f>IF(L24&gt;K24,K24-L24,0)</f>
        <v>-100</v>
      </c>
      <c r="P24" s="146">
        <f>M24</f>
        <v>0</v>
      </c>
      <c r="Q24" s="146">
        <v>150</v>
      </c>
      <c r="R24" s="146">
        <f>IF(Q24&gt;P24,0,P24-Q24)</f>
        <v>0</v>
      </c>
      <c r="S24" s="146">
        <f>(P24+R24)/2</f>
        <v>0</v>
      </c>
      <c r="T24" s="146">
        <f>IF(Q24&gt;P24,P24-Q24,0)</f>
        <v>-150</v>
      </c>
      <c r="U24" s="145">
        <f>R24</f>
        <v>0</v>
      </c>
      <c r="V24" s="145">
        <v>300</v>
      </c>
      <c r="W24" s="145">
        <f>IF(V24&gt;U24,0,U24-V24)</f>
        <v>0</v>
      </c>
      <c r="X24" s="145">
        <f>(U24+W24)/2</f>
        <v>0</v>
      </c>
      <c r="Y24" s="145">
        <f>IF(V24&gt;U24,U24-V24,0)</f>
        <v>-300</v>
      </c>
      <c r="Z24" s="146">
        <f>W24+500</f>
        <v>500</v>
      </c>
      <c r="AA24" s="146">
        <v>200</v>
      </c>
      <c r="AB24" s="146">
        <f>IF(AA24&gt;Z24,0,Z24-AA24)</f>
        <v>300</v>
      </c>
      <c r="AC24" s="146">
        <f>(Z24+AB24)/2</f>
        <v>400</v>
      </c>
      <c r="AD24" s="146">
        <f>IF(AA24&gt;Z24,Z24-AA24,0)</f>
        <v>0</v>
      </c>
      <c r="AE24" s="145">
        <f>AB24+500+500</f>
        <v>1300</v>
      </c>
      <c r="AF24" s="145">
        <v>150</v>
      </c>
      <c r="AG24" s="145">
        <f>IF(AF24&gt;AE24,0,AE24-AF24)</f>
        <v>1150</v>
      </c>
      <c r="AH24" s="145">
        <f>(AE24+AG24)/2</f>
        <v>1225</v>
      </c>
      <c r="AI24" s="145">
        <f>IF(AF24&gt;AE24,AE24-AF24,0)</f>
        <v>0</v>
      </c>
      <c r="AJ24" s="146">
        <f>AG24+500</f>
        <v>1650</v>
      </c>
      <c r="AK24" s="146">
        <v>150</v>
      </c>
      <c r="AL24" s="146">
        <f>IF(AK24&gt;AJ24,0,AJ24-AK24)</f>
        <v>1500</v>
      </c>
      <c r="AM24" s="146">
        <f>(AJ24+AL24)/2</f>
        <v>1575</v>
      </c>
      <c r="AN24" s="146">
        <f>IF(AK24&gt;AJ24,AJ24-AK24,0)</f>
        <v>0</v>
      </c>
      <c r="AO24" s="145">
        <f>AL24</f>
        <v>1500</v>
      </c>
      <c r="AP24" s="145">
        <v>300</v>
      </c>
      <c r="AQ24" s="145">
        <f>IF(AP24&gt;AO24,0,AO24-AP24)</f>
        <v>1200</v>
      </c>
      <c r="AR24" s="145">
        <f>(AO24+AQ24)/2</f>
        <v>1350</v>
      </c>
      <c r="AS24" s="145">
        <f>IF(AP24&gt;AO24,AO24-AP24,0)</f>
        <v>0</v>
      </c>
      <c r="AT24" s="144">
        <f>(N24+S24++X24+AC24+AH24+AM24+AR24)*(10/7)</f>
        <v>6535.7142857142862</v>
      </c>
      <c r="AU24" s="144">
        <v>200</v>
      </c>
      <c r="AV24" s="144">
        <f>(O24+T24+Y24+AD24+AI24+AN24+AS24)*50*-1</f>
        <v>27500</v>
      </c>
      <c r="AW24" s="144">
        <f>AT24+AU24+AV24</f>
        <v>34235.71428571429</v>
      </c>
      <c r="AX24" s="147"/>
    </row>
    <row r="25" spans="2:50" s="58" customFormat="1" x14ac:dyDescent="0.25">
      <c r="B25" s="157"/>
      <c r="C25" s="158"/>
      <c r="D25" s="158"/>
      <c r="E25" s="84"/>
      <c r="F25" s="17"/>
      <c r="G25" s="17"/>
      <c r="H25" s="17"/>
      <c r="I25" s="17"/>
      <c r="J25" s="17"/>
      <c r="K25" s="145">
        <f>AQ24</f>
        <v>1200</v>
      </c>
      <c r="L25" s="145">
        <v>150</v>
      </c>
      <c r="M25" s="145">
        <f>IF(L25&gt;K25,0,K25-L25)</f>
        <v>1050</v>
      </c>
      <c r="N25" s="145">
        <f>(K25+M25)/2</f>
        <v>1125</v>
      </c>
      <c r="O25" s="145">
        <f t="shared" ref="O25" si="16">IF(L25&gt;K25,K25-L25,0)</f>
        <v>0</v>
      </c>
      <c r="P25" s="146">
        <f>M25</f>
        <v>1050</v>
      </c>
      <c r="Q25" s="146">
        <v>200</v>
      </c>
      <c r="R25" s="146">
        <f>IF(Q25&gt;P25,0,P25-Q25)</f>
        <v>850</v>
      </c>
      <c r="S25" s="146">
        <f>(P25+R25)/2</f>
        <v>950</v>
      </c>
      <c r="T25" s="146">
        <f t="shared" ref="T25" si="17">IF(Q25&gt;P25,P25-Q25,0)</f>
        <v>0</v>
      </c>
      <c r="U25" s="145">
        <f t="shared" ref="U25" si="18">R25</f>
        <v>850</v>
      </c>
      <c r="V25" s="145">
        <v>100</v>
      </c>
      <c r="W25" s="145">
        <f>IF(V25&gt;U25,0,U25-V25)</f>
        <v>750</v>
      </c>
      <c r="X25" s="145">
        <f>(U25+W25)/2</f>
        <v>800</v>
      </c>
      <c r="Y25" s="145">
        <f t="shared" ref="Y25" si="19">IF(V25&gt;U25,U25-V25,0)</f>
        <v>0</v>
      </c>
      <c r="Z25" s="146">
        <f t="shared" ref="Z25" si="20">W25+350</f>
        <v>1100</v>
      </c>
      <c r="AA25" s="146">
        <v>100</v>
      </c>
      <c r="AB25" s="146">
        <f>IF(AA25&gt;Z25,0,Z25-AA25)</f>
        <v>1000</v>
      </c>
      <c r="AC25" s="146">
        <f>(Z25+AB25)/2</f>
        <v>1050</v>
      </c>
      <c r="AD25" s="146">
        <f t="shared" ref="AD25" si="21">IF(AA25&gt;Z25,Z25-AA25,0)</f>
        <v>0</v>
      </c>
      <c r="AE25" s="145">
        <f t="shared" ref="AE25" si="22">AB25</f>
        <v>1000</v>
      </c>
      <c r="AF25" s="145">
        <v>200</v>
      </c>
      <c r="AG25" s="145">
        <f>IF(AF25&gt;AE25,0,AE25-AF25)</f>
        <v>800</v>
      </c>
      <c r="AH25" s="145">
        <f>(AE25+AG25)/2</f>
        <v>900</v>
      </c>
      <c r="AI25" s="145">
        <f t="shared" ref="AI25" si="23">IF(AF25&gt;AE25,AE25-AF25,0)</f>
        <v>0</v>
      </c>
      <c r="AJ25" s="146">
        <f t="shared" ref="AJ25" si="24">AG25</f>
        <v>800</v>
      </c>
      <c r="AK25" s="146">
        <v>200</v>
      </c>
      <c r="AL25" s="146">
        <f>IF(AK25&gt;AJ25,0,AJ25-AK25)</f>
        <v>600</v>
      </c>
      <c r="AM25" s="146">
        <f>(AJ25+AL25)/2</f>
        <v>700</v>
      </c>
      <c r="AN25" s="146">
        <f t="shared" ref="AN25" si="25">IF(AK25&gt;AJ25,AJ25-AK25,0)</f>
        <v>0</v>
      </c>
      <c r="AO25" s="145">
        <f t="shared" ref="AO25" si="26">AL25</f>
        <v>600</v>
      </c>
      <c r="AP25" s="145">
        <v>200</v>
      </c>
      <c r="AQ25" s="145">
        <f>IF(AP25&gt;AO25,0,AO25-AP25)</f>
        <v>400</v>
      </c>
      <c r="AR25" s="145">
        <f>(AO25+AQ25)/2</f>
        <v>500</v>
      </c>
      <c r="AS25" s="145">
        <f t="shared" ref="AS25" si="27">IF(AP25&gt;AO25,AO25-AP25,0)</f>
        <v>0</v>
      </c>
      <c r="AT25" s="144">
        <f>(N25+S25++X25+AC25+AH25+AM25+AR25)*(10/7)</f>
        <v>8607.1428571428569</v>
      </c>
      <c r="AU25" s="144">
        <v>200</v>
      </c>
      <c r="AV25" s="144">
        <f t="shared" ref="AV25" si="28">(O25+T25+Y25+AD25+AI25+AN25+AS25)*50*-1</f>
        <v>0</v>
      </c>
      <c r="AW25" s="144">
        <f t="shared" ref="AW25" si="29">AT25+AU25+AV25</f>
        <v>8807.1428571428569</v>
      </c>
      <c r="AX25" s="147"/>
    </row>
    <row r="26" spans="2:50" s="58" customFormat="1" x14ac:dyDescent="0.25">
      <c r="B26" s="157"/>
      <c r="C26" s="158"/>
      <c r="D26" s="158"/>
      <c r="E26" s="84"/>
      <c r="F26" s="17"/>
      <c r="G26" s="17"/>
      <c r="H26" s="17"/>
      <c r="I26" s="17"/>
      <c r="J26" s="17"/>
      <c r="K26" s="63"/>
      <c r="L26" s="63"/>
      <c r="M26" s="63"/>
      <c r="N26" s="17"/>
      <c r="O26" s="17"/>
      <c r="P26" s="63"/>
      <c r="Q26" s="63"/>
      <c r="R26" s="63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0">
        <f>SUM(AW24:AW25)</f>
        <v>43042.857142857145</v>
      </c>
      <c r="AX26" s="138" t="s">
        <v>81</v>
      </c>
    </row>
    <row r="27" spans="2:50" x14ac:dyDescent="0.25">
      <c r="B27" s="163" t="s">
        <v>191</v>
      </c>
      <c r="C27" s="163">
        <v>35</v>
      </c>
      <c r="D27" s="163"/>
      <c r="E27" s="139"/>
      <c r="AX27" s="147"/>
    </row>
    <row r="28" spans="2:50" x14ac:dyDescent="0.25">
      <c r="B28" s="164" t="s">
        <v>187</v>
      </c>
      <c r="C28" s="164" t="s">
        <v>188</v>
      </c>
      <c r="D28" s="164" t="s">
        <v>186</v>
      </c>
      <c r="E28" s="165"/>
      <c r="H28" s="63"/>
    </row>
    <row r="29" spans="2:50" x14ac:dyDescent="0.25">
      <c r="B29" s="140">
        <f>C27*13+65</f>
        <v>520</v>
      </c>
      <c r="C29" s="166" t="str">
        <f>RIGHT(B29,2)</f>
        <v>20</v>
      </c>
      <c r="D29" s="140">
        <f>C29/100</f>
        <v>0.2</v>
      </c>
      <c r="E29" s="139" t="s">
        <v>212</v>
      </c>
    </row>
    <row r="30" spans="2:50" x14ac:dyDescent="0.25">
      <c r="B30" s="168">
        <f>C29*13+65</f>
        <v>325</v>
      </c>
      <c r="C30" s="166" t="str">
        <f t="shared" ref="C30:C65" si="30">RIGHT(B30,2)</f>
        <v>25</v>
      </c>
      <c r="D30" s="140">
        <f>C30/100</f>
        <v>0.25</v>
      </c>
      <c r="E30" s="139" t="s">
        <v>213</v>
      </c>
    </row>
    <row r="31" spans="2:50" x14ac:dyDescent="0.25">
      <c r="B31" s="168">
        <f t="shared" ref="B31:B65" si="31">C30*13+65</f>
        <v>390</v>
      </c>
      <c r="C31" s="166" t="str">
        <f t="shared" si="30"/>
        <v>90</v>
      </c>
      <c r="D31" s="140">
        <f>C31/100</f>
        <v>0.9</v>
      </c>
      <c r="E31" s="139" t="s">
        <v>214</v>
      </c>
    </row>
    <row r="32" spans="2:50" x14ac:dyDescent="0.25">
      <c r="B32" s="168">
        <f t="shared" si="31"/>
        <v>1235</v>
      </c>
      <c r="C32" s="166" t="str">
        <f t="shared" si="30"/>
        <v>35</v>
      </c>
      <c r="D32" s="140">
        <f>C32/100</f>
        <v>0.35</v>
      </c>
      <c r="E32" s="139" t="s">
        <v>215</v>
      </c>
    </row>
    <row r="33" spans="2:5" x14ac:dyDescent="0.25">
      <c r="B33" s="168">
        <f t="shared" si="31"/>
        <v>520</v>
      </c>
      <c r="C33" s="166" t="str">
        <f t="shared" si="30"/>
        <v>20</v>
      </c>
      <c r="D33" s="140">
        <f t="shared" ref="D33:D55" si="32">C33/100</f>
        <v>0.2</v>
      </c>
      <c r="E33" s="139" t="s">
        <v>200</v>
      </c>
    </row>
    <row r="34" spans="2:5" x14ac:dyDescent="0.25">
      <c r="B34" s="168">
        <f t="shared" si="31"/>
        <v>325</v>
      </c>
      <c r="C34" s="166" t="str">
        <f t="shared" si="30"/>
        <v>25</v>
      </c>
      <c r="D34" s="140">
        <f t="shared" si="32"/>
        <v>0.25</v>
      </c>
      <c r="E34" s="139" t="s">
        <v>201</v>
      </c>
    </row>
    <row r="35" spans="2:5" x14ac:dyDescent="0.25">
      <c r="B35" s="168">
        <f t="shared" si="31"/>
        <v>390</v>
      </c>
      <c r="C35" s="166" t="str">
        <f t="shared" si="30"/>
        <v>90</v>
      </c>
      <c r="D35" s="140">
        <f t="shared" si="32"/>
        <v>0.9</v>
      </c>
      <c r="E35" s="139" t="s">
        <v>202</v>
      </c>
    </row>
    <row r="36" spans="2:5" x14ac:dyDescent="0.25">
      <c r="B36" s="164"/>
      <c r="C36" s="169"/>
      <c r="D36" s="163"/>
      <c r="E36" s="139"/>
    </row>
    <row r="37" spans="2:5" x14ac:dyDescent="0.25">
      <c r="B37" s="163" t="s">
        <v>191</v>
      </c>
      <c r="C37" s="163">
        <v>28</v>
      </c>
      <c r="D37" s="163"/>
      <c r="E37" s="139"/>
    </row>
    <row r="38" spans="2:5" x14ac:dyDescent="0.25">
      <c r="B38" s="163" t="s">
        <v>187</v>
      </c>
      <c r="C38" s="163" t="s">
        <v>188</v>
      </c>
      <c r="D38" s="163" t="s">
        <v>186</v>
      </c>
      <c r="E38" s="139"/>
    </row>
    <row r="39" spans="2:5" x14ac:dyDescent="0.25">
      <c r="B39" s="140">
        <f>C37*13+65</f>
        <v>429</v>
      </c>
      <c r="C39" s="166" t="str">
        <f>RIGHT(B39,2)</f>
        <v>29</v>
      </c>
      <c r="D39" s="140">
        <f>C39/100</f>
        <v>0.28999999999999998</v>
      </c>
      <c r="E39" s="167" t="s">
        <v>196</v>
      </c>
    </row>
    <row r="40" spans="2:5" x14ac:dyDescent="0.25">
      <c r="B40" s="168">
        <f>C39*13+65</f>
        <v>442</v>
      </c>
      <c r="C40" s="166" t="str">
        <f t="shared" si="30"/>
        <v>42</v>
      </c>
      <c r="D40" s="140">
        <f>C40/100</f>
        <v>0.42</v>
      </c>
      <c r="E40" s="167" t="s">
        <v>197</v>
      </c>
    </row>
    <row r="41" spans="2:5" x14ac:dyDescent="0.25">
      <c r="B41" s="168">
        <f t="shared" si="31"/>
        <v>611</v>
      </c>
      <c r="C41" s="166" t="str">
        <f t="shared" si="30"/>
        <v>11</v>
      </c>
      <c r="D41" s="140">
        <f>C41/100</f>
        <v>0.11</v>
      </c>
      <c r="E41" s="167" t="s">
        <v>198</v>
      </c>
    </row>
    <row r="42" spans="2:5" x14ac:dyDescent="0.25">
      <c r="B42" s="168">
        <f t="shared" si="31"/>
        <v>208</v>
      </c>
      <c r="C42" s="166" t="str">
        <f t="shared" si="30"/>
        <v>08</v>
      </c>
      <c r="D42" s="140">
        <f>C42/100</f>
        <v>0.08</v>
      </c>
      <c r="E42" s="167" t="s">
        <v>199</v>
      </c>
    </row>
    <row r="43" spans="2:5" x14ac:dyDescent="0.25">
      <c r="B43" s="168">
        <f t="shared" si="31"/>
        <v>169</v>
      </c>
      <c r="C43" s="166" t="str">
        <f t="shared" si="30"/>
        <v>69</v>
      </c>
      <c r="D43" s="140">
        <f t="shared" si="32"/>
        <v>0.69</v>
      </c>
      <c r="E43" s="139" t="s">
        <v>200</v>
      </c>
    </row>
    <row r="44" spans="2:5" x14ac:dyDescent="0.25">
      <c r="B44" s="168">
        <f t="shared" si="31"/>
        <v>962</v>
      </c>
      <c r="C44" s="166" t="str">
        <f t="shared" si="30"/>
        <v>62</v>
      </c>
      <c r="D44" s="140">
        <f t="shared" si="32"/>
        <v>0.62</v>
      </c>
      <c r="E44" s="139" t="s">
        <v>201</v>
      </c>
    </row>
    <row r="45" spans="2:5" x14ac:dyDescent="0.25">
      <c r="B45" s="168">
        <f t="shared" si="31"/>
        <v>871</v>
      </c>
      <c r="C45" s="166" t="str">
        <f t="shared" si="30"/>
        <v>71</v>
      </c>
      <c r="D45" s="140">
        <f t="shared" si="32"/>
        <v>0.71</v>
      </c>
      <c r="E45" s="139" t="s">
        <v>202</v>
      </c>
    </row>
    <row r="46" spans="2:5" x14ac:dyDescent="0.25">
      <c r="B46" s="164"/>
      <c r="C46" s="169"/>
      <c r="D46" s="163"/>
      <c r="E46" s="139"/>
    </row>
    <row r="47" spans="2:5" x14ac:dyDescent="0.25">
      <c r="B47" s="163" t="s">
        <v>191</v>
      </c>
      <c r="C47" s="163">
        <v>43</v>
      </c>
      <c r="D47" s="163"/>
      <c r="E47" s="139"/>
    </row>
    <row r="48" spans="2:5" x14ac:dyDescent="0.25">
      <c r="B48" s="163" t="s">
        <v>187</v>
      </c>
      <c r="C48" s="163" t="s">
        <v>188</v>
      </c>
      <c r="D48" s="163" t="s">
        <v>186</v>
      </c>
      <c r="E48" s="139"/>
    </row>
    <row r="49" spans="2:5" x14ac:dyDescent="0.25">
      <c r="B49" s="140">
        <f>C47*13+65</f>
        <v>624</v>
      </c>
      <c r="C49" s="166" t="str">
        <f>RIGHT(B49,2)</f>
        <v>24</v>
      </c>
      <c r="D49" s="140">
        <f>C49/100</f>
        <v>0.24</v>
      </c>
      <c r="E49" s="167" t="s">
        <v>196</v>
      </c>
    </row>
    <row r="50" spans="2:5" x14ac:dyDescent="0.25">
      <c r="B50" s="168">
        <f>C49*13+65</f>
        <v>377</v>
      </c>
      <c r="C50" s="166" t="str">
        <f t="shared" si="30"/>
        <v>77</v>
      </c>
      <c r="D50" s="140">
        <f>C50/100</f>
        <v>0.77</v>
      </c>
      <c r="E50" s="167" t="s">
        <v>197</v>
      </c>
    </row>
    <row r="51" spans="2:5" x14ac:dyDescent="0.25">
      <c r="B51" s="168">
        <f t="shared" si="31"/>
        <v>1066</v>
      </c>
      <c r="C51" s="166" t="str">
        <f t="shared" si="30"/>
        <v>66</v>
      </c>
      <c r="D51" s="140">
        <f>C51/100</f>
        <v>0.66</v>
      </c>
      <c r="E51" s="167" t="s">
        <v>198</v>
      </c>
    </row>
    <row r="52" spans="2:5" x14ac:dyDescent="0.25">
      <c r="B52" s="168">
        <f t="shared" si="31"/>
        <v>923</v>
      </c>
      <c r="C52" s="166" t="str">
        <f t="shared" si="30"/>
        <v>23</v>
      </c>
      <c r="D52" s="140">
        <f>C52/100</f>
        <v>0.23</v>
      </c>
      <c r="E52" s="167" t="s">
        <v>199</v>
      </c>
    </row>
    <row r="53" spans="2:5" x14ac:dyDescent="0.25">
      <c r="B53" s="168">
        <f t="shared" si="31"/>
        <v>364</v>
      </c>
      <c r="C53" s="166" t="str">
        <f t="shared" si="30"/>
        <v>64</v>
      </c>
      <c r="D53" s="140">
        <f t="shared" si="32"/>
        <v>0.64</v>
      </c>
      <c r="E53" s="139" t="s">
        <v>200</v>
      </c>
    </row>
    <row r="54" spans="2:5" x14ac:dyDescent="0.25">
      <c r="B54" s="168">
        <f t="shared" si="31"/>
        <v>897</v>
      </c>
      <c r="C54" s="166" t="str">
        <f t="shared" si="30"/>
        <v>97</v>
      </c>
      <c r="D54" s="140">
        <f t="shared" si="32"/>
        <v>0.97</v>
      </c>
      <c r="E54" s="139" t="s">
        <v>201</v>
      </c>
    </row>
    <row r="55" spans="2:5" x14ac:dyDescent="0.25">
      <c r="B55" s="168">
        <f t="shared" si="31"/>
        <v>1326</v>
      </c>
      <c r="C55" s="166" t="str">
        <f t="shared" si="30"/>
        <v>26</v>
      </c>
      <c r="D55" s="140">
        <f t="shared" si="32"/>
        <v>0.26</v>
      </c>
      <c r="E55" s="139" t="s">
        <v>202</v>
      </c>
    </row>
    <row r="56" spans="2:5" x14ac:dyDescent="0.25">
      <c r="B56" s="164"/>
      <c r="C56" s="169"/>
      <c r="D56" s="163"/>
      <c r="E56" s="139"/>
    </row>
    <row r="57" spans="2:5" x14ac:dyDescent="0.25">
      <c r="B57" s="163" t="s">
        <v>191</v>
      </c>
      <c r="C57" s="163">
        <v>21</v>
      </c>
      <c r="D57" s="163"/>
      <c r="E57" s="139"/>
    </row>
    <row r="58" spans="2:5" x14ac:dyDescent="0.25">
      <c r="B58" s="163" t="s">
        <v>187</v>
      </c>
      <c r="C58" s="163" t="s">
        <v>188</v>
      </c>
      <c r="D58" s="163" t="s">
        <v>186</v>
      </c>
      <c r="E58" s="139"/>
    </row>
    <row r="59" spans="2:5" x14ac:dyDescent="0.25">
      <c r="B59" s="140">
        <f>C57*13+65</f>
        <v>338</v>
      </c>
      <c r="C59" s="166" t="str">
        <f>RIGHT(B59,2)</f>
        <v>38</v>
      </c>
      <c r="D59" s="140">
        <f>C59/100</f>
        <v>0.38</v>
      </c>
      <c r="E59" s="167" t="s">
        <v>196</v>
      </c>
    </row>
    <row r="60" spans="2:5" x14ac:dyDescent="0.25">
      <c r="B60" s="168">
        <f>C59*13+65</f>
        <v>559</v>
      </c>
      <c r="C60" s="166" t="str">
        <f t="shared" si="30"/>
        <v>59</v>
      </c>
      <c r="D60" s="140">
        <f>C60/100</f>
        <v>0.59</v>
      </c>
      <c r="E60" s="167" t="s">
        <v>197</v>
      </c>
    </row>
    <row r="61" spans="2:5" x14ac:dyDescent="0.25">
      <c r="B61" s="168">
        <f t="shared" si="31"/>
        <v>832</v>
      </c>
      <c r="C61" s="166" t="str">
        <f t="shared" si="30"/>
        <v>32</v>
      </c>
      <c r="D61" s="140">
        <f>C61/100</f>
        <v>0.32</v>
      </c>
      <c r="E61" s="167" t="s">
        <v>198</v>
      </c>
    </row>
    <row r="62" spans="2:5" x14ac:dyDescent="0.25">
      <c r="B62" s="168">
        <f t="shared" si="31"/>
        <v>481</v>
      </c>
      <c r="C62" s="166" t="str">
        <f t="shared" si="30"/>
        <v>81</v>
      </c>
      <c r="D62" s="140">
        <f>C62/100</f>
        <v>0.81</v>
      </c>
      <c r="E62" s="167" t="s">
        <v>199</v>
      </c>
    </row>
    <row r="63" spans="2:5" x14ac:dyDescent="0.25">
      <c r="B63" s="168">
        <f t="shared" si="31"/>
        <v>1118</v>
      </c>
      <c r="C63" s="166" t="str">
        <f t="shared" si="30"/>
        <v>18</v>
      </c>
      <c r="D63" s="140">
        <f t="shared" ref="D63:D65" si="33">C63/100</f>
        <v>0.18</v>
      </c>
      <c r="E63" s="139" t="s">
        <v>200</v>
      </c>
    </row>
    <row r="64" spans="2:5" x14ac:dyDescent="0.25">
      <c r="B64" s="168">
        <f t="shared" si="31"/>
        <v>299</v>
      </c>
      <c r="C64" s="166" t="str">
        <f t="shared" si="30"/>
        <v>99</v>
      </c>
      <c r="D64" s="140">
        <f t="shared" si="33"/>
        <v>0.99</v>
      </c>
      <c r="E64" s="139" t="s">
        <v>201</v>
      </c>
    </row>
    <row r="65" spans="2:5" x14ac:dyDescent="0.25">
      <c r="B65" s="168">
        <f t="shared" si="31"/>
        <v>1352</v>
      </c>
      <c r="C65" s="166" t="str">
        <f t="shared" si="30"/>
        <v>52</v>
      </c>
      <c r="D65" s="140">
        <f t="shared" si="33"/>
        <v>0.52</v>
      </c>
      <c r="E65" s="139" t="s">
        <v>202</v>
      </c>
    </row>
  </sheetData>
  <mergeCells count="14">
    <mergeCell ref="AO2:AS2"/>
    <mergeCell ref="K22:O22"/>
    <mergeCell ref="P22:T22"/>
    <mergeCell ref="U22:Y22"/>
    <mergeCell ref="Z22:AD22"/>
    <mergeCell ref="AE22:AI22"/>
    <mergeCell ref="AJ22:AN22"/>
    <mergeCell ref="AO22:AS22"/>
    <mergeCell ref="K2:O2"/>
    <mergeCell ref="P2:T2"/>
    <mergeCell ref="U2:Y2"/>
    <mergeCell ref="Z2:AD2"/>
    <mergeCell ref="AE2:AI2"/>
    <mergeCell ref="AJ2:A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"/>
  <sheetViews>
    <sheetView showGridLines="0" topLeftCell="A13" zoomScaleNormal="100" workbookViewId="0">
      <selection activeCell="E18" sqref="E18:F21"/>
    </sheetView>
  </sheetViews>
  <sheetFormatPr baseColWidth="10" defaultRowHeight="15" x14ac:dyDescent="0.25"/>
  <cols>
    <col min="1" max="1" width="3.5703125" customWidth="1"/>
    <col min="6" max="6" width="19.85546875" bestFit="1" customWidth="1"/>
    <col min="7" max="7" width="4.140625" customWidth="1"/>
    <col min="8" max="8" width="4.5703125" bestFit="1" customWidth="1"/>
    <col min="9" max="9" width="46" bestFit="1" customWidth="1"/>
    <col min="10" max="10" width="5" customWidth="1"/>
  </cols>
  <sheetData>
    <row r="1" spans="1:9" x14ac:dyDescent="0.25">
      <c r="A1" s="14"/>
    </row>
    <row r="2" spans="1:9" x14ac:dyDescent="0.25">
      <c r="B2" s="14" t="s">
        <v>313</v>
      </c>
      <c r="C2" s="14"/>
      <c r="D2" s="14"/>
    </row>
    <row r="3" spans="1:9" x14ac:dyDescent="0.25">
      <c r="I3" t="s">
        <v>146</v>
      </c>
    </row>
    <row r="4" spans="1:9" x14ac:dyDescent="0.25">
      <c r="E4" s="1" t="s">
        <v>100</v>
      </c>
      <c r="F4" s="1" t="s">
        <v>97</v>
      </c>
      <c r="H4" s="85" t="s">
        <v>105</v>
      </c>
      <c r="I4" s="1" t="s">
        <v>314</v>
      </c>
    </row>
    <row r="5" spans="1:9" x14ac:dyDescent="0.25">
      <c r="E5" s="1" t="s">
        <v>98</v>
      </c>
      <c r="F5" s="1" t="s">
        <v>99</v>
      </c>
      <c r="H5" s="85" t="s">
        <v>100</v>
      </c>
      <c r="I5" s="1" t="s">
        <v>106</v>
      </c>
    </row>
    <row r="8" spans="1:9" x14ac:dyDescent="0.25">
      <c r="B8" s="14" t="s">
        <v>315</v>
      </c>
      <c r="C8" s="14"/>
      <c r="D8" s="14"/>
    </row>
    <row r="9" spans="1:9" x14ac:dyDescent="0.25">
      <c r="I9" t="s">
        <v>145</v>
      </c>
    </row>
    <row r="10" spans="1:9" x14ac:dyDescent="0.25">
      <c r="E10" s="1" t="s">
        <v>95</v>
      </c>
      <c r="F10" s="1" t="s">
        <v>97</v>
      </c>
      <c r="H10" s="85" t="s">
        <v>96</v>
      </c>
      <c r="I10" s="1" t="s">
        <v>316</v>
      </c>
    </row>
    <row r="11" spans="1:9" x14ac:dyDescent="0.25">
      <c r="E11" s="1" t="s">
        <v>98</v>
      </c>
      <c r="F11" s="1" t="s">
        <v>99</v>
      </c>
      <c r="H11" s="85" t="s">
        <v>95</v>
      </c>
      <c r="I11" s="1" t="s">
        <v>104</v>
      </c>
    </row>
    <row r="13" spans="1:9" x14ac:dyDescent="0.25">
      <c r="B13" s="14" t="s">
        <v>317</v>
      </c>
      <c r="C13" s="14"/>
      <c r="D13" s="14"/>
    </row>
    <row r="14" spans="1:9" x14ac:dyDescent="0.25">
      <c r="E14" s="1" t="s">
        <v>39</v>
      </c>
      <c r="F14" s="1" t="s">
        <v>40</v>
      </c>
    </row>
    <row r="15" spans="1:9" x14ac:dyDescent="0.25">
      <c r="E15" s="1" t="s">
        <v>41</v>
      </c>
      <c r="F15" s="1" t="s">
        <v>42</v>
      </c>
    </row>
    <row r="16" spans="1:9" x14ac:dyDescent="0.25">
      <c r="E16" s="1" t="s">
        <v>98</v>
      </c>
      <c r="F16" s="1" t="s">
        <v>99</v>
      </c>
    </row>
    <row r="17" spans="2:6" x14ac:dyDescent="0.25">
      <c r="B17" s="14" t="s">
        <v>318</v>
      </c>
      <c r="C17" s="14"/>
      <c r="D17" s="14"/>
    </row>
    <row r="18" spans="2:6" x14ac:dyDescent="0.25">
      <c r="E18" s="1" t="s">
        <v>95</v>
      </c>
      <c r="F18" s="1" t="s">
        <v>43</v>
      </c>
    </row>
    <row r="19" spans="2:6" x14ac:dyDescent="0.25">
      <c r="E19" s="1" t="s">
        <v>103</v>
      </c>
      <c r="F19" s="1" t="s">
        <v>44</v>
      </c>
    </row>
    <row r="20" spans="2:6" x14ac:dyDescent="0.25">
      <c r="E20" s="1" t="s">
        <v>101</v>
      </c>
      <c r="F20" s="1" t="s">
        <v>102</v>
      </c>
    </row>
    <row r="21" spans="2:6" x14ac:dyDescent="0.25">
      <c r="E21" s="1" t="s">
        <v>98</v>
      </c>
      <c r="F21" s="1" t="s">
        <v>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0:Q39"/>
  <sheetViews>
    <sheetView showGridLines="0" topLeftCell="A4" zoomScaleNormal="100" workbookViewId="0">
      <selection activeCell="D15" sqref="D15"/>
    </sheetView>
  </sheetViews>
  <sheetFormatPr baseColWidth="10" defaultRowHeight="15" x14ac:dyDescent="0.25"/>
  <cols>
    <col min="1" max="1" width="3" customWidth="1"/>
    <col min="5" max="5" width="6" customWidth="1"/>
    <col min="9" max="9" width="4.7109375" customWidth="1"/>
    <col min="13" max="13" width="6.5703125" customWidth="1"/>
    <col min="17" max="17" width="6.140625" customWidth="1"/>
  </cols>
  <sheetData>
    <row r="10" spans="2:17" x14ac:dyDescent="0.25">
      <c r="B10" s="163" t="s">
        <v>191</v>
      </c>
      <c r="C10" s="167">
        <v>35</v>
      </c>
      <c r="D10" s="163"/>
      <c r="E10" s="139"/>
      <c r="F10" s="163" t="s">
        <v>191</v>
      </c>
      <c r="G10" s="163">
        <v>28</v>
      </c>
      <c r="H10" s="163"/>
      <c r="I10" s="139"/>
      <c r="J10" s="163" t="s">
        <v>191</v>
      </c>
      <c r="K10" s="163">
        <v>43</v>
      </c>
      <c r="L10" s="163"/>
      <c r="M10" s="139"/>
      <c r="N10" s="163" t="s">
        <v>191</v>
      </c>
      <c r="O10" s="163">
        <v>21</v>
      </c>
      <c r="P10" s="163"/>
      <c r="Q10" s="139"/>
    </row>
    <row r="11" spans="2:17" x14ac:dyDescent="0.25">
      <c r="B11" s="164" t="s">
        <v>187</v>
      </c>
      <c r="C11" s="164" t="s">
        <v>188</v>
      </c>
      <c r="D11" s="164" t="s">
        <v>186</v>
      </c>
      <c r="E11" s="165"/>
      <c r="F11" s="163" t="s">
        <v>187</v>
      </c>
      <c r="G11" s="163" t="s">
        <v>188</v>
      </c>
      <c r="H11" s="163" t="s">
        <v>186</v>
      </c>
      <c r="I11" s="139"/>
      <c r="J11" s="163" t="s">
        <v>187</v>
      </c>
      <c r="K11" s="163" t="s">
        <v>188</v>
      </c>
      <c r="L11" s="163" t="s">
        <v>186</v>
      </c>
      <c r="M11" s="139"/>
      <c r="N11" s="163" t="s">
        <v>187</v>
      </c>
      <c r="O11" s="163" t="s">
        <v>188</v>
      </c>
      <c r="P11" s="163" t="s">
        <v>186</v>
      </c>
      <c r="Q11" s="139"/>
    </row>
    <row r="12" spans="2:17" x14ac:dyDescent="0.25">
      <c r="B12" s="263">
        <f>C10*13+65</f>
        <v>520</v>
      </c>
      <c r="C12" s="172" t="str">
        <f>RIGHT(B12,2)</f>
        <v>20</v>
      </c>
      <c r="D12" s="140">
        <f>C12/100</f>
        <v>0.2</v>
      </c>
      <c r="E12" s="173">
        <v>1</v>
      </c>
      <c r="F12" s="140">
        <f>G10*13+65</f>
        <v>429</v>
      </c>
      <c r="G12" s="172" t="str">
        <f t="shared" ref="G12:G18" si="0">RIGHT(F12,2)</f>
        <v>29</v>
      </c>
      <c r="H12" s="140">
        <f t="shared" ref="H12:H18" si="1">G12/100</f>
        <v>0.28999999999999998</v>
      </c>
      <c r="I12" s="173">
        <v>1</v>
      </c>
      <c r="J12" s="140">
        <f>K10*13+65</f>
        <v>624</v>
      </c>
      <c r="K12" s="172" t="str">
        <f t="shared" ref="K12:K18" si="2">RIGHT(J12,2)</f>
        <v>24</v>
      </c>
      <c r="L12" s="140">
        <f t="shared" ref="L12:L18" si="3">K12/100</f>
        <v>0.24</v>
      </c>
      <c r="M12" s="173">
        <v>1</v>
      </c>
      <c r="N12" s="140">
        <f>O10*13+65</f>
        <v>338</v>
      </c>
      <c r="O12" s="172" t="str">
        <f t="shared" ref="O12:O18" si="4">RIGHT(N12,2)</f>
        <v>38</v>
      </c>
      <c r="P12" s="140">
        <f>O12/100</f>
        <v>0.38</v>
      </c>
      <c r="Q12" s="173">
        <v>1</v>
      </c>
    </row>
    <row r="13" spans="2:17" x14ac:dyDescent="0.25">
      <c r="B13" s="264">
        <f>C12*13+65</f>
        <v>325</v>
      </c>
      <c r="C13" s="172" t="str">
        <f t="shared" ref="C13:C35" si="5">RIGHT(B13,2)</f>
        <v>25</v>
      </c>
      <c r="D13" s="280">
        <f>C13/100</f>
        <v>0.25</v>
      </c>
      <c r="E13" s="173">
        <v>2</v>
      </c>
      <c r="F13" s="168">
        <f t="shared" ref="F13:F18" si="6">G12*13+65</f>
        <v>442</v>
      </c>
      <c r="G13" s="172" t="str">
        <f t="shared" si="0"/>
        <v>42</v>
      </c>
      <c r="H13" s="140">
        <f t="shared" si="1"/>
        <v>0.42</v>
      </c>
      <c r="I13" s="173">
        <v>2</v>
      </c>
      <c r="J13" s="168">
        <f t="shared" ref="J13:J18" si="7">K12*13+65</f>
        <v>377</v>
      </c>
      <c r="K13" s="172" t="str">
        <f t="shared" si="2"/>
        <v>77</v>
      </c>
      <c r="L13" s="140">
        <f t="shared" si="3"/>
        <v>0.77</v>
      </c>
      <c r="M13" s="173">
        <v>2</v>
      </c>
      <c r="N13" s="168">
        <f t="shared" ref="N13:N18" si="8">O12*13+65</f>
        <v>559</v>
      </c>
      <c r="O13" s="172" t="str">
        <f t="shared" si="4"/>
        <v>59</v>
      </c>
      <c r="P13" s="140">
        <f>O13/100</f>
        <v>0.59</v>
      </c>
      <c r="Q13" s="173">
        <v>2</v>
      </c>
    </row>
    <row r="14" spans="2:17" x14ac:dyDescent="0.25">
      <c r="B14" s="264">
        <f t="shared" ref="B14:B35" si="9">C13*13+65</f>
        <v>390</v>
      </c>
      <c r="C14" s="172" t="str">
        <f t="shared" si="5"/>
        <v>90</v>
      </c>
      <c r="D14" s="140">
        <f>C14/100</f>
        <v>0.9</v>
      </c>
      <c r="E14" s="173">
        <v>3</v>
      </c>
      <c r="F14" s="168">
        <f t="shared" si="6"/>
        <v>611</v>
      </c>
      <c r="G14" s="172" t="str">
        <f t="shared" si="0"/>
        <v>11</v>
      </c>
      <c r="H14" s="140">
        <f t="shared" si="1"/>
        <v>0.11</v>
      </c>
      <c r="I14" s="173">
        <v>3</v>
      </c>
      <c r="J14" s="168">
        <f t="shared" si="7"/>
        <v>1066</v>
      </c>
      <c r="K14" s="172" t="str">
        <f t="shared" si="2"/>
        <v>66</v>
      </c>
      <c r="L14" s="140">
        <f t="shared" si="3"/>
        <v>0.66</v>
      </c>
      <c r="M14" s="173">
        <v>3</v>
      </c>
      <c r="N14" s="168">
        <f t="shared" si="8"/>
        <v>832</v>
      </c>
      <c r="O14" s="172" t="str">
        <f t="shared" si="4"/>
        <v>32</v>
      </c>
      <c r="P14" s="140">
        <f>O14/100</f>
        <v>0.32</v>
      </c>
      <c r="Q14" s="173">
        <v>3</v>
      </c>
    </row>
    <row r="15" spans="2:17" x14ac:dyDescent="0.25">
      <c r="B15" s="264">
        <f t="shared" si="9"/>
        <v>1235</v>
      </c>
      <c r="C15" s="172" t="str">
        <f t="shared" si="5"/>
        <v>35</v>
      </c>
      <c r="D15" s="140">
        <f>C15/100</f>
        <v>0.35</v>
      </c>
      <c r="E15" s="173">
        <v>4</v>
      </c>
      <c r="F15" s="168">
        <f t="shared" si="6"/>
        <v>208</v>
      </c>
      <c r="G15" s="172" t="str">
        <f t="shared" si="0"/>
        <v>08</v>
      </c>
      <c r="H15" s="140">
        <f t="shared" si="1"/>
        <v>0.08</v>
      </c>
      <c r="I15" s="173">
        <v>4</v>
      </c>
      <c r="J15" s="168">
        <f t="shared" si="7"/>
        <v>923</v>
      </c>
      <c r="K15" s="172" t="str">
        <f t="shared" si="2"/>
        <v>23</v>
      </c>
      <c r="L15" s="140">
        <f t="shared" si="3"/>
        <v>0.23</v>
      </c>
      <c r="M15" s="173">
        <v>4</v>
      </c>
      <c r="N15" s="168">
        <f t="shared" si="8"/>
        <v>481</v>
      </c>
      <c r="O15" s="172" t="str">
        <f t="shared" si="4"/>
        <v>81</v>
      </c>
      <c r="P15" s="140">
        <f>O15/100</f>
        <v>0.81</v>
      </c>
      <c r="Q15" s="173">
        <v>4</v>
      </c>
    </row>
    <row r="16" spans="2:17" x14ac:dyDescent="0.25">
      <c r="B16" s="264">
        <f t="shared" si="9"/>
        <v>520</v>
      </c>
      <c r="C16" s="162" t="str">
        <f t="shared" si="5"/>
        <v>20</v>
      </c>
      <c r="D16" s="140">
        <f t="shared" ref="D16:D35" si="10">C16/100</f>
        <v>0.2</v>
      </c>
      <c r="E16" s="139"/>
      <c r="F16" s="168">
        <f t="shared" si="6"/>
        <v>169</v>
      </c>
      <c r="G16" s="172" t="str">
        <f t="shared" si="0"/>
        <v>69</v>
      </c>
      <c r="H16" s="140">
        <f t="shared" si="1"/>
        <v>0.69</v>
      </c>
      <c r="I16" s="173">
        <v>5</v>
      </c>
      <c r="J16" s="168">
        <f t="shared" si="7"/>
        <v>364</v>
      </c>
      <c r="K16" s="172" t="str">
        <f t="shared" si="2"/>
        <v>64</v>
      </c>
      <c r="L16" s="140">
        <f t="shared" si="3"/>
        <v>0.64</v>
      </c>
      <c r="M16" s="173">
        <v>5</v>
      </c>
      <c r="N16" s="168">
        <f t="shared" si="8"/>
        <v>1118</v>
      </c>
      <c r="O16" s="172" t="str">
        <f t="shared" si="4"/>
        <v>18</v>
      </c>
      <c r="P16" s="140">
        <f t="shared" ref="P16:P35" si="11">O16/100</f>
        <v>0.18</v>
      </c>
      <c r="Q16" s="173">
        <v>5</v>
      </c>
    </row>
    <row r="17" spans="2:17" x14ac:dyDescent="0.25">
      <c r="B17" s="264">
        <f t="shared" si="9"/>
        <v>325</v>
      </c>
      <c r="C17" s="166" t="str">
        <f t="shared" si="5"/>
        <v>25</v>
      </c>
      <c r="D17" s="140">
        <f t="shared" si="10"/>
        <v>0.25</v>
      </c>
      <c r="E17" s="139"/>
      <c r="F17" s="168">
        <f t="shared" si="6"/>
        <v>962</v>
      </c>
      <c r="G17" s="172" t="str">
        <f t="shared" si="0"/>
        <v>62</v>
      </c>
      <c r="H17" s="140">
        <f t="shared" si="1"/>
        <v>0.62</v>
      </c>
      <c r="I17" s="173">
        <v>6</v>
      </c>
      <c r="J17" s="168">
        <f t="shared" si="7"/>
        <v>897</v>
      </c>
      <c r="K17" s="172" t="str">
        <f t="shared" si="2"/>
        <v>97</v>
      </c>
      <c r="L17" s="140">
        <f t="shared" si="3"/>
        <v>0.97</v>
      </c>
      <c r="M17" s="173">
        <v>6</v>
      </c>
      <c r="N17" s="168">
        <f t="shared" si="8"/>
        <v>299</v>
      </c>
      <c r="O17" s="172" t="str">
        <f t="shared" si="4"/>
        <v>99</v>
      </c>
      <c r="P17" s="140">
        <f t="shared" si="11"/>
        <v>0.99</v>
      </c>
      <c r="Q17" s="173">
        <v>6</v>
      </c>
    </row>
    <row r="18" spans="2:17" x14ac:dyDescent="0.25">
      <c r="B18" s="264">
        <f t="shared" si="9"/>
        <v>390</v>
      </c>
      <c r="C18" s="166" t="str">
        <f t="shared" si="5"/>
        <v>90</v>
      </c>
      <c r="D18" s="140">
        <f t="shared" si="10"/>
        <v>0.9</v>
      </c>
      <c r="E18" s="139"/>
      <c r="F18" s="168">
        <f t="shared" si="6"/>
        <v>871</v>
      </c>
      <c r="G18" s="172" t="str">
        <f t="shared" si="0"/>
        <v>71</v>
      </c>
      <c r="H18" s="140">
        <f t="shared" si="1"/>
        <v>0.71</v>
      </c>
      <c r="I18" s="173">
        <v>7</v>
      </c>
      <c r="J18" s="168">
        <f t="shared" si="7"/>
        <v>1326</v>
      </c>
      <c r="K18" s="172" t="str">
        <f t="shared" si="2"/>
        <v>26</v>
      </c>
      <c r="L18" s="140">
        <f t="shared" si="3"/>
        <v>0.26</v>
      </c>
      <c r="M18" s="173">
        <v>7</v>
      </c>
      <c r="N18" s="168">
        <f t="shared" si="8"/>
        <v>1352</v>
      </c>
      <c r="O18" s="172" t="str">
        <f t="shared" si="4"/>
        <v>52</v>
      </c>
      <c r="P18" s="140">
        <f t="shared" si="11"/>
        <v>0.52</v>
      </c>
      <c r="Q18" s="173">
        <v>7</v>
      </c>
    </row>
    <row r="19" spans="2:17" x14ac:dyDescent="0.25">
      <c r="B19" s="264">
        <f t="shared" si="9"/>
        <v>1235</v>
      </c>
      <c r="C19" s="166" t="str">
        <f t="shared" si="5"/>
        <v>35</v>
      </c>
      <c r="D19" s="140">
        <f t="shared" si="10"/>
        <v>0.35</v>
      </c>
      <c r="E19" s="139"/>
      <c r="F19" s="168">
        <f t="shared" ref="F19:F35" si="12">G18*13+65</f>
        <v>988</v>
      </c>
      <c r="G19" s="172" t="str">
        <f t="shared" ref="G19:G35" si="13">RIGHT(F19,2)</f>
        <v>88</v>
      </c>
      <c r="H19" s="140">
        <f t="shared" ref="H19:H35" si="14">G19/100</f>
        <v>0.88</v>
      </c>
      <c r="I19" s="173">
        <v>8</v>
      </c>
      <c r="J19" s="168">
        <f t="shared" ref="J19:J35" si="15">K18*13+65</f>
        <v>403</v>
      </c>
      <c r="K19" s="172" t="str">
        <f t="shared" ref="K19:K35" si="16">RIGHT(J19,2)</f>
        <v>03</v>
      </c>
      <c r="L19" s="140">
        <f t="shared" ref="L19:L35" si="17">K19/100</f>
        <v>0.03</v>
      </c>
      <c r="M19" s="173">
        <v>8</v>
      </c>
      <c r="N19" s="168">
        <f t="shared" ref="N19:N35" si="18">O18*13+65</f>
        <v>741</v>
      </c>
      <c r="O19" s="172" t="str">
        <f t="shared" ref="O19:O35" si="19">RIGHT(N19,2)</f>
        <v>41</v>
      </c>
      <c r="P19" s="140">
        <f t="shared" si="11"/>
        <v>0.41</v>
      </c>
      <c r="Q19" s="173">
        <v>8</v>
      </c>
    </row>
    <row r="20" spans="2:17" x14ac:dyDescent="0.25">
      <c r="B20" s="264">
        <f t="shared" si="9"/>
        <v>520</v>
      </c>
      <c r="C20" s="162" t="str">
        <f t="shared" si="5"/>
        <v>20</v>
      </c>
      <c r="D20" s="140">
        <f t="shared" si="10"/>
        <v>0.2</v>
      </c>
      <c r="F20" s="168">
        <f t="shared" si="12"/>
        <v>1209</v>
      </c>
      <c r="G20" s="172" t="str">
        <f t="shared" si="13"/>
        <v>09</v>
      </c>
      <c r="H20" s="140">
        <f t="shared" si="14"/>
        <v>0.09</v>
      </c>
      <c r="I20" s="173">
        <v>9</v>
      </c>
      <c r="J20" s="168">
        <f t="shared" si="15"/>
        <v>104</v>
      </c>
      <c r="K20" s="172" t="str">
        <f t="shared" si="16"/>
        <v>04</v>
      </c>
      <c r="L20" s="140">
        <f t="shared" si="17"/>
        <v>0.04</v>
      </c>
      <c r="M20" s="173">
        <v>9</v>
      </c>
      <c r="N20" s="168">
        <f t="shared" si="18"/>
        <v>598</v>
      </c>
      <c r="O20" s="172" t="str">
        <f t="shared" si="19"/>
        <v>98</v>
      </c>
      <c r="P20" s="140">
        <f t="shared" si="11"/>
        <v>0.98</v>
      </c>
      <c r="Q20" s="173">
        <v>9</v>
      </c>
    </row>
    <row r="21" spans="2:17" x14ac:dyDescent="0.25">
      <c r="B21" s="264">
        <f t="shared" si="9"/>
        <v>325</v>
      </c>
      <c r="C21" s="161" t="str">
        <f t="shared" si="5"/>
        <v>25</v>
      </c>
      <c r="D21" s="140">
        <f t="shared" si="10"/>
        <v>0.25</v>
      </c>
      <c r="F21" s="168">
        <f t="shared" si="12"/>
        <v>182</v>
      </c>
      <c r="G21" s="172" t="str">
        <f t="shared" si="13"/>
        <v>82</v>
      </c>
      <c r="H21" s="140">
        <f t="shared" si="14"/>
        <v>0.82</v>
      </c>
      <c r="I21" s="173">
        <v>10</v>
      </c>
      <c r="J21" s="168">
        <f t="shared" si="15"/>
        <v>117</v>
      </c>
      <c r="K21" s="172" t="str">
        <f t="shared" si="16"/>
        <v>17</v>
      </c>
      <c r="L21" s="140">
        <f t="shared" si="17"/>
        <v>0.17</v>
      </c>
      <c r="M21" s="173">
        <v>10</v>
      </c>
      <c r="N21" s="168">
        <f t="shared" si="18"/>
        <v>1339</v>
      </c>
      <c r="O21" s="172" t="str">
        <f t="shared" si="19"/>
        <v>39</v>
      </c>
      <c r="P21" s="140">
        <f t="shared" si="11"/>
        <v>0.39</v>
      </c>
      <c r="Q21" s="173">
        <v>10</v>
      </c>
    </row>
    <row r="22" spans="2:17" x14ac:dyDescent="0.25">
      <c r="B22" s="264">
        <f t="shared" si="9"/>
        <v>390</v>
      </c>
      <c r="C22" s="161" t="str">
        <f t="shared" si="5"/>
        <v>90</v>
      </c>
      <c r="D22" s="140">
        <f t="shared" si="10"/>
        <v>0.9</v>
      </c>
      <c r="F22" s="168">
        <f t="shared" si="12"/>
        <v>1131</v>
      </c>
      <c r="G22" s="172" t="str">
        <f t="shared" si="13"/>
        <v>31</v>
      </c>
      <c r="H22" s="140">
        <f t="shared" si="14"/>
        <v>0.31</v>
      </c>
      <c r="I22" s="173">
        <v>11</v>
      </c>
      <c r="J22" s="168">
        <f t="shared" si="15"/>
        <v>286</v>
      </c>
      <c r="K22" s="172" t="str">
        <f t="shared" si="16"/>
        <v>86</v>
      </c>
      <c r="L22" s="140">
        <f t="shared" si="17"/>
        <v>0.86</v>
      </c>
      <c r="M22" s="173">
        <v>11</v>
      </c>
      <c r="N22" s="168">
        <f t="shared" si="18"/>
        <v>572</v>
      </c>
      <c r="O22" s="172" t="str">
        <f t="shared" si="19"/>
        <v>72</v>
      </c>
      <c r="P22" s="140">
        <f t="shared" si="11"/>
        <v>0.72</v>
      </c>
      <c r="Q22" s="173">
        <v>11</v>
      </c>
    </row>
    <row r="23" spans="2:17" x14ac:dyDescent="0.25">
      <c r="B23" s="264">
        <f t="shared" si="9"/>
        <v>1235</v>
      </c>
      <c r="C23" s="161" t="str">
        <f t="shared" si="5"/>
        <v>35</v>
      </c>
      <c r="D23" s="140">
        <f t="shared" si="10"/>
        <v>0.35</v>
      </c>
      <c r="F23" s="168">
        <f t="shared" si="12"/>
        <v>468</v>
      </c>
      <c r="G23" s="172" t="str">
        <f t="shared" si="13"/>
        <v>68</v>
      </c>
      <c r="H23" s="140">
        <f t="shared" si="14"/>
        <v>0.68</v>
      </c>
      <c r="I23" s="173">
        <v>12</v>
      </c>
      <c r="J23" s="168">
        <f t="shared" si="15"/>
        <v>1183</v>
      </c>
      <c r="K23" s="172" t="str">
        <f t="shared" si="16"/>
        <v>83</v>
      </c>
      <c r="L23" s="140">
        <f t="shared" si="17"/>
        <v>0.83</v>
      </c>
      <c r="M23" s="173">
        <v>12</v>
      </c>
      <c r="N23" s="168">
        <f t="shared" si="18"/>
        <v>1001</v>
      </c>
      <c r="O23" s="172" t="str">
        <f t="shared" si="19"/>
        <v>01</v>
      </c>
      <c r="P23" s="140">
        <f t="shared" si="11"/>
        <v>0.01</v>
      </c>
      <c r="Q23" s="173">
        <v>12</v>
      </c>
    </row>
    <row r="24" spans="2:17" x14ac:dyDescent="0.25">
      <c r="B24" s="264">
        <f t="shared" si="9"/>
        <v>520</v>
      </c>
      <c r="C24" s="162" t="str">
        <f t="shared" si="5"/>
        <v>20</v>
      </c>
      <c r="D24" s="140">
        <f t="shared" si="10"/>
        <v>0.2</v>
      </c>
      <c r="F24" s="168">
        <f t="shared" si="12"/>
        <v>949</v>
      </c>
      <c r="G24" s="172" t="str">
        <f t="shared" si="13"/>
        <v>49</v>
      </c>
      <c r="H24" s="140">
        <f t="shared" si="14"/>
        <v>0.49</v>
      </c>
      <c r="I24" s="173">
        <v>13</v>
      </c>
      <c r="J24" s="168">
        <f t="shared" si="15"/>
        <v>1144</v>
      </c>
      <c r="K24" s="172" t="str">
        <f t="shared" si="16"/>
        <v>44</v>
      </c>
      <c r="L24" s="140">
        <f t="shared" si="17"/>
        <v>0.44</v>
      </c>
      <c r="M24" s="173">
        <v>13</v>
      </c>
      <c r="N24" s="168">
        <f t="shared" si="18"/>
        <v>78</v>
      </c>
      <c r="O24" s="172" t="str">
        <f t="shared" si="19"/>
        <v>78</v>
      </c>
      <c r="P24" s="140">
        <f t="shared" si="11"/>
        <v>0.78</v>
      </c>
      <c r="Q24" s="173">
        <v>13</v>
      </c>
    </row>
    <row r="25" spans="2:17" x14ac:dyDescent="0.25">
      <c r="B25" s="264">
        <f t="shared" si="9"/>
        <v>325</v>
      </c>
      <c r="C25" s="166" t="str">
        <f t="shared" si="5"/>
        <v>25</v>
      </c>
      <c r="D25" s="140">
        <f t="shared" si="10"/>
        <v>0.25</v>
      </c>
      <c r="F25" s="168">
        <f t="shared" si="12"/>
        <v>702</v>
      </c>
      <c r="G25" s="172" t="str">
        <f t="shared" si="13"/>
        <v>02</v>
      </c>
      <c r="H25" s="140">
        <f t="shared" si="14"/>
        <v>0.02</v>
      </c>
      <c r="I25" s="173">
        <v>14</v>
      </c>
      <c r="J25" s="168">
        <f t="shared" si="15"/>
        <v>637</v>
      </c>
      <c r="K25" s="172" t="str">
        <f t="shared" si="16"/>
        <v>37</v>
      </c>
      <c r="L25" s="140">
        <f t="shared" si="17"/>
        <v>0.37</v>
      </c>
      <c r="M25" s="173">
        <v>14</v>
      </c>
      <c r="N25" s="168">
        <f t="shared" si="18"/>
        <v>1079</v>
      </c>
      <c r="O25" s="172" t="str">
        <f t="shared" si="19"/>
        <v>79</v>
      </c>
      <c r="P25" s="140">
        <f t="shared" si="11"/>
        <v>0.79</v>
      </c>
      <c r="Q25" s="173">
        <v>14</v>
      </c>
    </row>
    <row r="26" spans="2:17" x14ac:dyDescent="0.25">
      <c r="B26" s="264">
        <f t="shared" si="9"/>
        <v>390</v>
      </c>
      <c r="C26" s="166" t="str">
        <f t="shared" si="5"/>
        <v>90</v>
      </c>
      <c r="D26" s="140">
        <f t="shared" si="10"/>
        <v>0.9</v>
      </c>
      <c r="F26" s="168">
        <f t="shared" si="12"/>
        <v>91</v>
      </c>
      <c r="G26" s="172" t="str">
        <f t="shared" si="13"/>
        <v>91</v>
      </c>
      <c r="H26" s="140">
        <f t="shared" si="14"/>
        <v>0.91</v>
      </c>
      <c r="I26" s="173">
        <v>15</v>
      </c>
      <c r="J26" s="168">
        <f t="shared" si="15"/>
        <v>546</v>
      </c>
      <c r="K26" s="172" t="str">
        <f t="shared" si="16"/>
        <v>46</v>
      </c>
      <c r="L26" s="140">
        <f t="shared" si="17"/>
        <v>0.46</v>
      </c>
      <c r="M26" s="173">
        <v>15</v>
      </c>
      <c r="N26" s="168">
        <f t="shared" si="18"/>
        <v>1092</v>
      </c>
      <c r="O26" s="172" t="str">
        <f t="shared" si="19"/>
        <v>92</v>
      </c>
      <c r="P26" s="140">
        <f t="shared" si="11"/>
        <v>0.92</v>
      </c>
      <c r="Q26" s="173">
        <v>15</v>
      </c>
    </row>
    <row r="27" spans="2:17" x14ac:dyDescent="0.25">
      <c r="B27" s="264">
        <f t="shared" si="9"/>
        <v>1235</v>
      </c>
      <c r="C27" s="166" t="str">
        <f t="shared" si="5"/>
        <v>35</v>
      </c>
      <c r="D27" s="140">
        <f t="shared" si="10"/>
        <v>0.35</v>
      </c>
      <c r="F27" s="168">
        <f t="shared" si="12"/>
        <v>1248</v>
      </c>
      <c r="G27" s="172" t="str">
        <f t="shared" si="13"/>
        <v>48</v>
      </c>
      <c r="H27" s="140">
        <f t="shared" si="14"/>
        <v>0.48</v>
      </c>
      <c r="I27" s="173">
        <v>16</v>
      </c>
      <c r="J27" s="168">
        <f t="shared" si="15"/>
        <v>663</v>
      </c>
      <c r="K27" s="172" t="str">
        <f t="shared" si="16"/>
        <v>63</v>
      </c>
      <c r="L27" s="140">
        <f t="shared" si="17"/>
        <v>0.63</v>
      </c>
      <c r="M27" s="173">
        <v>16</v>
      </c>
      <c r="N27" s="168">
        <f t="shared" si="18"/>
        <v>1261</v>
      </c>
      <c r="O27" s="172" t="str">
        <f t="shared" si="19"/>
        <v>61</v>
      </c>
      <c r="P27" s="140">
        <f t="shared" si="11"/>
        <v>0.61</v>
      </c>
      <c r="Q27" s="173">
        <v>16</v>
      </c>
    </row>
    <row r="28" spans="2:17" x14ac:dyDescent="0.25">
      <c r="B28" s="264">
        <f t="shared" si="9"/>
        <v>520</v>
      </c>
      <c r="C28" s="162" t="str">
        <f t="shared" si="5"/>
        <v>20</v>
      </c>
      <c r="D28" s="140">
        <f t="shared" si="10"/>
        <v>0.2</v>
      </c>
      <c r="F28" s="168">
        <f t="shared" si="12"/>
        <v>689</v>
      </c>
      <c r="G28" s="172" t="str">
        <f t="shared" si="13"/>
        <v>89</v>
      </c>
      <c r="H28" s="140">
        <f t="shared" si="14"/>
        <v>0.89</v>
      </c>
      <c r="I28" s="173">
        <v>17</v>
      </c>
      <c r="J28" s="168">
        <f t="shared" si="15"/>
        <v>884</v>
      </c>
      <c r="K28" s="172" t="str">
        <f t="shared" si="16"/>
        <v>84</v>
      </c>
      <c r="L28" s="140">
        <f t="shared" si="17"/>
        <v>0.84</v>
      </c>
      <c r="M28" s="173">
        <v>17</v>
      </c>
      <c r="N28" s="168">
        <f t="shared" si="18"/>
        <v>858</v>
      </c>
      <c r="O28" s="172" t="str">
        <f t="shared" si="19"/>
        <v>58</v>
      </c>
      <c r="P28" s="140">
        <f t="shared" si="11"/>
        <v>0.57999999999999996</v>
      </c>
      <c r="Q28" s="173">
        <v>17</v>
      </c>
    </row>
    <row r="29" spans="2:17" x14ac:dyDescent="0.25">
      <c r="B29" s="264">
        <f t="shared" si="9"/>
        <v>325</v>
      </c>
      <c r="C29" s="161" t="str">
        <f t="shared" si="5"/>
        <v>25</v>
      </c>
      <c r="D29" s="140">
        <f t="shared" si="10"/>
        <v>0.25</v>
      </c>
      <c r="E29" s="139"/>
      <c r="F29" s="168">
        <f t="shared" si="12"/>
        <v>1222</v>
      </c>
      <c r="G29" s="172" t="str">
        <f t="shared" si="13"/>
        <v>22</v>
      </c>
      <c r="H29" s="140">
        <f t="shared" si="14"/>
        <v>0.22</v>
      </c>
      <c r="I29" s="173">
        <v>18</v>
      </c>
      <c r="J29" s="168">
        <f t="shared" si="15"/>
        <v>1157</v>
      </c>
      <c r="K29" s="172" t="str">
        <f t="shared" si="16"/>
        <v>57</v>
      </c>
      <c r="L29" s="140">
        <f t="shared" si="17"/>
        <v>0.56999999999999995</v>
      </c>
      <c r="M29" s="173">
        <v>18</v>
      </c>
      <c r="N29" s="168">
        <f t="shared" si="18"/>
        <v>819</v>
      </c>
      <c r="O29" s="172" t="str">
        <f t="shared" si="19"/>
        <v>19</v>
      </c>
      <c r="P29" s="140">
        <f t="shared" si="11"/>
        <v>0.19</v>
      </c>
      <c r="Q29" s="173">
        <v>18</v>
      </c>
    </row>
    <row r="30" spans="2:17" x14ac:dyDescent="0.25">
      <c r="B30" s="264">
        <f t="shared" si="9"/>
        <v>390</v>
      </c>
      <c r="C30" s="161" t="str">
        <f t="shared" si="5"/>
        <v>90</v>
      </c>
      <c r="D30" s="140">
        <f t="shared" si="10"/>
        <v>0.9</v>
      </c>
      <c r="F30" s="168">
        <f t="shared" si="12"/>
        <v>351</v>
      </c>
      <c r="G30" s="172" t="str">
        <f t="shared" si="13"/>
        <v>51</v>
      </c>
      <c r="H30" s="140">
        <f t="shared" si="14"/>
        <v>0.51</v>
      </c>
      <c r="I30" s="173">
        <v>19</v>
      </c>
      <c r="J30" s="168">
        <f t="shared" si="15"/>
        <v>806</v>
      </c>
      <c r="K30" s="172" t="str">
        <f t="shared" si="16"/>
        <v>06</v>
      </c>
      <c r="L30" s="140">
        <f t="shared" si="17"/>
        <v>0.06</v>
      </c>
      <c r="M30" s="173">
        <v>19</v>
      </c>
      <c r="N30" s="168">
        <f t="shared" si="18"/>
        <v>312</v>
      </c>
      <c r="O30" s="172" t="str">
        <f t="shared" si="19"/>
        <v>12</v>
      </c>
      <c r="P30" s="140">
        <f t="shared" si="11"/>
        <v>0.12</v>
      </c>
      <c r="Q30" s="173">
        <v>19</v>
      </c>
    </row>
    <row r="31" spans="2:17" x14ac:dyDescent="0.25">
      <c r="B31" s="264">
        <f t="shared" si="9"/>
        <v>1235</v>
      </c>
      <c r="C31" s="161" t="str">
        <f t="shared" si="5"/>
        <v>35</v>
      </c>
      <c r="D31" s="140">
        <f t="shared" si="10"/>
        <v>0.35</v>
      </c>
      <c r="F31" s="168">
        <f t="shared" si="12"/>
        <v>728</v>
      </c>
      <c r="G31" s="172" t="str">
        <f t="shared" si="13"/>
        <v>28</v>
      </c>
      <c r="H31" s="140">
        <f t="shared" si="14"/>
        <v>0.28000000000000003</v>
      </c>
      <c r="I31" s="173">
        <v>20</v>
      </c>
      <c r="J31" s="168">
        <f t="shared" si="15"/>
        <v>143</v>
      </c>
      <c r="K31" s="172" t="str">
        <f t="shared" si="16"/>
        <v>43</v>
      </c>
      <c r="L31" s="140">
        <f t="shared" si="17"/>
        <v>0.43</v>
      </c>
      <c r="M31" s="173">
        <v>20</v>
      </c>
      <c r="N31" s="168">
        <f t="shared" si="18"/>
        <v>221</v>
      </c>
      <c r="O31" s="172" t="str">
        <f t="shared" si="19"/>
        <v>21</v>
      </c>
      <c r="P31" s="140">
        <f t="shared" si="11"/>
        <v>0.21</v>
      </c>
      <c r="Q31" s="173">
        <v>20</v>
      </c>
    </row>
    <row r="32" spans="2:17" x14ac:dyDescent="0.25">
      <c r="B32" s="264">
        <f t="shared" si="9"/>
        <v>520</v>
      </c>
      <c r="C32" s="162" t="str">
        <f t="shared" si="5"/>
        <v>20</v>
      </c>
      <c r="D32" s="140">
        <f t="shared" si="10"/>
        <v>0.2</v>
      </c>
      <c r="F32" s="168">
        <f t="shared" si="12"/>
        <v>429</v>
      </c>
      <c r="G32" s="162" t="str">
        <f t="shared" si="13"/>
        <v>29</v>
      </c>
      <c r="H32" s="140">
        <f t="shared" si="14"/>
        <v>0.28999999999999998</v>
      </c>
      <c r="J32" s="168">
        <f t="shared" si="15"/>
        <v>624</v>
      </c>
      <c r="K32" s="162" t="str">
        <f t="shared" si="16"/>
        <v>24</v>
      </c>
      <c r="L32" s="140">
        <f t="shared" si="17"/>
        <v>0.24</v>
      </c>
      <c r="N32" s="168">
        <f t="shared" si="18"/>
        <v>338</v>
      </c>
      <c r="O32" s="162" t="str">
        <f t="shared" si="19"/>
        <v>38</v>
      </c>
      <c r="P32" s="140">
        <f t="shared" si="11"/>
        <v>0.38</v>
      </c>
    </row>
    <row r="33" spans="2:16" x14ac:dyDescent="0.25">
      <c r="B33" s="264">
        <f t="shared" si="9"/>
        <v>325</v>
      </c>
      <c r="C33" s="166" t="str">
        <f t="shared" si="5"/>
        <v>25</v>
      </c>
      <c r="D33" s="140">
        <f t="shared" si="10"/>
        <v>0.25</v>
      </c>
      <c r="F33" s="168">
        <f t="shared" si="12"/>
        <v>442</v>
      </c>
      <c r="G33" s="166" t="str">
        <f t="shared" si="13"/>
        <v>42</v>
      </c>
      <c r="H33" s="140">
        <f t="shared" si="14"/>
        <v>0.42</v>
      </c>
      <c r="J33" s="168">
        <f t="shared" si="15"/>
        <v>377</v>
      </c>
      <c r="K33" s="166" t="str">
        <f t="shared" si="16"/>
        <v>77</v>
      </c>
      <c r="L33" s="140">
        <f t="shared" si="17"/>
        <v>0.77</v>
      </c>
      <c r="N33" s="168">
        <f t="shared" si="18"/>
        <v>559</v>
      </c>
      <c r="O33" s="166" t="str">
        <f t="shared" si="19"/>
        <v>59</v>
      </c>
      <c r="P33" s="140">
        <f t="shared" si="11"/>
        <v>0.59</v>
      </c>
    </row>
    <row r="34" spans="2:16" x14ac:dyDescent="0.25">
      <c r="B34" s="264">
        <f t="shared" si="9"/>
        <v>390</v>
      </c>
      <c r="C34" s="166" t="str">
        <f t="shared" si="5"/>
        <v>90</v>
      </c>
      <c r="D34" s="140">
        <f t="shared" si="10"/>
        <v>0.9</v>
      </c>
      <c r="F34" s="168">
        <f t="shared" si="12"/>
        <v>611</v>
      </c>
      <c r="G34" s="166" t="str">
        <f t="shared" si="13"/>
        <v>11</v>
      </c>
      <c r="H34" s="140">
        <f t="shared" si="14"/>
        <v>0.11</v>
      </c>
      <c r="J34" s="168">
        <f t="shared" si="15"/>
        <v>1066</v>
      </c>
      <c r="K34" s="166" t="str">
        <f t="shared" si="16"/>
        <v>66</v>
      </c>
      <c r="L34" s="140">
        <f t="shared" si="17"/>
        <v>0.66</v>
      </c>
      <c r="N34" s="168">
        <f t="shared" si="18"/>
        <v>832</v>
      </c>
      <c r="O34" s="166" t="str">
        <f t="shared" si="19"/>
        <v>32</v>
      </c>
      <c r="P34" s="140">
        <f t="shared" si="11"/>
        <v>0.32</v>
      </c>
    </row>
    <row r="35" spans="2:16" x14ac:dyDescent="0.25">
      <c r="B35" s="264">
        <f t="shared" si="9"/>
        <v>1235</v>
      </c>
      <c r="C35" s="166" t="str">
        <f t="shared" si="5"/>
        <v>35</v>
      </c>
      <c r="D35" s="140">
        <f t="shared" si="10"/>
        <v>0.35</v>
      </c>
      <c r="F35" s="168">
        <f t="shared" si="12"/>
        <v>208</v>
      </c>
      <c r="G35" s="166" t="str">
        <f t="shared" si="13"/>
        <v>08</v>
      </c>
      <c r="H35" s="140">
        <f t="shared" si="14"/>
        <v>0.08</v>
      </c>
      <c r="J35" s="168">
        <f t="shared" si="15"/>
        <v>923</v>
      </c>
      <c r="K35" s="166" t="str">
        <f t="shared" si="16"/>
        <v>23</v>
      </c>
      <c r="L35" s="140">
        <f t="shared" si="17"/>
        <v>0.23</v>
      </c>
      <c r="N35" s="168">
        <f t="shared" si="18"/>
        <v>481</v>
      </c>
      <c r="O35" s="166" t="str">
        <f t="shared" si="19"/>
        <v>81</v>
      </c>
      <c r="P35" s="140">
        <f t="shared" si="11"/>
        <v>0.81</v>
      </c>
    </row>
    <row r="39" spans="2:16" x14ac:dyDescent="0.25">
      <c r="B39" s="164"/>
      <c r="C39" s="169"/>
      <c r="D39" s="163"/>
      <c r="E39" s="13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0:Q40"/>
  <sheetViews>
    <sheetView showGridLines="0" zoomScale="130" zoomScaleNormal="130" workbookViewId="0">
      <selection activeCell="G16" sqref="G16"/>
    </sheetView>
  </sheetViews>
  <sheetFormatPr baseColWidth="10" defaultRowHeight="15" x14ac:dyDescent="0.25"/>
  <cols>
    <col min="1" max="1" width="3" customWidth="1"/>
    <col min="3" max="3" width="18" customWidth="1"/>
    <col min="5" max="5" width="6" customWidth="1"/>
    <col min="6" max="6" width="18.5703125" bestFit="1" customWidth="1"/>
    <col min="7" max="7" width="11.85546875" bestFit="1" customWidth="1"/>
    <col min="9" max="9" width="4.7109375" customWidth="1"/>
    <col min="13" max="13" width="6.5703125" customWidth="1"/>
    <col min="17" max="17" width="6.140625" customWidth="1"/>
  </cols>
  <sheetData>
    <row r="10" spans="2:17" x14ac:dyDescent="0.25">
      <c r="D10" s="163" t="s">
        <v>191</v>
      </c>
      <c r="E10" s="139"/>
      <c r="F10" s="265"/>
      <c r="G10" s="265"/>
      <c r="H10" s="265"/>
      <c r="I10" s="71"/>
      <c r="J10" s="265"/>
      <c r="K10" s="265"/>
      <c r="L10" s="265"/>
      <c r="M10" s="71"/>
      <c r="N10" s="265"/>
      <c r="O10" s="265"/>
      <c r="P10" s="265"/>
      <c r="Q10" s="139"/>
    </row>
    <row r="11" spans="2:17" x14ac:dyDescent="0.25">
      <c r="B11" t="s">
        <v>319</v>
      </c>
      <c r="C11" s="269" t="s">
        <v>320</v>
      </c>
      <c r="D11" s="164" t="s">
        <v>186</v>
      </c>
      <c r="E11" s="165"/>
      <c r="F11" s="265"/>
      <c r="G11" s="265"/>
      <c r="H11" s="265"/>
      <c r="I11" s="71"/>
      <c r="J11" s="265"/>
      <c r="K11" s="265"/>
      <c r="L11" s="265"/>
      <c r="M11" s="71"/>
      <c r="N11" s="265"/>
      <c r="O11" s="265"/>
      <c r="P11" s="265"/>
      <c r="Q11" s="139"/>
    </row>
    <row r="12" spans="2:17" ht="15.75" x14ac:dyDescent="0.25">
      <c r="B12" s="168"/>
      <c r="C12" s="270" t="s">
        <v>321</v>
      </c>
      <c r="D12" s="271">
        <v>1879</v>
      </c>
      <c r="E12" s="165"/>
      <c r="F12" s="265"/>
      <c r="G12" s="265"/>
      <c r="H12" s="265"/>
      <c r="I12" s="71"/>
      <c r="J12" s="265"/>
      <c r="K12" s="265"/>
      <c r="L12" s="265"/>
      <c r="M12" s="71"/>
      <c r="N12" s="265"/>
      <c r="O12" s="265"/>
      <c r="P12" s="265"/>
      <c r="Q12" s="139"/>
    </row>
    <row r="13" spans="2:17" ht="15.75" x14ac:dyDescent="0.25">
      <c r="B13" s="272">
        <f>D12^2</f>
        <v>3530641</v>
      </c>
      <c r="C13" s="273" t="str">
        <f>IF(ISEVEN(LEN(B13))=TRUE,B13,CONCATENATE(0,B13))</f>
        <v>03530641</v>
      </c>
      <c r="D13" s="166" t="str">
        <f>MID(C13,3,4)</f>
        <v>5306</v>
      </c>
      <c r="E13" s="173">
        <v>1</v>
      </c>
      <c r="F13" s="275"/>
      <c r="G13" s="267"/>
      <c r="H13" s="265"/>
      <c r="I13" s="266"/>
      <c r="J13" s="265"/>
      <c r="K13" s="267"/>
      <c r="L13" s="265"/>
      <c r="M13" s="266"/>
      <c r="N13" s="265"/>
      <c r="O13" s="267"/>
      <c r="P13" s="265"/>
      <c r="Q13" s="173"/>
    </row>
    <row r="14" spans="2:17" ht="15.75" x14ac:dyDescent="0.25">
      <c r="B14" s="274">
        <f t="shared" ref="B14:B36" si="0">D13^2</f>
        <v>28153636</v>
      </c>
      <c r="C14" s="273">
        <f t="shared" ref="C14:C36" si="1">IF(ISEVEN(LEN(B14))=TRUE,B14,CONCATENATE(0,B14))</f>
        <v>28153636</v>
      </c>
      <c r="D14" s="166" t="str">
        <f t="shared" ref="D14:D36" si="2">MID(C14,3,4)</f>
        <v>1536</v>
      </c>
      <c r="E14" s="173">
        <v>2</v>
      </c>
      <c r="F14" s="268"/>
      <c r="G14" s="267"/>
      <c r="H14" s="265"/>
      <c r="I14" s="266"/>
      <c r="J14" s="268"/>
      <c r="K14" s="267"/>
      <c r="L14" s="265"/>
      <c r="M14" s="266"/>
      <c r="N14" s="268"/>
      <c r="O14" s="267"/>
      <c r="P14" s="265"/>
      <c r="Q14" s="173"/>
    </row>
    <row r="15" spans="2:17" ht="15.75" x14ac:dyDescent="0.25">
      <c r="B15" s="272">
        <f t="shared" si="0"/>
        <v>2359296</v>
      </c>
      <c r="C15" s="273" t="str">
        <f t="shared" si="1"/>
        <v>02359296</v>
      </c>
      <c r="D15" s="166" t="str">
        <f t="shared" si="2"/>
        <v>3592</v>
      </c>
      <c r="E15" s="173">
        <v>3</v>
      </c>
      <c r="F15" s="268"/>
      <c r="G15" s="267"/>
      <c r="H15" s="265"/>
      <c r="I15" s="266"/>
      <c r="J15" s="268"/>
      <c r="K15" s="267"/>
      <c r="L15" s="265"/>
      <c r="M15" s="266"/>
      <c r="N15" s="268"/>
      <c r="O15" s="267"/>
      <c r="P15" s="265"/>
      <c r="Q15" s="173"/>
    </row>
    <row r="16" spans="2:17" ht="15.75" x14ac:dyDescent="0.25">
      <c r="B16" s="274">
        <f t="shared" si="0"/>
        <v>12902464</v>
      </c>
      <c r="C16" s="273">
        <f t="shared" si="1"/>
        <v>12902464</v>
      </c>
      <c r="D16" s="166" t="str">
        <f t="shared" si="2"/>
        <v>9024</v>
      </c>
      <c r="E16" s="173">
        <v>4</v>
      </c>
      <c r="F16" s="268"/>
      <c r="G16" s="267"/>
      <c r="H16" s="265"/>
      <c r="I16" s="266"/>
      <c r="J16" s="268"/>
      <c r="K16" s="267"/>
      <c r="L16" s="265"/>
      <c r="M16" s="266"/>
      <c r="N16" s="268"/>
      <c r="O16" s="267"/>
      <c r="P16" s="265"/>
      <c r="Q16" s="173"/>
    </row>
    <row r="17" spans="2:17" ht="15.75" x14ac:dyDescent="0.25">
      <c r="B17" s="274">
        <f t="shared" si="0"/>
        <v>81432576</v>
      </c>
      <c r="C17" s="273">
        <f t="shared" si="1"/>
        <v>81432576</v>
      </c>
      <c r="D17" s="166" t="str">
        <f t="shared" si="2"/>
        <v>4325</v>
      </c>
      <c r="E17" s="173">
        <v>5</v>
      </c>
      <c r="F17" s="268"/>
      <c r="G17" s="267"/>
      <c r="H17" s="265"/>
      <c r="I17" s="266"/>
      <c r="J17" s="268"/>
      <c r="K17" s="267"/>
      <c r="L17" s="265"/>
      <c r="M17" s="266"/>
      <c r="N17" s="268"/>
      <c r="O17" s="267"/>
      <c r="P17" s="265"/>
      <c r="Q17" s="173"/>
    </row>
    <row r="18" spans="2:17" ht="15.75" x14ac:dyDescent="0.25">
      <c r="B18" s="274">
        <f t="shared" si="0"/>
        <v>18705625</v>
      </c>
      <c r="C18" s="273">
        <f t="shared" si="1"/>
        <v>18705625</v>
      </c>
      <c r="D18" s="166" t="str">
        <f t="shared" si="2"/>
        <v>7056</v>
      </c>
      <c r="E18" s="173">
        <v>6</v>
      </c>
      <c r="F18" s="268"/>
      <c r="G18" s="267"/>
      <c r="H18" s="265"/>
      <c r="I18" s="266"/>
      <c r="J18" s="268"/>
      <c r="K18" s="267"/>
      <c r="L18" s="265"/>
      <c r="M18" s="266"/>
      <c r="N18" s="268"/>
      <c r="O18" s="267"/>
      <c r="P18" s="265"/>
      <c r="Q18" s="173"/>
    </row>
    <row r="19" spans="2:17" ht="15.75" x14ac:dyDescent="0.25">
      <c r="B19" s="274">
        <f t="shared" si="0"/>
        <v>49787136</v>
      </c>
      <c r="C19" s="273">
        <f t="shared" si="1"/>
        <v>49787136</v>
      </c>
      <c r="D19" s="166" t="str">
        <f t="shared" si="2"/>
        <v>7871</v>
      </c>
      <c r="E19" s="173">
        <v>7</v>
      </c>
      <c r="F19" s="268"/>
      <c r="G19" s="267"/>
      <c r="H19" s="265"/>
      <c r="I19" s="266"/>
      <c r="J19" s="268"/>
      <c r="K19" s="267"/>
      <c r="L19" s="265"/>
      <c r="M19" s="266"/>
      <c r="N19" s="268"/>
      <c r="O19" s="267"/>
      <c r="P19" s="265"/>
      <c r="Q19" s="173"/>
    </row>
    <row r="20" spans="2:17" ht="15.75" x14ac:dyDescent="0.25">
      <c r="B20" s="274">
        <f t="shared" si="0"/>
        <v>61952641</v>
      </c>
      <c r="C20" s="273">
        <f t="shared" si="1"/>
        <v>61952641</v>
      </c>
      <c r="D20" s="166" t="str">
        <f t="shared" si="2"/>
        <v>9526</v>
      </c>
      <c r="E20" s="173">
        <v>8</v>
      </c>
      <c r="F20" s="268"/>
      <c r="G20" s="267"/>
      <c r="H20" s="265"/>
      <c r="I20" s="266"/>
      <c r="J20" s="268"/>
      <c r="K20" s="267"/>
      <c r="L20" s="265"/>
      <c r="M20" s="266"/>
      <c r="N20" s="268"/>
      <c r="O20" s="267"/>
      <c r="P20" s="265"/>
      <c r="Q20" s="173"/>
    </row>
    <row r="21" spans="2:17" ht="15.75" x14ac:dyDescent="0.25">
      <c r="B21" s="274">
        <f t="shared" si="0"/>
        <v>90744676</v>
      </c>
      <c r="C21" s="273">
        <f t="shared" si="1"/>
        <v>90744676</v>
      </c>
      <c r="D21" s="166" t="str">
        <f t="shared" si="2"/>
        <v>7446</v>
      </c>
      <c r="E21" s="173">
        <v>9</v>
      </c>
      <c r="F21" s="268"/>
      <c r="G21" s="267"/>
      <c r="H21" s="265"/>
      <c r="I21" s="266"/>
      <c r="J21" s="268"/>
      <c r="K21" s="267"/>
      <c r="L21" s="265"/>
      <c r="M21" s="266"/>
      <c r="N21" s="268"/>
      <c r="O21" s="267"/>
      <c r="P21" s="265"/>
      <c r="Q21" s="173"/>
    </row>
    <row r="22" spans="2:17" ht="15.75" x14ac:dyDescent="0.25">
      <c r="B22" s="274">
        <f t="shared" si="0"/>
        <v>55442916</v>
      </c>
      <c r="C22" s="273">
        <f t="shared" si="1"/>
        <v>55442916</v>
      </c>
      <c r="D22" s="166" t="str">
        <f t="shared" si="2"/>
        <v>4429</v>
      </c>
      <c r="E22" s="173">
        <v>10</v>
      </c>
      <c r="F22" s="268"/>
      <c r="G22" s="267"/>
      <c r="H22" s="265"/>
      <c r="I22" s="266"/>
      <c r="J22" s="268"/>
      <c r="K22" s="267"/>
      <c r="L22" s="265"/>
      <c r="M22" s="266"/>
      <c r="N22" s="268"/>
      <c r="O22" s="267"/>
      <c r="P22" s="265"/>
      <c r="Q22" s="173"/>
    </row>
    <row r="23" spans="2:17" ht="15.75" x14ac:dyDescent="0.25">
      <c r="B23" s="274">
        <f t="shared" si="0"/>
        <v>19616041</v>
      </c>
      <c r="C23" s="273">
        <f t="shared" si="1"/>
        <v>19616041</v>
      </c>
      <c r="D23" s="166" t="str">
        <f t="shared" si="2"/>
        <v>6160</v>
      </c>
      <c r="E23" s="173">
        <v>11</v>
      </c>
      <c r="F23" s="268"/>
      <c r="G23" s="267"/>
      <c r="H23" s="265"/>
      <c r="I23" s="266"/>
      <c r="J23" s="268"/>
      <c r="K23" s="267"/>
      <c r="L23" s="265"/>
      <c r="M23" s="266"/>
      <c r="N23" s="268"/>
      <c r="O23" s="267"/>
      <c r="P23" s="265"/>
      <c r="Q23" s="173"/>
    </row>
    <row r="24" spans="2:17" ht="15.75" x14ac:dyDescent="0.25">
      <c r="B24" s="274">
        <f t="shared" si="0"/>
        <v>37945600</v>
      </c>
      <c r="C24" s="273">
        <f t="shared" si="1"/>
        <v>37945600</v>
      </c>
      <c r="D24" s="166" t="str">
        <f t="shared" si="2"/>
        <v>9456</v>
      </c>
      <c r="E24" s="173">
        <v>12</v>
      </c>
      <c r="F24" s="268"/>
      <c r="G24" s="267"/>
      <c r="H24" s="265"/>
      <c r="I24" s="266"/>
      <c r="J24" s="268"/>
      <c r="K24" s="267"/>
      <c r="L24" s="265"/>
      <c r="M24" s="266"/>
      <c r="N24" s="268"/>
      <c r="O24" s="267"/>
      <c r="P24" s="265"/>
      <c r="Q24" s="173"/>
    </row>
    <row r="25" spans="2:17" ht="15.75" x14ac:dyDescent="0.25">
      <c r="B25" s="274">
        <f t="shared" si="0"/>
        <v>89415936</v>
      </c>
      <c r="C25" s="273">
        <f t="shared" si="1"/>
        <v>89415936</v>
      </c>
      <c r="D25" s="166" t="str">
        <f t="shared" si="2"/>
        <v>4159</v>
      </c>
      <c r="E25" s="173">
        <v>13</v>
      </c>
      <c r="F25" s="268"/>
      <c r="G25" s="267"/>
      <c r="H25" s="265"/>
      <c r="I25" s="266"/>
      <c r="J25" s="268"/>
      <c r="K25" s="267"/>
      <c r="L25" s="265"/>
      <c r="M25" s="266"/>
      <c r="N25" s="268"/>
      <c r="O25" s="267"/>
      <c r="P25" s="265"/>
      <c r="Q25" s="173"/>
    </row>
    <row r="26" spans="2:17" ht="15.75" x14ac:dyDescent="0.25">
      <c r="B26" s="274">
        <f t="shared" si="0"/>
        <v>17297281</v>
      </c>
      <c r="C26" s="273">
        <f t="shared" si="1"/>
        <v>17297281</v>
      </c>
      <c r="D26" s="166" t="str">
        <f t="shared" si="2"/>
        <v>2972</v>
      </c>
      <c r="E26" s="173">
        <v>14</v>
      </c>
      <c r="F26" s="268"/>
      <c r="G26" s="267"/>
      <c r="H26" s="265"/>
      <c r="I26" s="266"/>
      <c r="J26" s="268"/>
      <c r="K26" s="267"/>
      <c r="L26" s="265"/>
      <c r="M26" s="266"/>
      <c r="N26" s="268"/>
      <c r="O26" s="267"/>
      <c r="P26" s="265"/>
      <c r="Q26" s="173"/>
    </row>
    <row r="27" spans="2:17" ht="15.75" x14ac:dyDescent="0.25">
      <c r="B27" s="272">
        <f t="shared" si="0"/>
        <v>8832784</v>
      </c>
      <c r="C27" s="273" t="str">
        <f t="shared" si="1"/>
        <v>08832784</v>
      </c>
      <c r="D27" s="166" t="str">
        <f t="shared" si="2"/>
        <v>8327</v>
      </c>
      <c r="E27" s="173">
        <v>15</v>
      </c>
      <c r="F27" s="268"/>
      <c r="G27" s="267"/>
      <c r="H27" s="265"/>
      <c r="I27" s="266"/>
      <c r="J27" s="268"/>
      <c r="K27" s="267"/>
      <c r="L27" s="265"/>
      <c r="M27" s="266"/>
      <c r="N27" s="268"/>
      <c r="O27" s="267"/>
      <c r="P27" s="265"/>
      <c r="Q27" s="173"/>
    </row>
    <row r="28" spans="2:17" ht="15.75" x14ac:dyDescent="0.25">
      <c r="B28" s="274">
        <f t="shared" si="0"/>
        <v>69338929</v>
      </c>
      <c r="C28" s="273">
        <f t="shared" si="1"/>
        <v>69338929</v>
      </c>
      <c r="D28" s="166" t="str">
        <f t="shared" si="2"/>
        <v>3389</v>
      </c>
      <c r="E28" s="173">
        <v>16</v>
      </c>
      <c r="F28" s="268"/>
      <c r="G28" s="267"/>
      <c r="H28" s="265"/>
      <c r="I28" s="266"/>
      <c r="J28" s="268"/>
      <c r="K28" s="267"/>
      <c r="L28" s="265"/>
      <c r="M28" s="266"/>
      <c r="N28" s="268"/>
      <c r="O28" s="267"/>
      <c r="P28" s="265"/>
      <c r="Q28" s="173"/>
    </row>
    <row r="29" spans="2:17" ht="15.75" x14ac:dyDescent="0.25">
      <c r="B29" s="274">
        <f t="shared" si="0"/>
        <v>11485321</v>
      </c>
      <c r="C29" s="273">
        <f t="shared" si="1"/>
        <v>11485321</v>
      </c>
      <c r="D29" s="166" t="str">
        <f t="shared" si="2"/>
        <v>4853</v>
      </c>
      <c r="E29" s="173">
        <v>17</v>
      </c>
      <c r="F29" s="268"/>
      <c r="G29" s="267"/>
      <c r="H29" s="265"/>
      <c r="I29" s="266"/>
      <c r="J29" s="268"/>
      <c r="K29" s="267"/>
      <c r="L29" s="265"/>
      <c r="M29" s="266"/>
      <c r="N29" s="268"/>
      <c r="O29" s="267"/>
      <c r="P29" s="265"/>
      <c r="Q29" s="173"/>
    </row>
    <row r="30" spans="2:17" ht="15.75" x14ac:dyDescent="0.25">
      <c r="B30" s="274">
        <f t="shared" si="0"/>
        <v>23551609</v>
      </c>
      <c r="C30" s="273">
        <f t="shared" si="1"/>
        <v>23551609</v>
      </c>
      <c r="D30" s="166" t="str">
        <f t="shared" si="2"/>
        <v>5516</v>
      </c>
      <c r="E30" s="173">
        <v>18</v>
      </c>
      <c r="F30" s="268"/>
      <c r="G30" s="267"/>
      <c r="H30" s="265"/>
      <c r="I30" s="266"/>
      <c r="J30" s="268"/>
      <c r="K30" s="267"/>
      <c r="L30" s="265"/>
      <c r="M30" s="266"/>
      <c r="N30" s="268"/>
      <c r="O30" s="267"/>
      <c r="P30" s="265"/>
      <c r="Q30" s="173"/>
    </row>
    <row r="31" spans="2:17" ht="15.75" x14ac:dyDescent="0.25">
      <c r="B31" s="274">
        <f t="shared" si="0"/>
        <v>30426256</v>
      </c>
      <c r="C31" s="273">
        <f t="shared" si="1"/>
        <v>30426256</v>
      </c>
      <c r="D31" s="166" t="str">
        <f t="shared" si="2"/>
        <v>4262</v>
      </c>
      <c r="E31" s="173">
        <v>19</v>
      </c>
      <c r="F31" s="268"/>
      <c r="G31" s="267"/>
      <c r="H31" s="265"/>
      <c r="I31" s="266"/>
      <c r="J31" s="268"/>
      <c r="K31" s="267"/>
      <c r="L31" s="265"/>
      <c r="M31" s="266"/>
      <c r="N31" s="268"/>
      <c r="O31" s="267"/>
      <c r="P31" s="265"/>
      <c r="Q31" s="173"/>
    </row>
    <row r="32" spans="2:17" ht="15.75" x14ac:dyDescent="0.25">
      <c r="B32" s="274">
        <f t="shared" si="0"/>
        <v>18164644</v>
      </c>
      <c r="C32" s="273">
        <f t="shared" si="1"/>
        <v>18164644</v>
      </c>
      <c r="D32" s="166" t="str">
        <f t="shared" si="2"/>
        <v>1646</v>
      </c>
      <c r="E32" s="173">
        <v>20</v>
      </c>
      <c r="F32" s="268"/>
      <c r="G32" s="267"/>
      <c r="H32" s="265"/>
      <c r="I32" s="266"/>
      <c r="J32" s="268"/>
      <c r="K32" s="267"/>
      <c r="L32" s="265"/>
      <c r="M32" s="266"/>
      <c r="N32" s="268"/>
      <c r="O32" s="267"/>
      <c r="P32" s="265"/>
      <c r="Q32" s="173"/>
    </row>
    <row r="33" spans="2:16" ht="15.75" x14ac:dyDescent="0.25">
      <c r="B33" s="272">
        <f t="shared" si="0"/>
        <v>2709316</v>
      </c>
      <c r="C33" s="273" t="str">
        <f t="shared" si="1"/>
        <v>02709316</v>
      </c>
      <c r="D33" s="166" t="str">
        <f t="shared" si="2"/>
        <v>7093</v>
      </c>
      <c r="E33" s="173">
        <v>21</v>
      </c>
      <c r="F33" s="268"/>
      <c r="G33" s="267"/>
      <c r="H33" s="265"/>
      <c r="I33" s="71"/>
      <c r="J33" s="268"/>
      <c r="K33" s="267"/>
      <c r="L33" s="265"/>
      <c r="M33" s="71"/>
      <c r="N33" s="268"/>
      <c r="O33" s="267"/>
      <c r="P33" s="265"/>
    </row>
    <row r="34" spans="2:16" ht="15.75" x14ac:dyDescent="0.25">
      <c r="B34" s="274">
        <f t="shared" si="0"/>
        <v>50310649</v>
      </c>
      <c r="C34" s="273">
        <f t="shared" si="1"/>
        <v>50310649</v>
      </c>
      <c r="D34" s="166" t="str">
        <f t="shared" si="2"/>
        <v>3106</v>
      </c>
      <c r="E34" s="173">
        <v>22</v>
      </c>
      <c r="F34" s="268"/>
      <c r="G34" s="267"/>
      <c r="H34" s="265"/>
      <c r="I34" s="71"/>
      <c r="J34" s="268"/>
      <c r="K34" s="267"/>
      <c r="L34" s="265"/>
      <c r="M34" s="71"/>
      <c r="N34" s="268"/>
      <c r="O34" s="267"/>
      <c r="P34" s="265"/>
    </row>
    <row r="35" spans="2:16" ht="15.75" x14ac:dyDescent="0.25">
      <c r="B35" s="272">
        <f t="shared" si="0"/>
        <v>9647236</v>
      </c>
      <c r="C35" s="273" t="str">
        <f t="shared" si="1"/>
        <v>09647236</v>
      </c>
      <c r="D35" s="166" t="str">
        <f t="shared" si="2"/>
        <v>6472</v>
      </c>
      <c r="E35" s="173">
        <v>23</v>
      </c>
      <c r="F35" s="268"/>
      <c r="G35" s="267"/>
      <c r="H35" s="265"/>
      <c r="I35" s="71"/>
      <c r="J35" s="268"/>
      <c r="K35" s="267"/>
      <c r="L35" s="265"/>
      <c r="M35" s="71"/>
      <c r="N35" s="268"/>
      <c r="O35" s="267"/>
      <c r="P35" s="265"/>
    </row>
    <row r="36" spans="2:16" ht="15.75" x14ac:dyDescent="0.25">
      <c r="B36" s="274">
        <f t="shared" si="0"/>
        <v>41886784</v>
      </c>
      <c r="C36" s="273">
        <f t="shared" si="1"/>
        <v>41886784</v>
      </c>
      <c r="D36" s="166" t="str">
        <f t="shared" si="2"/>
        <v>8867</v>
      </c>
      <c r="E36" s="173">
        <v>24</v>
      </c>
      <c r="F36" s="268"/>
      <c r="G36" s="267"/>
      <c r="H36" s="265"/>
      <c r="I36" s="71"/>
      <c r="J36" s="268"/>
      <c r="K36" s="267"/>
      <c r="L36" s="265"/>
      <c r="M36" s="71"/>
      <c r="N36" s="268"/>
      <c r="O36" s="267"/>
      <c r="P36" s="265"/>
    </row>
    <row r="40" spans="2:16" x14ac:dyDescent="0.25">
      <c r="B40" s="164"/>
      <c r="C40" s="169"/>
      <c r="D40" s="163"/>
      <c r="E40" s="13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29"/>
  <sheetViews>
    <sheetView showGridLines="0" topLeftCell="A22" zoomScaleNormal="100" workbookViewId="0">
      <selection activeCell="J14" sqref="J14"/>
    </sheetView>
  </sheetViews>
  <sheetFormatPr baseColWidth="10" defaultRowHeight="15" x14ac:dyDescent="0.25"/>
  <cols>
    <col min="1" max="1" width="3.42578125" customWidth="1"/>
    <col min="2" max="2" width="6.85546875" customWidth="1"/>
    <col min="3" max="3" width="7.140625" style="29" bestFit="1" customWidth="1"/>
    <col min="4" max="4" width="9.42578125" bestFit="1" customWidth="1"/>
    <col min="5" max="5" width="11.140625" bestFit="1" customWidth="1"/>
    <col min="6" max="6" width="10.85546875" bestFit="1" customWidth="1"/>
    <col min="7" max="7" width="9" bestFit="1" customWidth="1"/>
    <col min="8" max="8" width="10.42578125" bestFit="1" customWidth="1"/>
    <col min="9" max="9" width="11.85546875" bestFit="1" customWidth="1"/>
    <col min="10" max="10" width="10.5703125" bestFit="1" customWidth="1"/>
    <col min="11" max="11" width="8" bestFit="1" customWidth="1"/>
    <col min="12" max="12" width="11.140625" bestFit="1" customWidth="1"/>
    <col min="13" max="13" width="10.85546875" bestFit="1" customWidth="1"/>
    <col min="14" max="14" width="4.28515625" customWidth="1"/>
  </cols>
  <sheetData>
    <row r="1" spans="1:13" ht="14.25" customHeight="1" x14ac:dyDescent="0.25">
      <c r="A1" s="14"/>
      <c r="B1" s="29"/>
    </row>
    <row r="2" spans="1:13" x14ac:dyDescent="0.25">
      <c r="A2" s="6"/>
      <c r="B2" s="86" t="s">
        <v>54</v>
      </c>
      <c r="C2" s="87" t="s">
        <v>55</v>
      </c>
      <c r="D2" s="49" t="s">
        <v>11</v>
      </c>
      <c r="E2" s="87" t="s">
        <v>56</v>
      </c>
      <c r="F2" s="49" t="s">
        <v>57</v>
      </c>
      <c r="G2" s="49" t="s">
        <v>58</v>
      </c>
      <c r="H2" s="49" t="s">
        <v>59</v>
      </c>
      <c r="I2" s="49" t="s">
        <v>60</v>
      </c>
      <c r="J2" s="49" t="s">
        <v>61</v>
      </c>
      <c r="K2" s="6"/>
      <c r="L2" s="6"/>
      <c r="M2" s="6"/>
    </row>
    <row r="3" spans="1:13" x14ac:dyDescent="0.25">
      <c r="A3" s="6"/>
      <c r="B3" s="88">
        <v>1</v>
      </c>
      <c r="C3" s="105">
        <v>0.22</v>
      </c>
      <c r="D3" s="106">
        <v>95</v>
      </c>
      <c r="E3" s="105">
        <v>0.6</v>
      </c>
      <c r="F3" s="107">
        <v>2</v>
      </c>
      <c r="G3" s="108">
        <f>D3-F3</f>
        <v>93</v>
      </c>
      <c r="H3" s="55">
        <f>IF(G3&gt;99,100,G3)</f>
        <v>93</v>
      </c>
      <c r="I3" s="109">
        <f>IF(G3&gt;100,G3-100,0)</f>
        <v>0</v>
      </c>
      <c r="J3" s="108">
        <f>IF(G3&gt;100,1,0)</f>
        <v>0</v>
      </c>
      <c r="K3" s="35"/>
      <c r="L3" s="36"/>
      <c r="M3" s="36"/>
    </row>
    <row r="4" spans="1:13" x14ac:dyDescent="0.25">
      <c r="B4" s="88">
        <v>2</v>
      </c>
      <c r="C4" s="105">
        <v>0.5</v>
      </c>
      <c r="D4" s="106">
        <v>105</v>
      </c>
      <c r="E4" s="105">
        <v>0.52</v>
      </c>
      <c r="F4" s="107">
        <v>2</v>
      </c>
      <c r="G4" s="108">
        <f t="shared" ref="G4:G12" si="0">D4-F4</f>
        <v>103</v>
      </c>
      <c r="H4" s="55">
        <f>IF(G4&gt;99,100,G4)</f>
        <v>100</v>
      </c>
      <c r="I4" s="109">
        <f t="shared" ref="I4:I12" si="1">IF(G4&gt;100,G4-100,0)</f>
        <v>3</v>
      </c>
      <c r="J4" s="108">
        <f t="shared" ref="J4:J12" si="2">IF(G4&gt;100,1,0)</f>
        <v>1</v>
      </c>
      <c r="K4" s="35"/>
      <c r="L4" s="36"/>
      <c r="M4" s="36"/>
    </row>
    <row r="5" spans="1:13" x14ac:dyDescent="0.25">
      <c r="B5" s="88">
        <v>3</v>
      </c>
      <c r="C5" s="105">
        <v>0.13</v>
      </c>
      <c r="D5" s="106">
        <v>90</v>
      </c>
      <c r="E5" s="105">
        <v>0.88</v>
      </c>
      <c r="F5" s="107">
        <v>6</v>
      </c>
      <c r="G5" s="108">
        <f t="shared" si="0"/>
        <v>84</v>
      </c>
      <c r="H5" s="55">
        <f t="shared" ref="H5:H6" si="3">IF(G5&gt;99,100,G5)</f>
        <v>84</v>
      </c>
      <c r="I5" s="109">
        <f t="shared" si="1"/>
        <v>0</v>
      </c>
      <c r="J5" s="108">
        <f t="shared" si="2"/>
        <v>0</v>
      </c>
      <c r="K5" s="35"/>
      <c r="L5" s="36"/>
      <c r="M5" s="36"/>
    </row>
    <row r="6" spans="1:13" x14ac:dyDescent="0.25">
      <c r="B6" s="88">
        <v>4</v>
      </c>
      <c r="C6" s="105">
        <v>0.36</v>
      </c>
      <c r="D6" s="106">
        <v>100</v>
      </c>
      <c r="E6" s="105">
        <v>0.34</v>
      </c>
      <c r="F6" s="107">
        <v>0</v>
      </c>
      <c r="G6" s="108">
        <f t="shared" si="0"/>
        <v>100</v>
      </c>
      <c r="H6" s="55">
        <f t="shared" si="3"/>
        <v>100</v>
      </c>
      <c r="I6" s="109">
        <f t="shared" si="1"/>
        <v>0</v>
      </c>
      <c r="J6" s="108">
        <f t="shared" si="2"/>
        <v>0</v>
      </c>
      <c r="K6" s="35"/>
      <c r="L6" s="36"/>
      <c r="M6" s="36"/>
    </row>
    <row r="7" spans="1:13" x14ac:dyDescent="0.25">
      <c r="B7" s="88">
        <v>5</v>
      </c>
      <c r="C7" s="105">
        <v>0.91</v>
      </c>
      <c r="D7" s="106">
        <v>110</v>
      </c>
      <c r="E7" s="105">
        <v>0.41</v>
      </c>
      <c r="F7" s="107">
        <v>2</v>
      </c>
      <c r="G7" s="108">
        <f t="shared" si="0"/>
        <v>108</v>
      </c>
      <c r="H7" s="55">
        <f t="shared" ref="H7:H11" si="4">IF(G7&gt;99,100,G7)</f>
        <v>100</v>
      </c>
      <c r="I7" s="109">
        <f t="shared" si="1"/>
        <v>8</v>
      </c>
      <c r="J7" s="108">
        <f t="shared" si="2"/>
        <v>1</v>
      </c>
      <c r="K7" s="35"/>
      <c r="L7" s="36"/>
      <c r="M7" s="36"/>
    </row>
    <row r="8" spans="1:13" x14ac:dyDescent="0.25">
      <c r="B8" s="88">
        <v>6</v>
      </c>
      <c r="C8" s="105">
        <v>0.1</v>
      </c>
      <c r="D8" s="106">
        <v>90</v>
      </c>
      <c r="E8" s="105">
        <v>7.0000000000000007E-2</v>
      </c>
      <c r="F8" s="107">
        <v>0</v>
      </c>
      <c r="G8" s="108">
        <f t="shared" si="0"/>
        <v>90</v>
      </c>
      <c r="H8" s="55">
        <f t="shared" si="4"/>
        <v>90</v>
      </c>
      <c r="I8" s="109">
        <f t="shared" si="1"/>
        <v>0</v>
      </c>
      <c r="J8" s="108">
        <f t="shared" si="2"/>
        <v>0</v>
      </c>
      <c r="K8" s="35"/>
      <c r="L8" s="36"/>
      <c r="M8" s="36"/>
    </row>
    <row r="9" spans="1:13" x14ac:dyDescent="0.25">
      <c r="B9" s="88">
        <v>7</v>
      </c>
      <c r="C9" s="105">
        <v>0.72</v>
      </c>
      <c r="D9" s="106">
        <v>105</v>
      </c>
      <c r="E9" s="105">
        <v>0.95</v>
      </c>
      <c r="F9" s="107">
        <v>6</v>
      </c>
      <c r="G9" s="108">
        <f t="shared" si="0"/>
        <v>99</v>
      </c>
      <c r="H9" s="55">
        <f t="shared" si="4"/>
        <v>99</v>
      </c>
      <c r="I9" s="109">
        <f t="shared" si="1"/>
        <v>0</v>
      </c>
      <c r="J9" s="108">
        <f t="shared" si="2"/>
        <v>0</v>
      </c>
      <c r="K9" s="35"/>
      <c r="L9" s="36"/>
      <c r="M9" s="36"/>
    </row>
    <row r="10" spans="1:13" x14ac:dyDescent="0.25">
      <c r="B10" s="88">
        <v>8</v>
      </c>
      <c r="C10" s="105">
        <v>0.74</v>
      </c>
      <c r="D10" s="106">
        <v>105</v>
      </c>
      <c r="E10" s="105">
        <v>0.41</v>
      </c>
      <c r="F10" s="107">
        <v>2</v>
      </c>
      <c r="G10" s="108">
        <f t="shared" si="0"/>
        <v>103</v>
      </c>
      <c r="H10" s="55">
        <f t="shared" si="4"/>
        <v>100</v>
      </c>
      <c r="I10" s="109">
        <f t="shared" si="1"/>
        <v>3</v>
      </c>
      <c r="J10" s="108">
        <f t="shared" si="2"/>
        <v>1</v>
      </c>
      <c r="K10" s="35"/>
      <c r="L10" s="36"/>
      <c r="M10" s="36"/>
    </row>
    <row r="11" spans="1:13" x14ac:dyDescent="0.25">
      <c r="B11" s="88">
        <v>9</v>
      </c>
      <c r="C11" s="105">
        <v>0.76</v>
      </c>
      <c r="D11" s="106">
        <v>105</v>
      </c>
      <c r="E11" s="105">
        <v>0.98</v>
      </c>
      <c r="F11" s="107">
        <v>6</v>
      </c>
      <c r="G11" s="108">
        <f t="shared" si="0"/>
        <v>99</v>
      </c>
      <c r="H11" s="55">
        <f t="shared" si="4"/>
        <v>99</v>
      </c>
      <c r="I11" s="109">
        <f t="shared" si="1"/>
        <v>0</v>
      </c>
      <c r="J11" s="108">
        <f t="shared" si="2"/>
        <v>0</v>
      </c>
      <c r="K11" s="35"/>
      <c r="L11" s="36"/>
      <c r="M11" s="36"/>
    </row>
    <row r="12" spans="1:13" x14ac:dyDescent="0.25">
      <c r="B12" s="88">
        <v>10</v>
      </c>
      <c r="C12" s="105">
        <v>0.82</v>
      </c>
      <c r="D12" s="106">
        <v>110</v>
      </c>
      <c r="E12" s="105">
        <v>0.14000000000000001</v>
      </c>
      <c r="F12" s="107">
        <v>0</v>
      </c>
      <c r="G12" s="108">
        <f t="shared" si="0"/>
        <v>110</v>
      </c>
      <c r="H12" s="55">
        <f>IF(G12&gt;99,100,G12)</f>
        <v>100</v>
      </c>
      <c r="I12" s="109">
        <f t="shared" si="1"/>
        <v>10</v>
      </c>
      <c r="J12" s="108">
        <f t="shared" si="2"/>
        <v>1</v>
      </c>
      <c r="K12" s="35"/>
      <c r="L12" s="36"/>
      <c r="M12" s="36"/>
    </row>
    <row r="13" spans="1:13" x14ac:dyDescent="0.25">
      <c r="B13" s="33"/>
      <c r="C13" s="34"/>
      <c r="D13" s="37"/>
      <c r="E13" s="37"/>
      <c r="F13" s="37"/>
      <c r="G13" s="37"/>
      <c r="H13" s="110" t="s">
        <v>62</v>
      </c>
      <c r="I13" s="110" t="s">
        <v>62</v>
      </c>
      <c r="J13" s="110" t="s">
        <v>20</v>
      </c>
      <c r="K13" s="37"/>
      <c r="L13" s="37"/>
      <c r="M13" s="37"/>
    </row>
    <row r="14" spans="1:13" x14ac:dyDescent="0.25">
      <c r="B14" s="33"/>
      <c r="C14" s="34"/>
      <c r="D14" s="47"/>
      <c r="E14" s="47"/>
      <c r="F14" s="47"/>
      <c r="G14" s="47"/>
      <c r="H14" s="111">
        <f>AVERAGE(H3:H12)</f>
        <v>96.5</v>
      </c>
      <c r="I14" s="112">
        <f>AVERAGE(I3:I12)</f>
        <v>2.4</v>
      </c>
      <c r="J14" s="113">
        <f>SUM(J3:J12)/10</f>
        <v>0.4</v>
      </c>
      <c r="K14" s="36"/>
      <c r="L14" s="36"/>
      <c r="M14" s="36"/>
    </row>
    <row r="15" spans="1:13" x14ac:dyDescent="0.25">
      <c r="B15" s="33"/>
      <c r="C15" s="34"/>
      <c r="D15" s="36"/>
      <c r="E15" s="36"/>
      <c r="F15" s="36"/>
      <c r="G15" s="36"/>
      <c r="H15" s="114" t="s">
        <v>140</v>
      </c>
      <c r="I15" s="114" t="s">
        <v>142</v>
      </c>
      <c r="J15" s="113" t="s">
        <v>141</v>
      </c>
      <c r="K15" s="36"/>
      <c r="L15" s="36"/>
      <c r="M15" s="36"/>
    </row>
    <row r="16" spans="1:13" x14ac:dyDescent="0.25">
      <c r="B16" s="33" t="s">
        <v>63</v>
      </c>
      <c r="C16" s="34"/>
      <c r="D16" s="37"/>
      <c r="E16" s="32"/>
      <c r="F16" s="38"/>
      <c r="G16" s="38"/>
      <c r="H16" s="38"/>
    </row>
    <row r="17" spans="2:13" x14ac:dyDescent="0.25">
      <c r="B17" s="1"/>
      <c r="C17" s="89" t="s">
        <v>65</v>
      </c>
      <c r="D17" s="104" t="s">
        <v>66</v>
      </c>
      <c r="E17" s="87" t="s">
        <v>67</v>
      </c>
      <c r="F17" s="94" t="s">
        <v>68</v>
      </c>
      <c r="G17" s="39"/>
      <c r="H17" s="39"/>
    </row>
    <row r="18" spans="2:13" x14ac:dyDescent="0.25">
      <c r="B18" s="88">
        <v>90</v>
      </c>
      <c r="C18" s="89">
        <v>0.15</v>
      </c>
      <c r="D18" s="104">
        <f>C18</f>
        <v>0.15</v>
      </c>
      <c r="E18" s="276">
        <v>0</v>
      </c>
      <c r="F18" s="276">
        <f>D18-0.0001</f>
        <v>0.14990000000000001</v>
      </c>
      <c r="G18" s="41"/>
      <c r="H18" s="41"/>
    </row>
    <row r="19" spans="2:13" x14ac:dyDescent="0.25">
      <c r="B19" s="88">
        <v>95</v>
      </c>
      <c r="C19" s="89">
        <v>0.15</v>
      </c>
      <c r="D19" s="104">
        <f>D18+C19</f>
        <v>0.3</v>
      </c>
      <c r="E19" s="276">
        <f>D18</f>
        <v>0.15</v>
      </c>
      <c r="F19" s="276">
        <f>D19-0.0001</f>
        <v>0.2999</v>
      </c>
      <c r="G19" s="41"/>
      <c r="H19" s="41"/>
    </row>
    <row r="20" spans="2:13" x14ac:dyDescent="0.25">
      <c r="B20" s="88">
        <v>100</v>
      </c>
      <c r="C20" s="89">
        <v>0.2</v>
      </c>
      <c r="D20" s="104">
        <f t="shared" ref="D20:D22" si="5">D19+C20</f>
        <v>0.5</v>
      </c>
      <c r="E20" s="276">
        <f>D19</f>
        <v>0.3</v>
      </c>
      <c r="F20" s="276">
        <f t="shared" ref="F20:F22" si="6">D20-0.0001</f>
        <v>0.49990000000000001</v>
      </c>
      <c r="G20" s="41"/>
      <c r="H20" s="41"/>
    </row>
    <row r="21" spans="2:13" x14ac:dyDescent="0.25">
      <c r="B21" s="88">
        <v>105</v>
      </c>
      <c r="C21" s="89">
        <v>0.3</v>
      </c>
      <c r="D21" s="104">
        <f t="shared" si="5"/>
        <v>0.8</v>
      </c>
      <c r="E21" s="276">
        <f t="shared" ref="E21:E22" si="7">D20</f>
        <v>0.5</v>
      </c>
      <c r="F21" s="276">
        <f t="shared" si="6"/>
        <v>0.79990000000000006</v>
      </c>
      <c r="G21" s="41"/>
      <c r="H21" s="41"/>
    </row>
    <row r="22" spans="2:13" x14ac:dyDescent="0.25">
      <c r="B22" s="95">
        <v>110</v>
      </c>
      <c r="C22" s="89">
        <v>0.2</v>
      </c>
      <c r="D22" s="104">
        <f t="shared" si="5"/>
        <v>1</v>
      </c>
      <c r="E22" s="276">
        <f t="shared" si="7"/>
        <v>0.8</v>
      </c>
      <c r="F22" s="276">
        <f t="shared" si="6"/>
        <v>0.99990000000000001</v>
      </c>
      <c r="G22" s="41"/>
      <c r="H22" s="41"/>
      <c r="I22" s="42"/>
      <c r="J22" s="34"/>
      <c r="K22" s="37"/>
      <c r="L22" s="40"/>
      <c r="M22" s="40"/>
    </row>
    <row r="23" spans="2:13" x14ac:dyDescent="0.25">
      <c r="C23" s="43"/>
      <c r="D23" s="4"/>
      <c r="E23" s="17"/>
      <c r="F23" s="44"/>
      <c r="G23" s="44"/>
      <c r="H23" s="44"/>
      <c r="I23" s="44"/>
      <c r="J23" s="44"/>
      <c r="K23" s="17"/>
      <c r="L23" s="44"/>
      <c r="M23" s="44"/>
    </row>
    <row r="24" spans="2:13" x14ac:dyDescent="0.25">
      <c r="B24" s="33" t="s">
        <v>64</v>
      </c>
      <c r="C24" s="38"/>
      <c r="D24" s="38"/>
      <c r="E24" s="37"/>
      <c r="F24" s="37"/>
      <c r="G24" s="17"/>
      <c r="H24" s="17"/>
      <c r="I24" s="17"/>
      <c r="J24" s="17"/>
      <c r="K24" s="17"/>
      <c r="L24" s="17"/>
      <c r="M24" s="17"/>
    </row>
    <row r="25" spans="2:13" x14ac:dyDescent="0.25">
      <c r="B25" s="1"/>
      <c r="C25" s="89" t="s">
        <v>65</v>
      </c>
      <c r="D25" s="104" t="s">
        <v>66</v>
      </c>
      <c r="E25" s="87" t="s">
        <v>67</v>
      </c>
      <c r="F25" s="94" t="s">
        <v>68</v>
      </c>
    </row>
    <row r="26" spans="2:13" x14ac:dyDescent="0.25">
      <c r="B26" s="88">
        <v>0</v>
      </c>
      <c r="C26" s="89">
        <v>0.35</v>
      </c>
      <c r="D26" s="104">
        <f>C26</f>
        <v>0.35</v>
      </c>
      <c r="E26" s="276">
        <v>0</v>
      </c>
      <c r="F26" s="276">
        <f>D26-0.0001</f>
        <v>0.34989999999999999</v>
      </c>
    </row>
    <row r="27" spans="2:13" x14ac:dyDescent="0.25">
      <c r="B27" s="88">
        <v>2</v>
      </c>
      <c r="C27" s="89">
        <v>0.3</v>
      </c>
      <c r="D27" s="104">
        <f>D26+C27</f>
        <v>0.64999999999999991</v>
      </c>
      <c r="E27" s="276">
        <f>D26</f>
        <v>0.35</v>
      </c>
      <c r="F27" s="276">
        <f t="shared" ref="F27:F29" si="8">D27-0.0001</f>
        <v>0.64989999999999992</v>
      </c>
    </row>
    <row r="28" spans="2:13" x14ac:dyDescent="0.25">
      <c r="B28" s="88">
        <v>4</v>
      </c>
      <c r="C28" s="89">
        <v>0.2</v>
      </c>
      <c r="D28" s="104">
        <f t="shared" ref="D28:D29" si="9">D27+C28</f>
        <v>0.84999999999999987</v>
      </c>
      <c r="E28" s="276">
        <f t="shared" ref="E28:E29" si="10">D27</f>
        <v>0.64999999999999991</v>
      </c>
      <c r="F28" s="276">
        <f t="shared" si="8"/>
        <v>0.84989999999999988</v>
      </c>
    </row>
    <row r="29" spans="2:13" x14ac:dyDescent="0.25">
      <c r="B29" s="95">
        <v>6</v>
      </c>
      <c r="C29" s="89">
        <v>0.15</v>
      </c>
      <c r="D29" s="104">
        <f t="shared" si="9"/>
        <v>0.99999999999999989</v>
      </c>
      <c r="E29" s="276">
        <f t="shared" si="10"/>
        <v>0.84999999999999987</v>
      </c>
      <c r="F29" s="276">
        <f t="shared" si="8"/>
        <v>0.9998999999999999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8:R51"/>
  <sheetViews>
    <sheetView showGridLines="0" topLeftCell="B19" zoomScaleNormal="100" workbookViewId="0">
      <selection activeCell="E49" sqref="E49"/>
    </sheetView>
  </sheetViews>
  <sheetFormatPr baseColWidth="10" defaultRowHeight="15" x14ac:dyDescent="0.25"/>
  <cols>
    <col min="1" max="1" width="3.5703125" customWidth="1"/>
    <col min="2" max="2" width="6.140625" customWidth="1"/>
    <col min="3" max="3" width="9.85546875" customWidth="1"/>
    <col min="4" max="4" width="6.5703125" bestFit="1" customWidth="1"/>
    <col min="5" max="5" width="9.140625" customWidth="1"/>
    <col min="6" max="6" width="7.28515625" customWidth="1"/>
    <col min="7" max="7" width="10.85546875" bestFit="1" customWidth="1"/>
    <col min="8" max="8" width="9.42578125" bestFit="1" customWidth="1"/>
    <col min="9" max="9" width="9" bestFit="1" customWidth="1"/>
    <col min="10" max="10" width="8.28515625" bestFit="1" customWidth="1"/>
    <col min="11" max="11" width="10.140625" customWidth="1"/>
    <col min="12" max="12" width="9.85546875" bestFit="1" customWidth="1"/>
    <col min="13" max="13" width="3.5703125" customWidth="1"/>
    <col min="14" max="14" width="15.140625" bestFit="1" customWidth="1"/>
    <col min="15" max="15" width="7.42578125" customWidth="1"/>
    <col min="16" max="16" width="7.5703125" customWidth="1"/>
    <col min="17" max="17" width="6.5703125" customWidth="1"/>
    <col min="18" max="18" width="5.85546875" customWidth="1"/>
  </cols>
  <sheetData>
    <row r="18" spans="1:18" s="33" customFormat="1" x14ac:dyDescent="0.25">
      <c r="A18"/>
      <c r="B18" s="284" t="s">
        <v>49</v>
      </c>
      <c r="C18" s="284"/>
      <c r="D18" s="284"/>
      <c r="E18" s="284"/>
      <c r="F18" s="284"/>
      <c r="H18" s="284" t="s">
        <v>50</v>
      </c>
      <c r="I18" s="284"/>
      <c r="J18" s="284"/>
      <c r="K18" s="284"/>
      <c r="L18" s="284"/>
      <c r="N18" s="284" t="s">
        <v>51</v>
      </c>
      <c r="O18" s="284"/>
      <c r="P18" s="284"/>
      <c r="Q18" s="284"/>
      <c r="R18" s="284"/>
    </row>
    <row r="19" spans="1:18" s="2" customFormat="1" ht="60" x14ac:dyDescent="0.25">
      <c r="B19" s="15" t="s">
        <v>21</v>
      </c>
      <c r="C19" s="15" t="s">
        <v>24</v>
      </c>
      <c r="D19" s="15" t="s">
        <v>143</v>
      </c>
      <c r="E19" s="283" t="s">
        <v>1</v>
      </c>
      <c r="F19" s="283"/>
      <c r="H19" s="19" t="s">
        <v>11</v>
      </c>
      <c r="I19" s="15" t="s">
        <v>25</v>
      </c>
      <c r="J19" s="15" t="s">
        <v>143</v>
      </c>
      <c r="K19" s="283" t="s">
        <v>1</v>
      </c>
      <c r="L19" s="283"/>
      <c r="M19" s="16"/>
      <c r="N19" s="19" t="s">
        <v>11</v>
      </c>
      <c r="O19" s="15" t="s">
        <v>23</v>
      </c>
      <c r="P19" s="15" t="s">
        <v>143</v>
      </c>
      <c r="Q19" s="283" t="s">
        <v>1</v>
      </c>
      <c r="R19" s="283"/>
    </row>
    <row r="20" spans="1:18" x14ac:dyDescent="0.25">
      <c r="B20" s="1" t="s">
        <v>22</v>
      </c>
      <c r="C20" s="1">
        <v>0.6</v>
      </c>
      <c r="D20" s="1">
        <f>C20</f>
        <v>0.6</v>
      </c>
      <c r="E20" s="1">
        <v>0</v>
      </c>
      <c r="F20" s="102">
        <f>D20-0.01</f>
        <v>0.59</v>
      </c>
      <c r="H20" s="20">
        <v>36</v>
      </c>
      <c r="I20" s="1">
        <v>0.05</v>
      </c>
      <c r="J20" s="1">
        <f>I20</f>
        <v>0.05</v>
      </c>
      <c r="K20" s="1">
        <v>0</v>
      </c>
      <c r="L20" s="102">
        <f>J20-0.01</f>
        <v>0.04</v>
      </c>
      <c r="M20" s="17"/>
      <c r="N20" s="20">
        <v>36</v>
      </c>
      <c r="O20" s="1">
        <v>0.1</v>
      </c>
      <c r="P20" s="102">
        <f>O20</f>
        <v>0.1</v>
      </c>
      <c r="Q20" s="1">
        <v>0</v>
      </c>
      <c r="R20" s="102">
        <f>P20-0.01</f>
        <v>9.0000000000000011E-2</v>
      </c>
    </row>
    <row r="21" spans="1:18" x14ac:dyDescent="0.25">
      <c r="B21" s="1" t="s">
        <v>23</v>
      </c>
      <c r="C21" s="1">
        <v>0.4</v>
      </c>
      <c r="D21" s="1">
        <f>D20+C21</f>
        <v>1</v>
      </c>
      <c r="E21" s="102">
        <f>F20+0.01</f>
        <v>0.6</v>
      </c>
      <c r="F21" s="102">
        <f t="shared" ref="F21" si="0">D21-0.01</f>
        <v>0.99</v>
      </c>
      <c r="H21" s="20">
        <v>48</v>
      </c>
      <c r="I21" s="1">
        <v>0.1</v>
      </c>
      <c r="J21" s="1">
        <f>J20+I21</f>
        <v>0.15000000000000002</v>
      </c>
      <c r="K21" s="102">
        <f>L20+0.01</f>
        <v>0.05</v>
      </c>
      <c r="L21" s="102">
        <f t="shared" ref="L21:L25" si="1">J21-0.01</f>
        <v>0.14000000000000001</v>
      </c>
      <c r="M21" s="17"/>
      <c r="N21" s="20">
        <v>48</v>
      </c>
      <c r="O21" s="1">
        <v>0.2</v>
      </c>
      <c r="P21" s="102">
        <f>P20+O21</f>
        <v>0.30000000000000004</v>
      </c>
      <c r="Q21" s="102">
        <f>R20+0.01</f>
        <v>0.1</v>
      </c>
      <c r="R21" s="102">
        <f t="shared" ref="R21:R25" si="2">P21-0.01</f>
        <v>0.29000000000000004</v>
      </c>
    </row>
    <row r="22" spans="1:18" x14ac:dyDescent="0.25">
      <c r="H22" s="20">
        <v>60</v>
      </c>
      <c r="I22" s="1">
        <v>0.25</v>
      </c>
      <c r="J22" s="1">
        <f t="shared" ref="J22:J25" si="3">J21+I22</f>
        <v>0.4</v>
      </c>
      <c r="K22" s="102">
        <f t="shared" ref="K22:K25" si="4">L21+0.01</f>
        <v>0.15000000000000002</v>
      </c>
      <c r="L22" s="102">
        <f t="shared" si="1"/>
        <v>0.39</v>
      </c>
      <c r="M22" s="17"/>
      <c r="N22" s="20">
        <v>60</v>
      </c>
      <c r="O22" s="1">
        <v>0.3</v>
      </c>
      <c r="P22" s="102">
        <f t="shared" ref="P22:P25" si="5">P21+O22</f>
        <v>0.60000000000000009</v>
      </c>
      <c r="Q22" s="102">
        <f t="shared" ref="Q22:Q25" si="6">R21+0.01</f>
        <v>0.30000000000000004</v>
      </c>
      <c r="R22" s="102">
        <f t="shared" si="2"/>
        <v>0.59000000000000008</v>
      </c>
    </row>
    <row r="23" spans="1:18" x14ac:dyDescent="0.25">
      <c r="H23" s="20">
        <v>72</v>
      </c>
      <c r="I23" s="1">
        <v>0.3</v>
      </c>
      <c r="J23" s="1">
        <f t="shared" si="3"/>
        <v>0.7</v>
      </c>
      <c r="K23" s="102">
        <f t="shared" si="4"/>
        <v>0.4</v>
      </c>
      <c r="L23" s="102">
        <f t="shared" si="1"/>
        <v>0.69</v>
      </c>
      <c r="M23" s="17"/>
      <c r="N23" s="20">
        <v>72</v>
      </c>
      <c r="O23" s="1">
        <v>0.25</v>
      </c>
      <c r="P23" s="102">
        <f t="shared" si="5"/>
        <v>0.85000000000000009</v>
      </c>
      <c r="Q23" s="102">
        <f t="shared" si="6"/>
        <v>0.60000000000000009</v>
      </c>
      <c r="R23" s="102">
        <f t="shared" si="2"/>
        <v>0.84000000000000008</v>
      </c>
    </row>
    <row r="24" spans="1:18" x14ac:dyDescent="0.25">
      <c r="H24" s="20">
        <v>84</v>
      </c>
      <c r="I24" s="1">
        <v>0.2</v>
      </c>
      <c r="J24" s="1">
        <f t="shared" si="3"/>
        <v>0.89999999999999991</v>
      </c>
      <c r="K24" s="102">
        <f t="shared" si="4"/>
        <v>0.7</v>
      </c>
      <c r="L24" s="102">
        <f t="shared" si="1"/>
        <v>0.8899999999999999</v>
      </c>
      <c r="M24" s="17"/>
      <c r="N24" s="20">
        <v>84</v>
      </c>
      <c r="O24" s="1">
        <v>0.1</v>
      </c>
      <c r="P24" s="102">
        <f t="shared" si="5"/>
        <v>0.95000000000000007</v>
      </c>
      <c r="Q24" s="102">
        <f t="shared" si="6"/>
        <v>0.85000000000000009</v>
      </c>
      <c r="R24" s="102">
        <f t="shared" si="2"/>
        <v>0.94000000000000006</v>
      </c>
    </row>
    <row r="25" spans="1:18" x14ac:dyDescent="0.25">
      <c r="H25" s="20">
        <v>96</v>
      </c>
      <c r="I25" s="1">
        <v>0.1</v>
      </c>
      <c r="J25" s="1">
        <f t="shared" si="3"/>
        <v>0.99999999999999989</v>
      </c>
      <c r="K25" s="102">
        <f t="shared" si="4"/>
        <v>0.89999999999999991</v>
      </c>
      <c r="L25" s="102">
        <f t="shared" si="1"/>
        <v>0.98999999999999988</v>
      </c>
      <c r="M25" s="17"/>
      <c r="N25" s="20">
        <v>96</v>
      </c>
      <c r="O25" s="1">
        <v>0.05</v>
      </c>
      <c r="P25" s="102">
        <f t="shared" si="5"/>
        <v>1</v>
      </c>
      <c r="Q25" s="102">
        <f t="shared" si="6"/>
        <v>0.95000000000000007</v>
      </c>
      <c r="R25" s="102">
        <f t="shared" si="2"/>
        <v>0.99</v>
      </c>
    </row>
    <row r="27" spans="1:18" s="2" customFormat="1" ht="30" x14ac:dyDescent="0.25">
      <c r="B27" s="15" t="s">
        <v>2</v>
      </c>
      <c r="C27" s="15" t="s">
        <v>26</v>
      </c>
      <c r="D27" s="15" t="s">
        <v>27</v>
      </c>
      <c r="E27" s="19" t="s">
        <v>11</v>
      </c>
      <c r="G27" s="117" t="s">
        <v>33</v>
      </c>
      <c r="H27" s="116" t="s">
        <v>36</v>
      </c>
      <c r="I27" s="116" t="s">
        <v>35</v>
      </c>
      <c r="J27" s="116" t="s">
        <v>34</v>
      </c>
      <c r="L27" s="19" t="s">
        <v>37</v>
      </c>
    </row>
    <row r="28" spans="1:18" x14ac:dyDescent="0.25">
      <c r="A28">
        <v>1</v>
      </c>
      <c r="B28" s="102">
        <v>0.22</v>
      </c>
      <c r="C28" s="1" t="s">
        <v>28</v>
      </c>
      <c r="D28" s="102">
        <v>0.6</v>
      </c>
      <c r="E28" s="20">
        <v>72</v>
      </c>
      <c r="G28" s="115">
        <v>84</v>
      </c>
      <c r="H28" s="1">
        <f>IF(J28&gt;0,G28,E28)</f>
        <v>72</v>
      </c>
      <c r="I28" s="1">
        <f>IF(E28&lt;G28,G28-E28,0)</f>
        <v>12</v>
      </c>
      <c r="J28" s="1">
        <f>IF(E28&gt;G28,E28-G28,0)</f>
        <v>0</v>
      </c>
      <c r="L28" s="25">
        <f>H28*4.8+I28*1.5-J28*1.8-G28*3</f>
        <v>111.59999999999997</v>
      </c>
      <c r="N28" s="85" t="s">
        <v>30</v>
      </c>
      <c r="O28" s="46">
        <v>3</v>
      </c>
    </row>
    <row r="29" spans="1:18" x14ac:dyDescent="0.25">
      <c r="A29">
        <v>2</v>
      </c>
      <c r="B29" s="102">
        <v>0.5</v>
      </c>
      <c r="C29" s="1" t="s">
        <v>28</v>
      </c>
      <c r="D29" s="102">
        <v>0.52</v>
      </c>
      <c r="E29" s="20">
        <v>72</v>
      </c>
      <c r="G29" s="115">
        <f>G28</f>
        <v>84</v>
      </c>
      <c r="H29" s="1">
        <f>IF(J29&gt;0,G29,E29)</f>
        <v>72</v>
      </c>
      <c r="I29" s="1">
        <f t="shared" ref="I29:I37" si="7">IF(E29&lt;G29,G29-E29,0)</f>
        <v>12</v>
      </c>
      <c r="J29" s="1">
        <f t="shared" ref="J29:J37" si="8">IF(E29&gt;G29,E29-G29,0)</f>
        <v>0</v>
      </c>
      <c r="L29" s="25">
        <f t="shared" ref="L29:L37" si="9">H29*4.8+I29*1.5-J29*1.8-G29*3</f>
        <v>111.59999999999997</v>
      </c>
      <c r="N29" s="85" t="s">
        <v>31</v>
      </c>
      <c r="O29" s="46">
        <v>4.8</v>
      </c>
    </row>
    <row r="30" spans="1:18" x14ac:dyDescent="0.25">
      <c r="A30">
        <v>3</v>
      </c>
      <c r="B30" s="102">
        <v>0.13</v>
      </c>
      <c r="C30" s="1" t="s">
        <v>28</v>
      </c>
      <c r="D30" s="102">
        <v>0.88</v>
      </c>
      <c r="E30" s="20">
        <v>84</v>
      </c>
      <c r="G30" s="115">
        <f t="shared" ref="G30:G37" si="10">G29</f>
        <v>84</v>
      </c>
      <c r="H30" s="1">
        <f t="shared" ref="H30:H37" si="11">IF(J30&gt;0,G30,E30)</f>
        <v>84</v>
      </c>
      <c r="I30" s="1">
        <f t="shared" si="7"/>
        <v>0</v>
      </c>
      <c r="J30" s="1">
        <f t="shared" si="8"/>
        <v>0</v>
      </c>
      <c r="L30" s="25">
        <f t="shared" si="9"/>
        <v>151.19999999999999</v>
      </c>
      <c r="N30" s="85" t="s">
        <v>32</v>
      </c>
      <c r="O30" s="46">
        <v>1.5</v>
      </c>
    </row>
    <row r="31" spans="1:18" x14ac:dyDescent="0.25">
      <c r="A31">
        <v>4</v>
      </c>
      <c r="B31" s="102">
        <v>0.36</v>
      </c>
      <c r="C31" s="1" t="s">
        <v>28</v>
      </c>
      <c r="D31" s="102">
        <v>0.34</v>
      </c>
      <c r="E31" s="20">
        <v>60</v>
      </c>
      <c r="G31" s="115">
        <f t="shared" si="10"/>
        <v>84</v>
      </c>
      <c r="H31" s="1">
        <f t="shared" si="11"/>
        <v>60</v>
      </c>
      <c r="I31" s="1">
        <f t="shared" si="7"/>
        <v>24</v>
      </c>
      <c r="J31" s="1">
        <f t="shared" si="8"/>
        <v>0</v>
      </c>
      <c r="L31" s="25">
        <f t="shared" si="9"/>
        <v>72</v>
      </c>
      <c r="N31" s="85" t="s">
        <v>48</v>
      </c>
      <c r="O31" s="46">
        <v>1.8</v>
      </c>
    </row>
    <row r="32" spans="1:18" x14ac:dyDescent="0.25">
      <c r="A32">
        <v>5</v>
      </c>
      <c r="B32" s="102">
        <v>0.91</v>
      </c>
      <c r="C32" s="1" t="s">
        <v>29</v>
      </c>
      <c r="D32" s="102">
        <v>0.41</v>
      </c>
      <c r="E32" s="20">
        <v>60</v>
      </c>
      <c r="G32" s="115">
        <f t="shared" si="10"/>
        <v>84</v>
      </c>
      <c r="H32" s="1">
        <f t="shared" si="11"/>
        <v>60</v>
      </c>
      <c r="I32" s="1">
        <f t="shared" si="7"/>
        <v>24</v>
      </c>
      <c r="J32" s="1">
        <f t="shared" si="8"/>
        <v>0</v>
      </c>
      <c r="L32" s="25">
        <f t="shared" si="9"/>
        <v>72</v>
      </c>
    </row>
    <row r="33" spans="1:15" x14ac:dyDescent="0.25">
      <c r="A33">
        <v>6</v>
      </c>
      <c r="B33" s="102">
        <v>0.1</v>
      </c>
      <c r="C33" s="1" t="s">
        <v>28</v>
      </c>
      <c r="D33" s="102">
        <v>7.0000000000000007E-2</v>
      </c>
      <c r="E33" s="20">
        <v>48</v>
      </c>
      <c r="G33" s="115">
        <f t="shared" si="10"/>
        <v>84</v>
      </c>
      <c r="H33" s="1">
        <f t="shared" si="11"/>
        <v>48</v>
      </c>
      <c r="I33" s="1">
        <f t="shared" si="7"/>
        <v>36</v>
      </c>
      <c r="J33" s="1">
        <f t="shared" si="8"/>
        <v>0</v>
      </c>
      <c r="L33" s="25">
        <f t="shared" si="9"/>
        <v>32.399999999999977</v>
      </c>
      <c r="N33" s="24" t="s">
        <v>53</v>
      </c>
    </row>
    <row r="34" spans="1:15" x14ac:dyDescent="0.25">
      <c r="A34">
        <v>7</v>
      </c>
      <c r="B34" s="102">
        <v>0.72</v>
      </c>
      <c r="C34" s="1" t="s">
        <v>29</v>
      </c>
      <c r="D34" s="102">
        <v>0.95</v>
      </c>
      <c r="E34" s="20">
        <v>96</v>
      </c>
      <c r="G34" s="115">
        <f t="shared" si="10"/>
        <v>84</v>
      </c>
      <c r="H34" s="1">
        <f t="shared" si="11"/>
        <v>84</v>
      </c>
      <c r="I34" s="1">
        <f t="shared" si="7"/>
        <v>0</v>
      </c>
      <c r="J34" s="1">
        <f t="shared" si="8"/>
        <v>12</v>
      </c>
      <c r="L34" s="25">
        <f t="shared" si="9"/>
        <v>129.59999999999997</v>
      </c>
      <c r="N34" s="24" t="s">
        <v>52</v>
      </c>
      <c r="O34" s="49">
        <v>84</v>
      </c>
    </row>
    <row r="35" spans="1:15" x14ac:dyDescent="0.25">
      <c r="A35">
        <v>8</v>
      </c>
      <c r="B35" s="102">
        <v>0.74</v>
      </c>
      <c r="C35" s="1" t="s">
        <v>29</v>
      </c>
      <c r="D35" s="102">
        <v>0.41</v>
      </c>
      <c r="E35" s="20">
        <v>60</v>
      </c>
      <c r="G35" s="115">
        <f t="shared" si="10"/>
        <v>84</v>
      </c>
      <c r="H35" s="1">
        <f t="shared" si="11"/>
        <v>60</v>
      </c>
      <c r="I35" s="1">
        <f t="shared" si="7"/>
        <v>24</v>
      </c>
      <c r="J35" s="1">
        <f t="shared" si="8"/>
        <v>0</v>
      </c>
      <c r="L35" s="25">
        <f t="shared" si="9"/>
        <v>72</v>
      </c>
      <c r="N35" s="26"/>
      <c r="O35" s="281" t="s">
        <v>144</v>
      </c>
    </row>
    <row r="36" spans="1:15" x14ac:dyDescent="0.25">
      <c r="A36">
        <v>9</v>
      </c>
      <c r="B36" s="102">
        <v>0.76</v>
      </c>
      <c r="C36" s="1" t="s">
        <v>29</v>
      </c>
      <c r="D36" s="102">
        <v>0.98</v>
      </c>
      <c r="E36" s="20">
        <v>96</v>
      </c>
      <c r="G36" s="115">
        <f t="shared" si="10"/>
        <v>84</v>
      </c>
      <c r="H36" s="1">
        <f t="shared" si="11"/>
        <v>84</v>
      </c>
      <c r="I36" s="1">
        <f t="shared" si="7"/>
        <v>0</v>
      </c>
      <c r="J36" s="1">
        <f t="shared" si="8"/>
        <v>12</v>
      </c>
      <c r="L36" s="25">
        <f t="shared" si="9"/>
        <v>129.59999999999997</v>
      </c>
      <c r="O36" s="282"/>
    </row>
    <row r="37" spans="1:15" x14ac:dyDescent="0.25">
      <c r="A37">
        <v>10</v>
      </c>
      <c r="B37" s="102">
        <v>0.82</v>
      </c>
      <c r="C37" s="1" t="s">
        <v>29</v>
      </c>
      <c r="D37" s="102">
        <v>0.14000000000000001</v>
      </c>
      <c r="E37" s="20">
        <v>48</v>
      </c>
      <c r="G37" s="115">
        <f t="shared" si="10"/>
        <v>84</v>
      </c>
      <c r="H37" s="1">
        <f t="shared" si="11"/>
        <v>48</v>
      </c>
      <c r="I37" s="1">
        <f t="shared" si="7"/>
        <v>36</v>
      </c>
      <c r="J37" s="1">
        <f t="shared" si="8"/>
        <v>0</v>
      </c>
      <c r="L37" s="25">
        <f t="shared" si="9"/>
        <v>32.399999999999977</v>
      </c>
      <c r="O37" s="282"/>
    </row>
    <row r="38" spans="1:15" x14ac:dyDescent="0.25">
      <c r="E38" s="20" t="s">
        <v>38</v>
      </c>
      <c r="J38" s="118" t="s">
        <v>38</v>
      </c>
      <c r="L38" s="121" t="s">
        <v>38</v>
      </c>
      <c r="O38" s="282"/>
    </row>
    <row r="39" spans="1:15" s="27" customFormat="1" x14ac:dyDescent="0.25">
      <c r="B39"/>
      <c r="E39" s="28">
        <f>SUM(E28:E37)</f>
        <v>696</v>
      </c>
      <c r="J39" s="118">
        <f>SUM(J28:J37)</f>
        <v>24</v>
      </c>
      <c r="L39" s="120">
        <f>SUM(L28:L37)</f>
        <v>914.39999999999975</v>
      </c>
      <c r="O39" s="282"/>
    </row>
    <row r="40" spans="1:15" s="2" customFormat="1" x14ac:dyDescent="0.25">
      <c r="B40"/>
      <c r="J40" s="119">
        <f>1-(J39/SUM(E39))</f>
        <v>0.96551724137931039</v>
      </c>
    </row>
    <row r="41" spans="1:15" ht="30" x14ac:dyDescent="0.25">
      <c r="C41" s="5"/>
      <c r="D41" s="5"/>
      <c r="E41" s="21" t="s">
        <v>19</v>
      </c>
      <c r="G41" s="5"/>
      <c r="H41" s="5"/>
      <c r="I41" s="5"/>
    </row>
    <row r="42" spans="1:15" x14ac:dyDescent="0.25">
      <c r="E42" s="23">
        <f>AVERAGE(E28:E37)</f>
        <v>69.599999999999994</v>
      </c>
    </row>
    <row r="43" spans="1:15" x14ac:dyDescent="0.25">
      <c r="E43" s="18"/>
    </row>
    <row r="44" spans="1:15" x14ac:dyDescent="0.25">
      <c r="E44" s="22" t="s">
        <v>47</v>
      </c>
    </row>
    <row r="45" spans="1:15" x14ac:dyDescent="0.25">
      <c r="E45" s="23">
        <f>STDEVA(E28:E37)</f>
        <v>17.708754896942928</v>
      </c>
    </row>
    <row r="46" spans="1:15" x14ac:dyDescent="0.25">
      <c r="E46" s="18"/>
    </row>
    <row r="47" spans="1:15" x14ac:dyDescent="0.25">
      <c r="E47" s="22" t="s">
        <v>45</v>
      </c>
    </row>
    <row r="48" spans="1:15" x14ac:dyDescent="0.25">
      <c r="E48" s="22">
        <f>MODE(E28:E37)</f>
        <v>60</v>
      </c>
    </row>
    <row r="49" spans="5:5" x14ac:dyDescent="0.25">
      <c r="E49" s="18"/>
    </row>
    <row r="50" spans="5:5" x14ac:dyDescent="0.25">
      <c r="E50" s="22" t="s">
        <v>46</v>
      </c>
    </row>
    <row r="51" spans="5:5" x14ac:dyDescent="0.25">
      <c r="E51" s="22">
        <f>MEDIAN(E28:E37)</f>
        <v>66</v>
      </c>
    </row>
  </sheetData>
  <mergeCells count="7">
    <mergeCell ref="O35:O39"/>
    <mergeCell ref="E19:F19"/>
    <mergeCell ref="K19:L19"/>
    <mergeCell ref="Q19:R19"/>
    <mergeCell ref="N18:R18"/>
    <mergeCell ref="H18:L18"/>
    <mergeCell ref="B18:F1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59"/>
  <sheetViews>
    <sheetView showGridLines="0" topLeftCell="A4" zoomScaleNormal="100" workbookViewId="0">
      <selection activeCell="H28" sqref="H28"/>
    </sheetView>
  </sheetViews>
  <sheetFormatPr baseColWidth="10" defaultRowHeight="15" x14ac:dyDescent="0.25"/>
  <cols>
    <col min="1" max="1" width="3.85546875" customWidth="1"/>
    <col min="2" max="2" width="10.7109375" customWidth="1"/>
    <col min="3" max="3" width="8.28515625" customWidth="1"/>
    <col min="4" max="4" width="9.140625" customWidth="1"/>
    <col min="5" max="5" width="10.7109375" customWidth="1"/>
    <col min="6" max="6" width="14.140625" customWidth="1"/>
    <col min="7" max="7" width="14.28515625" customWidth="1"/>
    <col min="8" max="8" width="16.140625" customWidth="1"/>
    <col min="9" max="9" width="22.28515625" customWidth="1"/>
    <col min="10" max="10" width="13.7109375" customWidth="1"/>
    <col min="12" max="12" width="12.7109375" customWidth="1"/>
  </cols>
  <sheetData>
    <row r="1" spans="1:12" x14ac:dyDescent="0.25">
      <c r="A1" s="14"/>
    </row>
    <row r="2" spans="1:12" s="2" customFormat="1" x14ac:dyDescent="0.25">
      <c r="B2" s="8" t="s">
        <v>3</v>
      </c>
    </row>
    <row r="3" spans="1:12" s="2" customFormat="1" x14ac:dyDescent="0.25">
      <c r="B3" s="8" t="s">
        <v>5</v>
      </c>
      <c r="C3" s="2">
        <v>325000</v>
      </c>
      <c r="D3" s="2" t="s">
        <v>8</v>
      </c>
    </row>
    <row r="4" spans="1:12" s="2" customFormat="1" x14ac:dyDescent="0.25">
      <c r="B4" s="8" t="s">
        <v>4</v>
      </c>
      <c r="C4" s="2">
        <v>150000</v>
      </c>
      <c r="D4" s="2" t="s">
        <v>8</v>
      </c>
    </row>
    <row r="5" spans="1:12" s="12" customFormat="1" ht="30" x14ac:dyDescent="0.25">
      <c r="B5" s="11" t="s">
        <v>6</v>
      </c>
      <c r="C5" s="13">
        <v>150</v>
      </c>
      <c r="D5" s="12" t="s">
        <v>7</v>
      </c>
    </row>
    <row r="6" spans="1:12" x14ac:dyDescent="0.25">
      <c r="A6" s="12"/>
    </row>
    <row r="7" spans="1:12" x14ac:dyDescent="0.25">
      <c r="A7" s="12"/>
    </row>
    <row r="8" spans="1:12" s="3" customFormat="1" ht="30" x14ac:dyDescent="0.25">
      <c r="B8" s="122" t="s">
        <v>9</v>
      </c>
      <c r="C8" s="10" t="s">
        <v>0</v>
      </c>
      <c r="D8" s="21" t="s">
        <v>147</v>
      </c>
      <c r="E8" s="285" t="s">
        <v>1</v>
      </c>
      <c r="F8" s="285"/>
      <c r="G8" s="9"/>
      <c r="H8" s="286" t="s">
        <v>150</v>
      </c>
      <c r="I8" s="286"/>
      <c r="J8" s="9"/>
      <c r="K8" s="286" t="s">
        <v>11</v>
      </c>
      <c r="L8" s="286"/>
    </row>
    <row r="9" spans="1:12" x14ac:dyDescent="0.25">
      <c r="B9" s="46">
        <v>20</v>
      </c>
      <c r="C9" s="1">
        <v>0.35</v>
      </c>
      <c r="D9" s="1">
        <f>C9</f>
        <v>0.35</v>
      </c>
      <c r="E9" s="1">
        <v>0</v>
      </c>
      <c r="F9" s="1">
        <f>D9-0.01</f>
        <v>0.33999999999999997</v>
      </c>
      <c r="H9" s="6" t="s">
        <v>10</v>
      </c>
      <c r="I9" t="s">
        <v>151</v>
      </c>
      <c r="K9" s="6" t="s">
        <v>12</v>
      </c>
      <c r="L9" t="s">
        <v>18</v>
      </c>
    </row>
    <row r="10" spans="1:12" x14ac:dyDescent="0.25">
      <c r="B10" s="46">
        <v>25</v>
      </c>
      <c r="C10" s="1">
        <v>0.3</v>
      </c>
      <c r="D10" s="1">
        <f>D9+C10</f>
        <v>0.64999999999999991</v>
      </c>
      <c r="E10" s="1">
        <f>F9+0.01</f>
        <v>0.35</v>
      </c>
      <c r="F10" s="1">
        <f t="shared" ref="F10:F12" si="0">D10-0.01</f>
        <v>0.6399999999999999</v>
      </c>
      <c r="H10" s="1" t="s">
        <v>323</v>
      </c>
      <c r="I10" s="46">
        <v>60</v>
      </c>
      <c r="K10" s="1" t="s">
        <v>16</v>
      </c>
      <c r="L10" s="1">
        <v>20000</v>
      </c>
    </row>
    <row r="11" spans="1:12" x14ac:dyDescent="0.25">
      <c r="B11" s="46">
        <v>30</v>
      </c>
      <c r="C11" s="1">
        <v>0.2</v>
      </c>
      <c r="D11" s="1">
        <f t="shared" ref="D11:D12" si="1">D10+C11</f>
        <v>0.84999999999999987</v>
      </c>
      <c r="E11" s="1">
        <f t="shared" ref="E11:E12" si="2">F10+0.01</f>
        <v>0.64999999999999991</v>
      </c>
      <c r="F11" s="1">
        <f t="shared" si="0"/>
        <v>0.83999999999999986</v>
      </c>
      <c r="H11" s="1" t="s">
        <v>324</v>
      </c>
      <c r="I11" s="46">
        <v>90</v>
      </c>
      <c r="K11" s="1" t="s">
        <v>17</v>
      </c>
      <c r="L11" s="1">
        <v>5000</v>
      </c>
    </row>
    <row r="12" spans="1:12" x14ac:dyDescent="0.25">
      <c r="B12" s="46">
        <v>35</v>
      </c>
      <c r="C12" s="1">
        <v>0.15</v>
      </c>
      <c r="D12" s="1">
        <f t="shared" si="1"/>
        <v>0.99999999999999989</v>
      </c>
      <c r="E12" s="1">
        <f t="shared" si="2"/>
        <v>0.84999999999999987</v>
      </c>
      <c r="F12" s="1">
        <f t="shared" si="0"/>
        <v>0.98999999999999988</v>
      </c>
    </row>
    <row r="14" spans="1:12" s="2" customFormat="1" x14ac:dyDescent="0.25">
      <c r="B14" s="8" t="s">
        <v>148</v>
      </c>
      <c r="C14" s="8" t="s">
        <v>149</v>
      </c>
      <c r="D14" s="123" t="s">
        <v>13</v>
      </c>
      <c r="E14" s="123" t="s">
        <v>14</v>
      </c>
      <c r="F14" s="251" t="s">
        <v>15</v>
      </c>
      <c r="G14" s="123" t="s">
        <v>11</v>
      </c>
      <c r="H14" s="123" t="s">
        <v>69</v>
      </c>
      <c r="I14" s="123" t="s">
        <v>70</v>
      </c>
      <c r="J14" s="8"/>
    </row>
    <row r="15" spans="1:12" x14ac:dyDescent="0.25">
      <c r="B15" s="1">
        <v>1</v>
      </c>
      <c r="C15" s="101">
        <v>0.22</v>
      </c>
      <c r="D15" s="46">
        <v>20</v>
      </c>
      <c r="E15" s="46">
        <f>$I$10+C15*($I$11-$I$10)</f>
        <v>66.599999999999994</v>
      </c>
      <c r="F15" s="211">
        <f>NORMINV(C15,0,1)</f>
        <v>-0.77219321418868503</v>
      </c>
      <c r="G15" s="102">
        <f>$L$10+(F15*$L$11)</f>
        <v>16139.033929056575</v>
      </c>
      <c r="H15" s="46">
        <f>G15*(D15+E15)+$C$3+$C$4</f>
        <v>1872640.3382562993</v>
      </c>
      <c r="I15" s="46">
        <f>G15*$C$5-H15</f>
        <v>548214.75110218697</v>
      </c>
      <c r="J15" s="7"/>
    </row>
    <row r="16" spans="1:12" x14ac:dyDescent="0.25">
      <c r="B16" s="1">
        <v>2</v>
      </c>
      <c r="C16" s="101">
        <v>0.5</v>
      </c>
      <c r="D16" s="46">
        <v>25</v>
      </c>
      <c r="E16" s="46">
        <f t="shared" ref="E16:E24" si="3">$I$10+C16*($I$11-$I$10)</f>
        <v>75</v>
      </c>
      <c r="F16" s="211">
        <f>NORMINV(C16,0,1)</f>
        <v>0</v>
      </c>
      <c r="G16" s="102">
        <f>$L$10+(F16*$L$11)</f>
        <v>20000</v>
      </c>
      <c r="H16" s="46">
        <f t="shared" ref="H16:H24" si="4">G16*(D16+E16)+$C$3+$C$4</f>
        <v>2475000</v>
      </c>
      <c r="I16" s="46">
        <f t="shared" ref="I16:I24" si="5">G16*$C$5-H16</f>
        <v>525000</v>
      </c>
      <c r="J16" s="7"/>
    </row>
    <row r="17" spans="2:10" x14ac:dyDescent="0.25">
      <c r="B17" s="1">
        <v>3</v>
      </c>
      <c r="C17" s="101">
        <v>0.13</v>
      </c>
      <c r="D17" s="46">
        <v>20</v>
      </c>
      <c r="E17" s="46">
        <f t="shared" si="3"/>
        <v>63.9</v>
      </c>
      <c r="F17" s="211">
        <f t="shared" ref="F17:F24" si="6">NORMINV(C17,0,1)</f>
        <v>-1.1263911290388013</v>
      </c>
      <c r="G17" s="102">
        <f>$L$10+(F17*$L$11)</f>
        <v>14368.044354805992</v>
      </c>
      <c r="H17" s="46">
        <f t="shared" si="4"/>
        <v>1680478.9213682229</v>
      </c>
      <c r="I17" s="46">
        <f t="shared" si="5"/>
        <v>474727.73185267602</v>
      </c>
      <c r="J17" s="7"/>
    </row>
    <row r="18" spans="2:10" x14ac:dyDescent="0.25">
      <c r="B18" s="1">
        <v>4</v>
      </c>
      <c r="C18" s="101">
        <v>0.36</v>
      </c>
      <c r="D18" s="46">
        <v>25</v>
      </c>
      <c r="E18" s="46">
        <f t="shared" si="3"/>
        <v>70.8</v>
      </c>
      <c r="F18" s="211">
        <f t="shared" si="6"/>
        <v>-0.35845879325119384</v>
      </c>
      <c r="G18" s="102">
        <f>$L$10+(F18*$L$11)</f>
        <v>18207.706033744031</v>
      </c>
      <c r="H18" s="46">
        <f t="shared" si="4"/>
        <v>2219298.2380326781</v>
      </c>
      <c r="I18" s="46">
        <f t="shared" si="5"/>
        <v>511857.66702892631</v>
      </c>
      <c r="J18" s="7"/>
    </row>
    <row r="19" spans="2:10" x14ac:dyDescent="0.25">
      <c r="B19" s="1">
        <v>5</v>
      </c>
      <c r="C19" s="101">
        <v>0.91</v>
      </c>
      <c r="D19" s="46">
        <v>35</v>
      </c>
      <c r="E19" s="46">
        <f t="shared" si="3"/>
        <v>87.3</v>
      </c>
      <c r="F19" s="211">
        <f t="shared" si="6"/>
        <v>1.3407550336902161</v>
      </c>
      <c r="G19" s="102">
        <f t="shared" ref="G19:G24" si="7">$L$10+(F19*$L$11)</f>
        <v>26703.77516845108</v>
      </c>
      <c r="H19" s="46">
        <f t="shared" si="4"/>
        <v>3740871.703101567</v>
      </c>
      <c r="I19" s="46">
        <f t="shared" si="5"/>
        <v>264694.57216609502</v>
      </c>
      <c r="J19" s="7"/>
    </row>
    <row r="20" spans="2:10" x14ac:dyDescent="0.25">
      <c r="B20" s="1">
        <v>6</v>
      </c>
      <c r="C20" s="101">
        <v>0.1</v>
      </c>
      <c r="D20" s="46">
        <v>20</v>
      </c>
      <c r="E20" s="46">
        <f t="shared" si="3"/>
        <v>63</v>
      </c>
      <c r="F20" s="211">
        <f t="shared" si="6"/>
        <v>-1.2815515655446006</v>
      </c>
      <c r="G20" s="102">
        <f t="shared" si="7"/>
        <v>13592.242172276998</v>
      </c>
      <c r="H20" s="46">
        <f t="shared" si="4"/>
        <v>1603156.1002989907</v>
      </c>
      <c r="I20" s="46">
        <f t="shared" si="5"/>
        <v>435680.22554255882</v>
      </c>
      <c r="J20" s="7"/>
    </row>
    <row r="21" spans="2:10" x14ac:dyDescent="0.25">
      <c r="B21" s="1">
        <v>7</v>
      </c>
      <c r="C21" s="101">
        <v>0.72</v>
      </c>
      <c r="D21" s="46">
        <v>30</v>
      </c>
      <c r="E21" s="46">
        <f t="shared" si="3"/>
        <v>81.599999999999994</v>
      </c>
      <c r="F21" s="211">
        <f t="shared" si="6"/>
        <v>0.58284150727121631</v>
      </c>
      <c r="G21" s="102">
        <f t="shared" si="7"/>
        <v>22914.20753635608</v>
      </c>
      <c r="H21" s="46">
        <f t="shared" si="4"/>
        <v>3032225.5610573385</v>
      </c>
      <c r="I21" s="46">
        <f t="shared" si="5"/>
        <v>404905.56939607346</v>
      </c>
      <c r="J21" s="7"/>
    </row>
    <row r="22" spans="2:10" x14ac:dyDescent="0.25">
      <c r="B22" s="1">
        <v>8</v>
      </c>
      <c r="C22" s="101">
        <v>0.74</v>
      </c>
      <c r="D22" s="46">
        <v>30</v>
      </c>
      <c r="E22" s="46">
        <f t="shared" si="3"/>
        <v>82.2</v>
      </c>
      <c r="F22" s="211">
        <f t="shared" si="6"/>
        <v>0.64334540539291696</v>
      </c>
      <c r="G22" s="102">
        <f t="shared" si="7"/>
        <v>23216.727026964585</v>
      </c>
      <c r="H22" s="46">
        <f t="shared" si="4"/>
        <v>3079916.7724254266</v>
      </c>
      <c r="I22" s="46">
        <f t="shared" si="5"/>
        <v>402592.28161926102</v>
      </c>
      <c r="J22" s="7"/>
    </row>
    <row r="23" spans="2:10" x14ac:dyDescent="0.25">
      <c r="B23" s="1">
        <v>9</v>
      </c>
      <c r="C23" s="101">
        <v>0.76</v>
      </c>
      <c r="D23" s="46">
        <v>30</v>
      </c>
      <c r="E23" s="46">
        <f t="shared" si="3"/>
        <v>82.8</v>
      </c>
      <c r="F23" s="211">
        <f t="shared" si="6"/>
        <v>0.7063025628400873</v>
      </c>
      <c r="G23" s="102">
        <f t="shared" si="7"/>
        <v>23531.512814200436</v>
      </c>
      <c r="H23" s="46">
        <f t="shared" si="4"/>
        <v>3129354.6454418092</v>
      </c>
      <c r="I23" s="46">
        <f t="shared" si="5"/>
        <v>400372.2766882563</v>
      </c>
      <c r="J23" s="7"/>
    </row>
    <row r="24" spans="2:10" x14ac:dyDescent="0.25">
      <c r="B24" s="1">
        <v>10</v>
      </c>
      <c r="C24" s="101">
        <v>0.82</v>
      </c>
      <c r="D24" s="46">
        <v>30</v>
      </c>
      <c r="E24" s="46">
        <f t="shared" si="3"/>
        <v>84.6</v>
      </c>
      <c r="F24" s="211">
        <f t="shared" si="6"/>
        <v>0.91536508784281256</v>
      </c>
      <c r="G24" s="102">
        <f t="shared" si="7"/>
        <v>24576.825439214062</v>
      </c>
      <c r="H24" s="46">
        <f t="shared" si="4"/>
        <v>3291504.1953339316</v>
      </c>
      <c r="I24" s="46">
        <f t="shared" si="5"/>
        <v>395019.62054817798</v>
      </c>
      <c r="J24" s="7"/>
    </row>
    <row r="25" spans="2:10" x14ac:dyDescent="0.25">
      <c r="J25" s="7"/>
    </row>
    <row r="26" spans="2:10" x14ac:dyDescent="0.25">
      <c r="C26" s="48"/>
      <c r="D26" s="7"/>
      <c r="E26" s="7"/>
      <c r="F26" s="7"/>
      <c r="G26" s="7"/>
      <c r="H26" s="7"/>
      <c r="I26" s="7"/>
      <c r="J26" s="7"/>
    </row>
    <row r="27" spans="2:10" x14ac:dyDescent="0.25">
      <c r="B27" s="20" t="s">
        <v>71</v>
      </c>
      <c r="C27" s="20"/>
      <c r="D27" s="25">
        <f>AVERAGE(D15:D26)</f>
        <v>26.5</v>
      </c>
      <c r="E27" s="25">
        <f>AVERAGE(E15:E26)</f>
        <v>75.78</v>
      </c>
      <c r="F27" s="25"/>
      <c r="G27" s="25">
        <f>AVERAGE(G15:G26)</f>
        <v>20325.007447506981</v>
      </c>
      <c r="H27" s="25">
        <f>AVERAGE(H15:H26)</f>
        <v>2612444.6475316263</v>
      </c>
      <c r="I27" s="120">
        <f>AVERAGE(I15:I26)</f>
        <v>436306.46959442121</v>
      </c>
    </row>
    <row r="28" spans="2:10" s="2" customFormat="1" x14ac:dyDescent="0.25"/>
    <row r="29" spans="2:10" s="2" customFormat="1" x14ac:dyDescent="0.25"/>
    <row r="30" spans="2:10" s="2" customFormat="1" x14ac:dyDescent="0.25">
      <c r="E30" s="7"/>
    </row>
    <row r="31" spans="2:10" s="2" customFormat="1" x14ac:dyDescent="0.25"/>
    <row r="32" spans="2:10" s="2" customFormat="1" x14ac:dyDescent="0.25"/>
    <row r="33" spans="1:9" s="2" customFormat="1" x14ac:dyDescent="0.25">
      <c r="A33" s="3"/>
    </row>
    <row r="34" spans="1:9" x14ac:dyDescent="0.25">
      <c r="B34" s="2"/>
      <c r="C34" s="2"/>
      <c r="D34" s="2"/>
      <c r="E34" s="2"/>
      <c r="F34" s="2"/>
      <c r="G34" s="2"/>
      <c r="H34" s="2"/>
      <c r="I34" s="2"/>
    </row>
    <row r="35" spans="1:9" x14ac:dyDescent="0.25">
      <c r="B35" s="3"/>
      <c r="C35" s="2"/>
      <c r="D35" s="3"/>
      <c r="E35" s="3"/>
      <c r="F35" s="3"/>
      <c r="G35" s="3"/>
      <c r="H35" s="2"/>
      <c r="I35" s="2"/>
    </row>
    <row r="36" spans="1:9" x14ac:dyDescent="0.25">
      <c r="C36" s="2"/>
    </row>
    <row r="37" spans="1:9" x14ac:dyDescent="0.25">
      <c r="C37" s="2"/>
    </row>
    <row r="38" spans="1:9" x14ac:dyDescent="0.25">
      <c r="C38" s="2"/>
    </row>
    <row r="39" spans="1:9" x14ac:dyDescent="0.25">
      <c r="C39" s="2"/>
    </row>
    <row r="40" spans="1:9" x14ac:dyDescent="0.25">
      <c r="C40" s="2"/>
    </row>
    <row r="41" spans="1:9" x14ac:dyDescent="0.25">
      <c r="C41" s="2"/>
    </row>
    <row r="42" spans="1:9" x14ac:dyDescent="0.25">
      <c r="C42" s="2"/>
    </row>
    <row r="43" spans="1:9" x14ac:dyDescent="0.25">
      <c r="C43" s="2"/>
    </row>
    <row r="44" spans="1:9" x14ac:dyDescent="0.25">
      <c r="C44" s="2"/>
    </row>
    <row r="45" spans="1:9" x14ac:dyDescent="0.25">
      <c r="C45" s="2"/>
    </row>
    <row r="46" spans="1:9" x14ac:dyDescent="0.25">
      <c r="C46" s="2"/>
    </row>
    <row r="47" spans="1:9" x14ac:dyDescent="0.25">
      <c r="C47" s="2"/>
    </row>
    <row r="48" spans="1:9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</sheetData>
  <mergeCells count="3">
    <mergeCell ref="E8:F8"/>
    <mergeCell ref="H8:I8"/>
    <mergeCell ref="K8:L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26"/>
  <sheetViews>
    <sheetView showGridLines="0" topLeftCell="A19" zoomScaleNormal="100" workbookViewId="0">
      <selection activeCell="L7" sqref="L7"/>
    </sheetView>
  </sheetViews>
  <sheetFormatPr baseColWidth="10" defaultRowHeight="15" x14ac:dyDescent="0.25"/>
  <cols>
    <col min="1" max="1" width="3.5703125" customWidth="1"/>
    <col min="2" max="2" width="13.5703125" bestFit="1" customWidth="1"/>
    <col min="3" max="3" width="10.5703125" style="29" customWidth="1"/>
    <col min="4" max="4" width="15.42578125" customWidth="1"/>
    <col min="5" max="5" width="12.42578125" customWidth="1"/>
    <col min="6" max="6" width="13.140625" customWidth="1"/>
    <col min="7" max="7" width="18" customWidth="1"/>
    <col min="8" max="8" width="17.42578125" customWidth="1"/>
    <col min="9" max="9" width="19.7109375" customWidth="1"/>
    <col min="10" max="10" width="14.85546875" customWidth="1"/>
    <col min="11" max="11" width="14.140625" customWidth="1"/>
    <col min="12" max="12" width="14.28515625" customWidth="1"/>
    <col min="13" max="13" width="4.28515625" customWidth="1"/>
  </cols>
  <sheetData>
    <row r="1" spans="1:12" x14ac:dyDescent="0.25">
      <c r="A1" s="14"/>
      <c r="B1" s="29"/>
    </row>
    <row r="2" spans="1:12" x14ac:dyDescent="0.25">
      <c r="A2" s="30"/>
      <c r="B2" s="1" t="s">
        <v>107</v>
      </c>
      <c r="C2" s="1">
        <v>35</v>
      </c>
      <c r="D2" t="s">
        <v>108</v>
      </c>
    </row>
    <row r="3" spans="1:12" x14ac:dyDescent="0.25">
      <c r="A3" s="30"/>
      <c r="B3" s="1" t="s">
        <v>109</v>
      </c>
      <c r="C3" s="1">
        <v>10</v>
      </c>
      <c r="D3" t="s">
        <v>110</v>
      </c>
    </row>
    <row r="4" spans="1:12" x14ac:dyDescent="0.25">
      <c r="A4" s="30"/>
    </row>
    <row r="5" spans="1:12" x14ac:dyDescent="0.25">
      <c r="A5" s="6"/>
      <c r="B5" s="86" t="s">
        <v>111</v>
      </c>
      <c r="C5" s="87" t="s">
        <v>112</v>
      </c>
      <c r="D5" s="20" t="s">
        <v>113</v>
      </c>
      <c r="E5" s="87" t="s">
        <v>114</v>
      </c>
      <c r="F5" s="20" t="s">
        <v>115</v>
      </c>
      <c r="G5" s="20" t="s">
        <v>116</v>
      </c>
      <c r="H5" s="20" t="s">
        <v>117</v>
      </c>
      <c r="I5" s="20" t="s">
        <v>118</v>
      </c>
      <c r="J5" s="20" t="s">
        <v>119</v>
      </c>
      <c r="K5" s="20" t="s">
        <v>120</v>
      </c>
      <c r="L5" s="20" t="s">
        <v>121</v>
      </c>
    </row>
    <row r="6" spans="1:12" x14ac:dyDescent="0.25">
      <c r="A6" s="6"/>
      <c r="B6" s="88">
        <v>1</v>
      </c>
      <c r="C6" s="89">
        <v>0.41</v>
      </c>
      <c r="D6" s="90">
        <v>48</v>
      </c>
      <c r="E6" s="89">
        <v>0.52</v>
      </c>
      <c r="F6" s="91">
        <v>180</v>
      </c>
      <c r="G6" s="55">
        <f>F6+D6</f>
        <v>228</v>
      </c>
      <c r="H6" s="55">
        <f>60*3</f>
        <v>180</v>
      </c>
      <c r="I6" s="55">
        <f>IF(G6&lt;H6,0,G6-H6)</f>
        <v>48</v>
      </c>
      <c r="J6" s="55">
        <f>I6*$C$2</f>
        <v>1680</v>
      </c>
      <c r="K6" s="92">
        <f>H6*$C$2</f>
        <v>6300</v>
      </c>
      <c r="L6" s="92">
        <f>K6+J6</f>
        <v>7980</v>
      </c>
    </row>
    <row r="7" spans="1:12" x14ac:dyDescent="0.25">
      <c r="B7" s="88">
        <v>2</v>
      </c>
      <c r="C7" s="89">
        <v>0.56000000000000005</v>
      </c>
      <c r="D7" s="90">
        <v>48</v>
      </c>
      <c r="E7" s="89">
        <v>0.06</v>
      </c>
      <c r="F7" s="91">
        <v>144</v>
      </c>
      <c r="G7" s="55">
        <f>F7+D7</f>
        <v>192</v>
      </c>
      <c r="H7" s="55">
        <f>60*3</f>
        <v>180</v>
      </c>
      <c r="I7" s="55">
        <f t="shared" ref="I7:I15" si="0">IF(G7&lt;H7,0,G7-H7)</f>
        <v>12</v>
      </c>
      <c r="J7" s="55">
        <f t="shared" ref="J7:J15" si="1">I7*$C$2</f>
        <v>420</v>
      </c>
      <c r="K7" s="92">
        <f t="shared" ref="K7:K15" si="2">H7*$C$2</f>
        <v>6300</v>
      </c>
      <c r="L7" s="92">
        <f t="shared" ref="L7:L15" si="3">K7+J7</f>
        <v>6720</v>
      </c>
    </row>
    <row r="8" spans="1:12" x14ac:dyDescent="0.25">
      <c r="B8" s="88">
        <v>3</v>
      </c>
      <c r="C8" s="89">
        <v>0.23</v>
      </c>
      <c r="D8" s="90">
        <v>36</v>
      </c>
      <c r="E8" s="89">
        <v>0.95</v>
      </c>
      <c r="F8" s="91">
        <v>252</v>
      </c>
      <c r="G8" s="55">
        <f t="shared" ref="G8:G15" si="4">F8+D8</f>
        <v>288</v>
      </c>
      <c r="H8" s="55">
        <f t="shared" ref="H8:H15" si="5">60*3</f>
        <v>180</v>
      </c>
      <c r="I8" s="55">
        <f t="shared" si="0"/>
        <v>108</v>
      </c>
      <c r="J8" s="55">
        <f t="shared" si="1"/>
        <v>3780</v>
      </c>
      <c r="K8" s="92">
        <f t="shared" si="2"/>
        <v>6300</v>
      </c>
      <c r="L8" s="92">
        <f t="shared" si="3"/>
        <v>10080</v>
      </c>
    </row>
    <row r="9" spans="1:12" x14ac:dyDescent="0.25">
      <c r="B9" s="88">
        <v>4</v>
      </c>
      <c r="C9" s="89">
        <v>0.82</v>
      </c>
      <c r="D9" s="90">
        <v>60</v>
      </c>
      <c r="E9" s="89">
        <v>0.05</v>
      </c>
      <c r="F9" s="91">
        <v>144</v>
      </c>
      <c r="G9" s="55">
        <f t="shared" si="4"/>
        <v>204</v>
      </c>
      <c r="H9" s="55">
        <f t="shared" si="5"/>
        <v>180</v>
      </c>
      <c r="I9" s="55">
        <f t="shared" si="0"/>
        <v>24</v>
      </c>
      <c r="J9" s="55">
        <f t="shared" si="1"/>
        <v>840</v>
      </c>
      <c r="K9" s="92">
        <f t="shared" si="2"/>
        <v>6300</v>
      </c>
      <c r="L9" s="92">
        <f t="shared" si="3"/>
        <v>7140</v>
      </c>
    </row>
    <row r="10" spans="1:12" x14ac:dyDescent="0.25">
      <c r="B10" s="88">
        <v>5</v>
      </c>
      <c r="C10" s="89">
        <v>0.19</v>
      </c>
      <c r="D10" s="90">
        <v>36</v>
      </c>
      <c r="E10" s="89">
        <v>0.53</v>
      </c>
      <c r="F10" s="91">
        <v>180</v>
      </c>
      <c r="G10" s="55">
        <f t="shared" si="4"/>
        <v>216</v>
      </c>
      <c r="H10" s="55">
        <f t="shared" si="5"/>
        <v>180</v>
      </c>
      <c r="I10" s="55">
        <f t="shared" si="0"/>
        <v>36</v>
      </c>
      <c r="J10" s="55">
        <f t="shared" si="1"/>
        <v>1260</v>
      </c>
      <c r="K10" s="92">
        <f t="shared" si="2"/>
        <v>6300</v>
      </c>
      <c r="L10" s="92">
        <f t="shared" si="3"/>
        <v>7560</v>
      </c>
    </row>
    <row r="11" spans="1:12" x14ac:dyDescent="0.25">
      <c r="B11" s="88">
        <v>6</v>
      </c>
      <c r="C11" s="89">
        <v>0.95</v>
      </c>
      <c r="D11" s="90">
        <v>72</v>
      </c>
      <c r="E11" s="89">
        <v>0.35</v>
      </c>
      <c r="F11" s="91">
        <v>180</v>
      </c>
      <c r="G11" s="55">
        <f t="shared" si="4"/>
        <v>252</v>
      </c>
      <c r="H11" s="55">
        <f t="shared" si="5"/>
        <v>180</v>
      </c>
      <c r="I11" s="55">
        <f>IF(G11&lt;H11,0,G11-H11)</f>
        <v>72</v>
      </c>
      <c r="J11" s="55">
        <f t="shared" si="1"/>
        <v>2520</v>
      </c>
      <c r="K11" s="92">
        <f t="shared" si="2"/>
        <v>6300</v>
      </c>
      <c r="L11" s="92">
        <f t="shared" si="3"/>
        <v>8820</v>
      </c>
    </row>
    <row r="12" spans="1:12" x14ac:dyDescent="0.25">
      <c r="B12" s="88">
        <v>7</v>
      </c>
      <c r="C12" s="89">
        <v>0.38</v>
      </c>
      <c r="D12" s="90">
        <v>48</v>
      </c>
      <c r="E12" s="89">
        <v>0.21</v>
      </c>
      <c r="F12" s="91">
        <v>180</v>
      </c>
      <c r="G12" s="55">
        <f t="shared" si="4"/>
        <v>228</v>
      </c>
      <c r="H12" s="55">
        <f t="shared" si="5"/>
        <v>180</v>
      </c>
      <c r="I12" s="55">
        <f t="shared" si="0"/>
        <v>48</v>
      </c>
      <c r="J12" s="55">
        <f t="shared" si="1"/>
        <v>1680</v>
      </c>
      <c r="K12" s="92">
        <f t="shared" si="2"/>
        <v>6300</v>
      </c>
      <c r="L12" s="92">
        <f t="shared" si="3"/>
        <v>7980</v>
      </c>
    </row>
    <row r="13" spans="1:12" x14ac:dyDescent="0.25">
      <c r="B13" s="88">
        <v>8</v>
      </c>
      <c r="C13" s="89">
        <v>0.04</v>
      </c>
      <c r="D13" s="90">
        <v>24</v>
      </c>
      <c r="E13" s="89">
        <v>0.39</v>
      </c>
      <c r="F13" s="91">
        <v>180</v>
      </c>
      <c r="G13" s="55">
        <f t="shared" si="4"/>
        <v>204</v>
      </c>
      <c r="H13" s="55">
        <f t="shared" si="5"/>
        <v>180</v>
      </c>
      <c r="I13" s="55">
        <f t="shared" si="0"/>
        <v>24</v>
      </c>
      <c r="J13" s="55">
        <f t="shared" si="1"/>
        <v>840</v>
      </c>
      <c r="K13" s="92">
        <f t="shared" si="2"/>
        <v>6300</v>
      </c>
      <c r="L13" s="92">
        <f t="shared" si="3"/>
        <v>7140</v>
      </c>
    </row>
    <row r="14" spans="1:12" x14ac:dyDescent="0.25">
      <c r="B14" s="88">
        <v>9</v>
      </c>
      <c r="C14" s="89">
        <v>0.71</v>
      </c>
      <c r="D14" s="90">
        <v>60</v>
      </c>
      <c r="E14" s="89">
        <v>0.61</v>
      </c>
      <c r="F14" s="91">
        <v>216</v>
      </c>
      <c r="G14" s="55">
        <f t="shared" si="4"/>
        <v>276</v>
      </c>
      <c r="H14" s="55">
        <f t="shared" si="5"/>
        <v>180</v>
      </c>
      <c r="I14" s="55">
        <f t="shared" si="0"/>
        <v>96</v>
      </c>
      <c r="J14" s="55">
        <f t="shared" si="1"/>
        <v>3360</v>
      </c>
      <c r="K14" s="92">
        <f t="shared" si="2"/>
        <v>6300</v>
      </c>
      <c r="L14" s="92">
        <f t="shared" si="3"/>
        <v>9660</v>
      </c>
    </row>
    <row r="15" spans="1:12" x14ac:dyDescent="0.25">
      <c r="B15" s="88">
        <v>10</v>
      </c>
      <c r="C15" s="89">
        <v>0.36</v>
      </c>
      <c r="D15" s="90">
        <v>48</v>
      </c>
      <c r="E15" s="89">
        <v>0.21</v>
      </c>
      <c r="F15" s="91">
        <v>180</v>
      </c>
      <c r="G15" s="55">
        <f t="shared" si="4"/>
        <v>228</v>
      </c>
      <c r="H15" s="55">
        <f t="shared" si="5"/>
        <v>180</v>
      </c>
      <c r="I15" s="55">
        <f t="shared" si="0"/>
        <v>48</v>
      </c>
      <c r="J15" s="55">
        <f t="shared" si="1"/>
        <v>1680</v>
      </c>
      <c r="K15" s="92">
        <f t="shared" si="2"/>
        <v>6300</v>
      </c>
      <c r="L15" s="92">
        <f t="shared" si="3"/>
        <v>7980</v>
      </c>
    </row>
    <row r="16" spans="1:12" x14ac:dyDescent="0.25">
      <c r="B16" s="33"/>
      <c r="C16" s="34"/>
      <c r="D16" s="93" t="s">
        <v>62</v>
      </c>
      <c r="E16" s="93"/>
      <c r="F16" s="93" t="s">
        <v>62</v>
      </c>
      <c r="G16" s="93" t="s">
        <v>62</v>
      </c>
      <c r="H16" s="80"/>
      <c r="I16" s="93" t="s">
        <v>62</v>
      </c>
      <c r="J16" s="93" t="s">
        <v>62</v>
      </c>
      <c r="K16" s="93" t="s">
        <v>62</v>
      </c>
      <c r="L16" s="93" t="s">
        <v>62</v>
      </c>
    </row>
    <row r="17" spans="2:12" x14ac:dyDescent="0.25">
      <c r="B17" s="33"/>
      <c r="C17" s="34"/>
      <c r="D17" s="92">
        <f>AVERAGE(D6:D15)</f>
        <v>48</v>
      </c>
      <c r="E17" s="92"/>
      <c r="F17" s="92">
        <f>AVERAGE(F6:F15)</f>
        <v>183.6</v>
      </c>
      <c r="G17" s="92">
        <f>AVERAGE(G6:G15)</f>
        <v>231.6</v>
      </c>
      <c r="H17" s="55"/>
      <c r="I17" s="92">
        <f>AVERAGE(I6:I15)</f>
        <v>51.6</v>
      </c>
      <c r="J17" s="92">
        <f>AVERAGE(J6:J15)</f>
        <v>1806</v>
      </c>
      <c r="K17" s="92">
        <f>AVERAGE(K6:K15)</f>
        <v>6300</v>
      </c>
      <c r="L17" s="92">
        <f>AVERAGE(L6:L15)</f>
        <v>8106</v>
      </c>
    </row>
    <row r="18" spans="2:12" x14ac:dyDescent="0.25">
      <c r="B18" s="33"/>
      <c r="C18" s="34"/>
      <c r="D18" s="37"/>
      <c r="E18" s="32"/>
      <c r="F18" s="38"/>
      <c r="G18" s="38"/>
      <c r="H18" s="38"/>
      <c r="I18" s="38"/>
      <c r="J18" s="38"/>
      <c r="K18" s="37"/>
      <c r="L18" s="37"/>
    </row>
    <row r="19" spans="2:12" x14ac:dyDescent="0.25">
      <c r="B19" s="88" t="s">
        <v>122</v>
      </c>
      <c r="C19" s="89" t="s">
        <v>65</v>
      </c>
      <c r="D19" s="93" t="s">
        <v>66</v>
      </c>
      <c r="E19" s="87" t="s">
        <v>67</v>
      </c>
      <c r="F19" s="94" t="s">
        <v>68</v>
      </c>
      <c r="G19" s="39"/>
      <c r="H19" s="88" t="s">
        <v>123</v>
      </c>
      <c r="I19" s="89" t="s">
        <v>65</v>
      </c>
      <c r="J19" s="93" t="s">
        <v>66</v>
      </c>
      <c r="K19" s="87" t="s">
        <v>67</v>
      </c>
      <c r="L19" s="94" t="s">
        <v>68</v>
      </c>
    </row>
    <row r="20" spans="2:12" x14ac:dyDescent="0.25">
      <c r="B20" s="88">
        <v>24</v>
      </c>
      <c r="C20" s="89">
        <v>0.1</v>
      </c>
      <c r="D20" s="112">
        <f>C20</f>
        <v>0.1</v>
      </c>
      <c r="E20" s="254">
        <v>0</v>
      </c>
      <c r="F20" s="254">
        <f t="shared" ref="F20:F23" si="6">D20-0.01</f>
        <v>9.0000000000000011E-2</v>
      </c>
      <c r="G20" s="41"/>
      <c r="H20" s="88">
        <v>108</v>
      </c>
      <c r="I20" s="89">
        <v>0.05</v>
      </c>
      <c r="J20" s="112">
        <f>I20</f>
        <v>0.05</v>
      </c>
      <c r="K20" s="87">
        <v>0</v>
      </c>
      <c r="L20" s="94">
        <f>J20</f>
        <v>0.05</v>
      </c>
    </row>
    <row r="21" spans="2:12" x14ac:dyDescent="0.25">
      <c r="B21" s="88">
        <v>36</v>
      </c>
      <c r="C21" s="89">
        <v>0.25</v>
      </c>
      <c r="D21" s="112">
        <f>D20+C21</f>
        <v>0.35</v>
      </c>
      <c r="E21" s="254">
        <f>D20</f>
        <v>0.1</v>
      </c>
      <c r="F21" s="254">
        <f t="shared" si="6"/>
        <v>0.33999999999999997</v>
      </c>
      <c r="G21" s="41"/>
      <c r="H21" s="88">
        <v>144</v>
      </c>
      <c r="I21" s="89">
        <v>0.15</v>
      </c>
      <c r="J21" s="112">
        <f>J20+I21</f>
        <v>0.2</v>
      </c>
      <c r="K21" s="94">
        <f>L20</f>
        <v>0.05</v>
      </c>
      <c r="L21" s="94">
        <f t="shared" ref="L21:L24" si="7">J21</f>
        <v>0.2</v>
      </c>
    </row>
    <row r="22" spans="2:12" x14ac:dyDescent="0.25">
      <c r="B22" s="88">
        <v>48</v>
      </c>
      <c r="C22" s="89">
        <v>0.35</v>
      </c>
      <c r="D22" s="112">
        <f t="shared" ref="D22:D24" si="8">D21+C22</f>
        <v>0.7</v>
      </c>
      <c r="E22" s="254">
        <f t="shared" ref="E22:E24" si="9">D21</f>
        <v>0.35</v>
      </c>
      <c r="F22" s="254">
        <f t="shared" si="6"/>
        <v>0.69</v>
      </c>
      <c r="G22" s="41"/>
      <c r="H22" s="88">
        <v>180</v>
      </c>
      <c r="I22" s="89">
        <v>0.35</v>
      </c>
      <c r="J22" s="112">
        <f t="shared" ref="J22:J24" si="10">J21+I22</f>
        <v>0.55000000000000004</v>
      </c>
      <c r="K22" s="94">
        <f t="shared" ref="K22:K24" si="11">L21</f>
        <v>0.2</v>
      </c>
      <c r="L22" s="94">
        <f t="shared" si="7"/>
        <v>0.55000000000000004</v>
      </c>
    </row>
    <row r="23" spans="2:12" x14ac:dyDescent="0.25">
      <c r="B23" s="95">
        <v>60</v>
      </c>
      <c r="C23" s="89">
        <v>0.2</v>
      </c>
      <c r="D23" s="112">
        <f t="shared" si="8"/>
        <v>0.89999999999999991</v>
      </c>
      <c r="E23" s="254">
        <f t="shared" si="9"/>
        <v>0.7</v>
      </c>
      <c r="F23" s="254">
        <f t="shared" si="6"/>
        <v>0.8899999999999999</v>
      </c>
      <c r="G23" s="41"/>
      <c r="H23" s="95">
        <v>216</v>
      </c>
      <c r="I23" s="89">
        <v>0.25</v>
      </c>
      <c r="J23" s="112">
        <f t="shared" si="10"/>
        <v>0.8</v>
      </c>
      <c r="K23" s="94">
        <f t="shared" si="11"/>
        <v>0.55000000000000004</v>
      </c>
      <c r="L23" s="94">
        <f t="shared" si="7"/>
        <v>0.8</v>
      </c>
    </row>
    <row r="24" spans="2:12" x14ac:dyDescent="0.25">
      <c r="B24" s="95">
        <v>72</v>
      </c>
      <c r="C24" s="89">
        <v>0.1</v>
      </c>
      <c r="D24" s="112">
        <f t="shared" si="8"/>
        <v>0.99999999999999989</v>
      </c>
      <c r="E24" s="254">
        <f t="shared" si="9"/>
        <v>0.89999999999999991</v>
      </c>
      <c r="F24" s="254">
        <f>D24-0.01</f>
        <v>0.98999999999999988</v>
      </c>
      <c r="G24" s="41"/>
      <c r="H24" s="95">
        <v>252</v>
      </c>
      <c r="I24" s="89">
        <v>0.2</v>
      </c>
      <c r="J24" s="112">
        <f t="shared" si="10"/>
        <v>1</v>
      </c>
      <c r="K24" s="94">
        <f t="shared" si="11"/>
        <v>0.8</v>
      </c>
      <c r="L24" s="94">
        <f t="shared" si="7"/>
        <v>1</v>
      </c>
    </row>
    <row r="25" spans="2:12" x14ac:dyDescent="0.25">
      <c r="C25" s="43"/>
      <c r="D25" s="4"/>
      <c r="E25" s="17"/>
      <c r="F25" s="44"/>
      <c r="G25" s="44"/>
      <c r="H25" s="44"/>
      <c r="I25" s="44"/>
      <c r="J25" s="17"/>
      <c r="K25" s="44"/>
      <c r="L25" s="44"/>
    </row>
    <row r="26" spans="2:12" x14ac:dyDescent="0.25">
      <c r="E26" s="17"/>
      <c r="F26" s="17"/>
      <c r="G26" s="17"/>
      <c r="H26" s="17"/>
      <c r="I26" s="17"/>
      <c r="J26" s="17"/>
      <c r="K26" s="17"/>
      <c r="L26" s="17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1"/>
  <sheetViews>
    <sheetView showGridLines="0" workbookViewId="0">
      <selection activeCell="E13" sqref="E13"/>
    </sheetView>
  </sheetViews>
  <sheetFormatPr baseColWidth="10" defaultRowHeight="15" x14ac:dyDescent="0.25"/>
  <cols>
    <col min="1" max="1" width="4" customWidth="1"/>
    <col min="2" max="2" width="4.7109375" customWidth="1"/>
    <col min="6" max="6" width="12" customWidth="1"/>
    <col min="8" max="8" width="12.5703125" customWidth="1"/>
    <col min="9" max="9" width="11.7109375" customWidth="1"/>
  </cols>
  <sheetData>
    <row r="1" spans="1:12" x14ac:dyDescent="0.25">
      <c r="A1" s="14"/>
    </row>
    <row r="12" spans="1:12" x14ac:dyDescent="0.25">
      <c r="B12" s="24" t="s">
        <v>80</v>
      </c>
      <c r="C12" t="s">
        <v>251</v>
      </c>
      <c r="E12" s="219">
        <f>J24-C15</f>
        <v>5.4166666666666643</v>
      </c>
      <c r="F12" s="218" t="s">
        <v>250</v>
      </c>
      <c r="G12" s="24" t="s">
        <v>82</v>
      </c>
      <c r="H12" t="s">
        <v>252</v>
      </c>
      <c r="K12" s="218">
        <f>AVERAGE(I15:I24)</f>
        <v>32.5</v>
      </c>
      <c r="L12" s="218" t="s">
        <v>183</v>
      </c>
    </row>
    <row r="14" spans="1:12" ht="30" x14ac:dyDescent="0.25">
      <c r="B14" s="24" t="s">
        <v>242</v>
      </c>
      <c r="C14" s="137" t="s">
        <v>249</v>
      </c>
      <c r="D14" s="137" t="s">
        <v>243</v>
      </c>
      <c r="E14" s="212" t="s">
        <v>254</v>
      </c>
      <c r="F14" s="137" t="s">
        <v>244</v>
      </c>
      <c r="G14" s="137" t="s">
        <v>246</v>
      </c>
      <c r="H14" s="137" t="s">
        <v>245</v>
      </c>
      <c r="I14" s="212" t="s">
        <v>253</v>
      </c>
      <c r="J14" s="137" t="s">
        <v>247</v>
      </c>
      <c r="K14" s="137" t="s">
        <v>248</v>
      </c>
    </row>
    <row r="15" spans="1:12" x14ac:dyDescent="0.25">
      <c r="B15">
        <v>1</v>
      </c>
      <c r="C15" s="217">
        <v>9</v>
      </c>
      <c r="D15" s="102">
        <v>0.22</v>
      </c>
      <c r="E15" s="1">
        <v>-5</v>
      </c>
      <c r="F15" s="102">
        <f>C15+E15/60</f>
        <v>8.9166666666666661</v>
      </c>
      <c r="G15" s="102">
        <f>F15</f>
        <v>8.9166666666666661</v>
      </c>
      <c r="H15" s="102">
        <v>0.6</v>
      </c>
      <c r="I15" s="1">
        <v>35</v>
      </c>
      <c r="J15" s="102">
        <f t="shared" ref="J15:J22" si="0">G15+I15/60</f>
        <v>9.5</v>
      </c>
      <c r="K15" s="1">
        <v>0</v>
      </c>
    </row>
    <row r="16" spans="1:12" x14ac:dyDescent="0.25">
      <c r="B16">
        <v>2</v>
      </c>
      <c r="C16" s="102">
        <v>9.5</v>
      </c>
      <c r="D16" s="102">
        <v>0.5</v>
      </c>
      <c r="E16" s="1">
        <v>5</v>
      </c>
      <c r="F16" s="102">
        <f>C16+E16/60</f>
        <v>9.5833333333333339</v>
      </c>
      <c r="G16" s="102">
        <f>IF(F16&lt;J15,J15,F16)</f>
        <v>9.5833333333333339</v>
      </c>
      <c r="H16" s="102">
        <v>0.52</v>
      </c>
      <c r="I16" s="1">
        <v>35</v>
      </c>
      <c r="J16" s="102">
        <f t="shared" si="0"/>
        <v>10.166666666666668</v>
      </c>
      <c r="K16" s="1">
        <f>COUNTIF($J$15:J15,"&gt;"&amp;F16)</f>
        <v>0</v>
      </c>
    </row>
    <row r="17" spans="2:13" x14ac:dyDescent="0.25">
      <c r="B17">
        <v>3</v>
      </c>
      <c r="C17" s="102">
        <v>10</v>
      </c>
      <c r="D17" s="102">
        <v>0.13</v>
      </c>
      <c r="E17" s="1">
        <v>-5</v>
      </c>
      <c r="F17" s="102">
        <f t="shared" ref="F17:F24" si="1">C17+E17/60</f>
        <v>9.9166666666666661</v>
      </c>
      <c r="G17" s="102">
        <f>IF(F17&lt;J16,J16,F17)</f>
        <v>10.166666666666668</v>
      </c>
      <c r="H17" s="102">
        <v>0.88</v>
      </c>
      <c r="I17" s="1">
        <v>35</v>
      </c>
      <c r="J17" s="102">
        <f t="shared" si="0"/>
        <v>10.750000000000002</v>
      </c>
      <c r="K17" s="1">
        <f>COUNTIF($J$15:J16,"&gt;"&amp;F17)</f>
        <v>1</v>
      </c>
    </row>
    <row r="18" spans="2:13" x14ac:dyDescent="0.25">
      <c r="B18">
        <v>4</v>
      </c>
      <c r="C18" s="102">
        <v>10.5</v>
      </c>
      <c r="D18" s="102">
        <v>0.36</v>
      </c>
      <c r="E18" s="1">
        <v>0</v>
      </c>
      <c r="F18" s="102">
        <f>C18+E18/60</f>
        <v>10.5</v>
      </c>
      <c r="G18" s="102">
        <f>IF(F18&lt;J17,J17,F18)</f>
        <v>10.750000000000002</v>
      </c>
      <c r="H18" s="102">
        <v>0.34</v>
      </c>
      <c r="I18" s="1">
        <v>30</v>
      </c>
      <c r="J18" s="102">
        <f t="shared" si="0"/>
        <v>11.250000000000002</v>
      </c>
      <c r="K18" s="1">
        <f>COUNTIF($J$15:J17,"&gt;"&amp;F18)</f>
        <v>1</v>
      </c>
    </row>
    <row r="19" spans="2:13" x14ac:dyDescent="0.25">
      <c r="B19">
        <v>5</v>
      </c>
      <c r="C19" s="102">
        <v>11</v>
      </c>
      <c r="D19" s="102">
        <v>0.91</v>
      </c>
      <c r="E19" s="1">
        <v>15</v>
      </c>
      <c r="F19" s="102">
        <f t="shared" si="1"/>
        <v>11.25</v>
      </c>
      <c r="G19" s="102">
        <f>IF(F19&lt;J18,J18,F19)</f>
        <v>11.25</v>
      </c>
      <c r="H19" s="102">
        <v>0.41</v>
      </c>
      <c r="I19" s="1">
        <v>30</v>
      </c>
      <c r="J19" s="102">
        <f t="shared" si="0"/>
        <v>11.75</v>
      </c>
      <c r="K19" s="1">
        <f>COUNTIF($J$15:J18,"&gt;"&amp;F19)</f>
        <v>0</v>
      </c>
    </row>
    <row r="20" spans="2:13" x14ac:dyDescent="0.25">
      <c r="B20">
        <v>6</v>
      </c>
      <c r="C20" s="102">
        <v>11.5</v>
      </c>
      <c r="D20" s="102">
        <v>0.1</v>
      </c>
      <c r="E20" s="1">
        <v>-5</v>
      </c>
      <c r="F20" s="102">
        <f t="shared" si="1"/>
        <v>11.416666666666666</v>
      </c>
      <c r="G20" s="102">
        <f t="shared" ref="G20:G24" si="2">IF(F20&lt;J19,J19,F20)</f>
        <v>11.75</v>
      </c>
      <c r="H20" s="102">
        <v>7.0000000000000007E-2</v>
      </c>
      <c r="I20" s="1">
        <v>25</v>
      </c>
      <c r="J20" s="102">
        <f t="shared" si="0"/>
        <v>12.166666666666666</v>
      </c>
      <c r="K20" s="1">
        <f>COUNTIF($J$15:J19,"&gt;"&amp;F20)</f>
        <v>1</v>
      </c>
    </row>
    <row r="21" spans="2:13" x14ac:dyDescent="0.25">
      <c r="B21">
        <v>7</v>
      </c>
      <c r="C21" s="102">
        <v>12</v>
      </c>
      <c r="D21" s="102">
        <v>0.72</v>
      </c>
      <c r="E21" s="1">
        <v>5</v>
      </c>
      <c r="F21" s="102">
        <f t="shared" si="1"/>
        <v>12.083333333333334</v>
      </c>
      <c r="G21" s="102">
        <f t="shared" si="2"/>
        <v>12.166666666666666</v>
      </c>
      <c r="H21" s="102">
        <v>0.95</v>
      </c>
      <c r="I21" s="1">
        <v>40</v>
      </c>
      <c r="J21" s="102">
        <f t="shared" si="0"/>
        <v>12.833333333333332</v>
      </c>
      <c r="K21" s="1">
        <f>COUNTIF($J$15:J20,"&gt;"&amp;F21)</f>
        <v>1</v>
      </c>
    </row>
    <row r="22" spans="2:13" x14ac:dyDescent="0.25">
      <c r="B22">
        <v>8</v>
      </c>
      <c r="C22" s="102">
        <v>12.5</v>
      </c>
      <c r="D22" s="102">
        <v>0.74</v>
      </c>
      <c r="E22" s="1">
        <v>5</v>
      </c>
      <c r="F22" s="102">
        <f t="shared" si="1"/>
        <v>12.583333333333334</v>
      </c>
      <c r="G22" s="102">
        <f t="shared" si="2"/>
        <v>12.833333333333332</v>
      </c>
      <c r="H22" s="102">
        <v>0.41</v>
      </c>
      <c r="I22" s="1">
        <v>30</v>
      </c>
      <c r="J22" s="102">
        <f t="shared" si="0"/>
        <v>13.333333333333332</v>
      </c>
      <c r="K22" s="1">
        <f>COUNTIF($J$15:J21,"&gt;"&amp;F22)</f>
        <v>1</v>
      </c>
    </row>
    <row r="23" spans="2:13" x14ac:dyDescent="0.25">
      <c r="B23">
        <v>9</v>
      </c>
      <c r="C23" s="102">
        <v>13</v>
      </c>
      <c r="D23" s="102">
        <v>0.76</v>
      </c>
      <c r="E23" s="1">
        <v>5</v>
      </c>
      <c r="F23" s="102">
        <f t="shared" si="1"/>
        <v>13.083333333333334</v>
      </c>
      <c r="G23" s="102">
        <f t="shared" si="2"/>
        <v>13.333333333333332</v>
      </c>
      <c r="H23" s="102">
        <v>0.98</v>
      </c>
      <c r="I23" s="1">
        <v>40</v>
      </c>
      <c r="J23" s="102">
        <f t="shared" ref="J23:J24" si="3">G23+I23/60</f>
        <v>13.999999999999998</v>
      </c>
      <c r="K23" s="1">
        <f>COUNTIF($J$15:J22,"&gt;"&amp;F23)</f>
        <v>1</v>
      </c>
    </row>
    <row r="24" spans="2:13" x14ac:dyDescent="0.25">
      <c r="B24">
        <v>10</v>
      </c>
      <c r="C24" s="102">
        <v>13.5</v>
      </c>
      <c r="D24" s="102">
        <v>0.82</v>
      </c>
      <c r="E24" s="1">
        <v>5</v>
      </c>
      <c r="F24" s="102">
        <f t="shared" si="1"/>
        <v>13.583333333333334</v>
      </c>
      <c r="G24" s="102">
        <f t="shared" si="2"/>
        <v>13.999999999999998</v>
      </c>
      <c r="H24" s="102">
        <v>0.14000000000000001</v>
      </c>
      <c r="I24" s="1">
        <v>25</v>
      </c>
      <c r="J24" s="217">
        <f t="shared" si="3"/>
        <v>14.416666666666664</v>
      </c>
      <c r="K24" s="1">
        <f>COUNTIF($J$15:J23,"&gt;"&amp;F24)</f>
        <v>1</v>
      </c>
    </row>
    <row r="26" spans="2:13" ht="30" x14ac:dyDescent="0.25">
      <c r="C26" s="212" t="s">
        <v>255</v>
      </c>
      <c r="D26" s="137" t="s">
        <v>239</v>
      </c>
      <c r="E26" s="137" t="s">
        <v>147</v>
      </c>
      <c r="F26" s="137" t="s">
        <v>240</v>
      </c>
      <c r="G26" s="137" t="s">
        <v>241</v>
      </c>
      <c r="I26" s="212" t="s">
        <v>256</v>
      </c>
      <c r="J26" s="137" t="s">
        <v>239</v>
      </c>
      <c r="K26" s="137" t="s">
        <v>147</v>
      </c>
      <c r="L26" s="137" t="s">
        <v>240</v>
      </c>
      <c r="M26" s="137" t="s">
        <v>241</v>
      </c>
    </row>
    <row r="27" spans="2:13" x14ac:dyDescent="0.25">
      <c r="C27" s="216">
        <v>-15</v>
      </c>
      <c r="D27" s="134">
        <v>0.1</v>
      </c>
      <c r="E27" s="133">
        <f>D27</f>
        <v>0.1</v>
      </c>
      <c r="F27" s="255">
        <v>0</v>
      </c>
      <c r="G27" s="255">
        <f>E27-0.01</f>
        <v>9.0000000000000011E-2</v>
      </c>
      <c r="I27" s="20">
        <v>25</v>
      </c>
      <c r="J27" s="134">
        <v>0.15</v>
      </c>
      <c r="K27" s="133">
        <f>J27</f>
        <v>0.15</v>
      </c>
      <c r="L27" s="215">
        <v>0</v>
      </c>
      <c r="M27" s="215">
        <f>K27-0.01</f>
        <v>0.13999999999999999</v>
      </c>
    </row>
    <row r="28" spans="2:13" x14ac:dyDescent="0.25">
      <c r="C28" s="216">
        <v>-5</v>
      </c>
      <c r="D28" s="134">
        <v>0.15</v>
      </c>
      <c r="E28" s="133">
        <f>E27+D28</f>
        <v>0.25</v>
      </c>
      <c r="F28" s="255">
        <f>E27</f>
        <v>0.1</v>
      </c>
      <c r="G28" s="255">
        <f t="shared" ref="G28:G31" si="4">E28-0.01</f>
        <v>0.24</v>
      </c>
      <c r="I28" s="20">
        <v>30</v>
      </c>
      <c r="J28" s="134">
        <v>0.35</v>
      </c>
      <c r="K28" s="133">
        <f>K27+J28</f>
        <v>0.5</v>
      </c>
      <c r="L28" s="215">
        <f>K27</f>
        <v>0.15</v>
      </c>
      <c r="M28" s="215">
        <f t="shared" ref="M28:M30" si="5">K28-0.01</f>
        <v>0.49</v>
      </c>
    </row>
    <row r="29" spans="2:13" x14ac:dyDescent="0.25">
      <c r="C29" s="216">
        <v>0</v>
      </c>
      <c r="D29" s="134">
        <v>0.25</v>
      </c>
      <c r="E29" s="133">
        <f t="shared" ref="E29:E31" si="6">E28+D29</f>
        <v>0.5</v>
      </c>
      <c r="F29" s="255">
        <f t="shared" ref="F29:F31" si="7">E28</f>
        <v>0.25</v>
      </c>
      <c r="G29" s="255">
        <f t="shared" si="4"/>
        <v>0.49</v>
      </c>
      <c r="I29" s="20">
        <v>35</v>
      </c>
      <c r="J29" s="134">
        <v>0.45</v>
      </c>
      <c r="K29" s="133">
        <f t="shared" ref="K29:K30" si="8">K28+J29</f>
        <v>0.95</v>
      </c>
      <c r="L29" s="215">
        <f t="shared" ref="L29:L30" si="9">K28</f>
        <v>0.5</v>
      </c>
      <c r="M29" s="215">
        <f t="shared" si="5"/>
        <v>0.94</v>
      </c>
    </row>
    <row r="30" spans="2:13" x14ac:dyDescent="0.25">
      <c r="C30" s="216">
        <v>5</v>
      </c>
      <c r="D30" s="134">
        <v>0.4</v>
      </c>
      <c r="E30" s="133">
        <f t="shared" si="6"/>
        <v>0.9</v>
      </c>
      <c r="F30" s="255">
        <f t="shared" si="7"/>
        <v>0.5</v>
      </c>
      <c r="G30" s="255">
        <f t="shared" si="4"/>
        <v>0.89</v>
      </c>
      <c r="I30" s="20">
        <v>40</v>
      </c>
      <c r="J30" s="134">
        <v>0.05</v>
      </c>
      <c r="K30" s="133">
        <f t="shared" si="8"/>
        <v>1</v>
      </c>
      <c r="L30" s="215">
        <f t="shared" si="9"/>
        <v>0.95</v>
      </c>
      <c r="M30" s="215">
        <f t="shared" si="5"/>
        <v>0.99</v>
      </c>
    </row>
    <row r="31" spans="2:13" x14ac:dyDescent="0.25">
      <c r="C31" s="216">
        <v>15</v>
      </c>
      <c r="D31" s="134">
        <v>0.1</v>
      </c>
      <c r="E31" s="133">
        <f t="shared" si="6"/>
        <v>1</v>
      </c>
      <c r="F31" s="255">
        <f t="shared" si="7"/>
        <v>0.9</v>
      </c>
      <c r="G31" s="255">
        <f t="shared" si="4"/>
        <v>0.99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Estimación de muestras</vt:lpstr>
      <vt:lpstr>GNA Transformadas inversas</vt:lpstr>
      <vt:lpstr>GNA Método Multiplicativo</vt:lpstr>
      <vt:lpstr>GNA Método Midsquare</vt:lpstr>
      <vt:lpstr>1 Montecarlo Alq trajes </vt:lpstr>
      <vt:lpstr>2 Montecarlo Panadería</vt:lpstr>
      <vt:lpstr>3 Montecarlo Nueva publicidad</vt:lpstr>
      <vt:lpstr>extra 1 Montecarlo Serv Téc</vt:lpstr>
      <vt:lpstr>extra 2 Montecarlo Médico</vt:lpstr>
      <vt:lpstr>extra 3 Montecarlo Vend Diarios</vt:lpstr>
      <vt:lpstr>Simulación de líneas de espera</vt:lpstr>
      <vt:lpstr>S Líneas 1 Tienda manjares</vt:lpstr>
      <vt:lpstr>S Líneas 2 Muelle</vt:lpstr>
      <vt:lpstr>S Líneas 3 Juzgado</vt:lpstr>
      <vt:lpstr>S Líneas 4 Cinta transp</vt:lpstr>
      <vt:lpstr>S Líneas 5 oficina de correos</vt:lpstr>
      <vt:lpstr>S.Stocks 1 Cueros</vt:lpstr>
      <vt:lpstr>S.Stocks 2 Neumáticos V1</vt:lpstr>
      <vt:lpstr>S.Stocks 3 Producto emblemático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</dc:creator>
  <cp:lastModifiedBy>Joaquin Vietto</cp:lastModifiedBy>
  <dcterms:created xsi:type="dcterms:W3CDTF">2018-05-01T16:28:02Z</dcterms:created>
  <dcterms:modified xsi:type="dcterms:W3CDTF">2021-07-24T19:53:27Z</dcterms:modified>
</cp:coreProperties>
</file>