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jercicio1" sheetId="5" r:id="rId1"/>
    <sheet name="Ejercic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5" l="1"/>
  <c r="I27" i="5"/>
  <c r="I26" i="5"/>
  <c r="I25" i="5"/>
  <c r="I24" i="5"/>
  <c r="G25" i="5"/>
  <c r="F25" i="5"/>
  <c r="F26" i="5"/>
  <c r="F27" i="5"/>
  <c r="F28" i="5"/>
  <c r="F24" i="5"/>
  <c r="E25" i="5"/>
  <c r="E26" i="5"/>
  <c r="E27" i="5"/>
  <c r="E28" i="5"/>
  <c r="E24" i="5"/>
  <c r="G24" i="5"/>
  <c r="G28" i="5"/>
  <c r="G27" i="5"/>
  <c r="G26" i="5"/>
  <c r="D25" i="5"/>
  <c r="D26" i="5"/>
  <c r="D27" i="5"/>
  <c r="D28" i="5"/>
  <c r="D24" i="5"/>
  <c r="C25" i="5"/>
  <c r="C26" i="5"/>
  <c r="C27" i="5"/>
  <c r="C28" i="5"/>
  <c r="C24" i="5"/>
  <c r="N31" i="2"/>
  <c r="M15" i="5"/>
  <c r="M16" i="5"/>
  <c r="M17" i="5"/>
  <c r="M18" i="5"/>
  <c r="M14" i="5"/>
  <c r="D17" i="5"/>
  <c r="C17" i="5"/>
  <c r="F17" i="5"/>
  <c r="F16" i="5"/>
  <c r="G16" i="5" s="1"/>
  <c r="E16" i="5"/>
  <c r="F15" i="5"/>
  <c r="E15" i="5"/>
  <c r="K15" i="5" s="1"/>
  <c r="E14" i="5"/>
  <c r="D18" i="5"/>
  <c r="D16" i="5"/>
  <c r="C16" i="5"/>
  <c r="I17" i="5"/>
  <c r="C18" i="5"/>
  <c r="C15" i="5"/>
  <c r="D14" i="5"/>
  <c r="G14" i="5"/>
  <c r="F14" i="5"/>
  <c r="C14" i="5"/>
  <c r="D15" i="5"/>
  <c r="F18" i="5"/>
  <c r="E18" i="5"/>
  <c r="G18" i="5"/>
  <c r="E17" i="5"/>
  <c r="I16" i="5" l="1"/>
  <c r="K14" i="5"/>
  <c r="K18" i="5"/>
  <c r="K17" i="5"/>
  <c r="G15" i="5"/>
  <c r="I15" i="5"/>
  <c r="K16" i="5"/>
  <c r="I14" i="5"/>
  <c r="G17" i="5"/>
  <c r="I18" i="5"/>
  <c r="O67" i="2" l="1"/>
  <c r="L48" i="2"/>
  <c r="L45" i="2"/>
  <c r="O65" i="2"/>
  <c r="X53" i="2"/>
  <c r="V53" i="2"/>
  <c r="G44" i="2"/>
  <c r="O66" i="2"/>
  <c r="N30" i="2"/>
  <c r="N29" i="2"/>
  <c r="X59" i="2"/>
  <c r="V59" i="2"/>
  <c r="M60" i="2"/>
  <c r="M59" i="2"/>
  <c r="Q59" i="2" s="1"/>
  <c r="M54" i="2"/>
  <c r="Q54" i="2" s="1"/>
  <c r="M53" i="2"/>
  <c r="Q53" i="2" s="1"/>
  <c r="L42" i="2"/>
  <c r="Q60" i="2"/>
  <c r="Q56" i="2" l="1"/>
  <c r="Q62" i="2"/>
  <c r="S59" i="2" s="1"/>
  <c r="S54" i="2" l="1"/>
  <c r="S60" i="2"/>
  <c r="S53" i="2"/>
  <c r="G45" i="2" l="1"/>
  <c r="K12" i="2"/>
  <c r="K9" i="2"/>
  <c r="K6" i="2"/>
  <c r="W23" i="2"/>
  <c r="U23" i="2"/>
  <c r="W17" i="2"/>
  <c r="U17" i="2"/>
  <c r="P23" i="2"/>
  <c r="R23" i="2"/>
  <c r="L24" i="2"/>
  <c r="L23" i="2"/>
  <c r="R18" i="2"/>
  <c r="R17" i="2"/>
  <c r="P18" i="2"/>
  <c r="P17" i="2"/>
  <c r="L18" i="2"/>
  <c r="L17" i="2"/>
  <c r="P24" i="2"/>
  <c r="G9" i="2"/>
  <c r="G8" i="2"/>
  <c r="P20" i="2" l="1"/>
  <c r="P26" i="2"/>
  <c r="R24" i="2" s="1"/>
</calcChain>
</file>

<file path=xl/sharedStrings.xml><?xml version="1.0" encoding="utf-8"?>
<sst xmlns="http://schemas.openxmlformats.org/spreadsheetml/2006/main" count="113" uniqueCount="47">
  <si>
    <t>Matriz de compensaciones:</t>
  </si>
  <si>
    <t>Probabilidades a priori.</t>
  </si>
  <si>
    <t>Valor esperado</t>
  </si>
  <si>
    <t>Concentrar CBA</t>
  </si>
  <si>
    <t>Concentrar BsAs</t>
  </si>
  <si>
    <t>Consumo en alza</t>
  </si>
  <si>
    <t>Consumo en baja</t>
  </si>
  <si>
    <t>Costo info. extra =</t>
  </si>
  <si>
    <t>Sucedió alza</t>
  </si>
  <si>
    <t>Sucedió baja</t>
  </si>
  <si>
    <t>Alza</t>
  </si>
  <si>
    <t>Baja</t>
  </si>
  <si>
    <t>GANACIA CON INFORMACIÓN PERFECTA</t>
  </si>
  <si>
    <t>Sumatoria de mejores resultado*sus probabilidades</t>
  </si>
  <si>
    <t>VALOR DE LA INFORMACIÓN PERFECTA</t>
  </si>
  <si>
    <t>Ganancia con inf perfecta - ganancia sin inf extra</t>
  </si>
  <si>
    <t>VALOR DE LA INFORMACIÓN NO PERFECTA</t>
  </si>
  <si>
    <t>Ganancia con inf NO perfecta - ganancia sin inf extra</t>
  </si>
  <si>
    <t>Mejor resultado</t>
  </si>
  <si>
    <t>Estado nat.</t>
  </si>
  <si>
    <t>P. priori</t>
  </si>
  <si>
    <t>P. condicional</t>
  </si>
  <si>
    <t>P. conjunta</t>
  </si>
  <si>
    <t>P. posteriori</t>
  </si>
  <si>
    <t>P. conj. Total</t>
  </si>
  <si>
    <t>Dice falla:</t>
  </si>
  <si>
    <t>Sucedió alza:</t>
  </si>
  <si>
    <t>alza</t>
  </si>
  <si>
    <t>baja</t>
  </si>
  <si>
    <t>Valor esperado final BRUTO =</t>
  </si>
  <si>
    <t>Falor esperado final NETO =</t>
  </si>
  <si>
    <t>Mejor resultado final =</t>
  </si>
  <si>
    <t>Parte 1</t>
  </si>
  <si>
    <t>Parte 2:</t>
  </si>
  <si>
    <t>Docenas demandadas</t>
  </si>
  <si>
    <t>Probabilidades</t>
  </si>
  <si>
    <t>Variables</t>
  </si>
  <si>
    <t>Venta</t>
  </si>
  <si>
    <t>Compra</t>
  </si>
  <si>
    <t>&gt;= 7000 unid compra</t>
  </si>
  <si>
    <t>Perdida</t>
  </si>
  <si>
    <t>Wald - Pesimista</t>
  </si>
  <si>
    <t>Hurwicz</t>
  </si>
  <si>
    <t>Lagrange - Igual prob.</t>
  </si>
  <si>
    <t>Alfa = 0, 55</t>
  </si>
  <si>
    <t>Matriz de los lamentos</t>
  </si>
  <si>
    <t>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</si>
</sst>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/>
      </right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1499984740745262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9">
    <xf numFmtId="0" fontId="0" fillId="0" borderId="0" xfId="0"/>
    <xf numFmtId="0" fontId="5" fillId="2" borderId="0" xfId="0" applyFont="1" applyFill="1" applyAlignment="1"/>
    <xf numFmtId="2" fontId="0" fillId="0" borderId="0" xfId="0" applyNumberFormat="1"/>
    <xf numFmtId="2" fontId="6" fillId="0" borderId="0" xfId="0" applyNumberFormat="1" applyFont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2" fontId="7" fillId="3" borderId="2" xfId="0" applyNumberFormat="1" applyFont="1" applyFill="1" applyBorder="1" applyAlignment="1">
      <alignment horizontal="center"/>
    </xf>
    <xf numFmtId="2" fontId="7" fillId="3" borderId="3" xfId="0" applyNumberFormat="1" applyFont="1" applyFill="1" applyBorder="1" applyAlignment="1">
      <alignment horizontal="center"/>
    </xf>
    <xf numFmtId="10" fontId="5" fillId="0" borderId="4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10" fontId="0" fillId="0" borderId="6" xfId="0" applyNumberFormat="1" applyBorder="1" applyAlignment="1"/>
    <xf numFmtId="2" fontId="0" fillId="4" borderId="1" xfId="0" applyNumberFormat="1" applyFill="1" applyBorder="1"/>
    <xf numFmtId="2" fontId="0" fillId="4" borderId="3" xfId="0" applyNumberFormat="1" applyFill="1" applyBorder="1"/>
    <xf numFmtId="2" fontId="6" fillId="4" borderId="1" xfId="0" applyNumberFormat="1" applyFont="1" applyFill="1" applyBorder="1" applyAlignment="1">
      <alignment horizontal="center"/>
    </xf>
    <xf numFmtId="2" fontId="0" fillId="4" borderId="3" xfId="0" applyNumberFormat="1" applyFill="1" applyBorder="1" applyAlignment="1"/>
    <xf numFmtId="2" fontId="6" fillId="4" borderId="2" xfId="0" applyNumberFormat="1" applyFont="1" applyFill="1" applyBorder="1" applyAlignment="1">
      <alignment horizontal="center"/>
    </xf>
    <xf numFmtId="2" fontId="8" fillId="5" borderId="7" xfId="0" applyNumberFormat="1" applyFont="1" applyFill="1" applyBorder="1" applyAlignment="1">
      <alignment horizontal="center"/>
    </xf>
    <xf numFmtId="2" fontId="8" fillId="5" borderId="8" xfId="0" applyNumberFormat="1" applyFont="1" applyFill="1" applyBorder="1" applyAlignment="1">
      <alignment horizontal="center"/>
    </xf>
    <xf numFmtId="2" fontId="6" fillId="4" borderId="7" xfId="0" applyNumberFormat="1" applyFont="1" applyFill="1" applyBorder="1" applyAlignment="1">
      <alignment horizontal="center"/>
    </xf>
    <xf numFmtId="2" fontId="6" fillId="4" borderId="8" xfId="0" applyNumberFormat="1" applyFont="1" applyFill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2" fontId="0" fillId="0" borderId="8" xfId="0" applyNumberFormat="1" applyBorder="1" applyAlignment="1"/>
    <xf numFmtId="2" fontId="5" fillId="6" borderId="7" xfId="0" applyNumberFormat="1" applyFont="1" applyFill="1" applyBorder="1" applyAlignment="1">
      <alignment horizontal="center"/>
    </xf>
    <xf numFmtId="2" fontId="5" fillId="6" borderId="8" xfId="0" applyNumberFormat="1" applyFont="1" applyFill="1" applyBorder="1" applyAlignment="1">
      <alignment horizontal="center"/>
    </xf>
    <xf numFmtId="2" fontId="6" fillId="4" borderId="4" xfId="0" applyNumberFormat="1" applyFon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0" fillId="0" borderId="6" xfId="0" applyNumberFormat="1" applyBorder="1" applyAlignment="1"/>
    <xf numFmtId="2" fontId="5" fillId="9" borderId="7" xfId="0" applyNumberFormat="1" applyFont="1" applyFill="1" applyBorder="1" applyAlignment="1">
      <alignment horizontal="center"/>
    </xf>
    <xf numFmtId="2" fontId="5" fillId="9" borderId="8" xfId="0" applyNumberFormat="1" applyFont="1" applyFill="1" applyBorder="1" applyAlignment="1">
      <alignment horizontal="center"/>
    </xf>
    <xf numFmtId="10" fontId="5" fillId="9" borderId="7" xfId="1" applyNumberFormat="1" applyFont="1" applyFill="1" applyBorder="1" applyAlignment="1">
      <alignment horizontal="center"/>
    </xf>
    <xf numFmtId="10" fontId="0" fillId="9" borderId="8" xfId="1" applyNumberFormat="1" applyFont="1" applyFill="1" applyBorder="1" applyAlignment="1">
      <alignment horizontal="center"/>
    </xf>
    <xf numFmtId="10" fontId="5" fillId="9" borderId="9" xfId="1" applyNumberFormat="1" applyFont="1" applyFill="1" applyBorder="1" applyAlignment="1">
      <alignment horizontal="center"/>
    </xf>
    <xf numFmtId="10" fontId="0" fillId="9" borderId="8" xfId="1" applyNumberFormat="1" applyFont="1" applyFill="1" applyBorder="1" applyAlignment="1"/>
    <xf numFmtId="10" fontId="5" fillId="9" borderId="5" xfId="1" applyNumberFormat="1" applyFont="1" applyFill="1" applyBorder="1" applyAlignment="1">
      <alignment horizontal="center"/>
    </xf>
    <xf numFmtId="10" fontId="0" fillId="9" borderId="6" xfId="1" applyNumberFormat="1" applyFont="1" applyFill="1" applyBorder="1" applyAlignment="1"/>
    <xf numFmtId="2" fontId="7" fillId="0" borderId="7" xfId="0" applyNumberFormat="1" applyFont="1" applyBorder="1" applyAlignment="1"/>
    <xf numFmtId="2" fontId="5" fillId="0" borderId="9" xfId="0" applyNumberFormat="1" applyFont="1" applyBorder="1" applyAlignment="1"/>
    <xf numFmtId="2" fontId="5" fillId="0" borderId="10" xfId="0" applyNumberFormat="1" applyFont="1" applyBorder="1"/>
    <xf numFmtId="0" fontId="0" fillId="0" borderId="0" xfId="0" applyAlignment="1"/>
    <xf numFmtId="4" fontId="9" fillId="7" borderId="7" xfId="0" applyNumberFormat="1" applyFont="1" applyFill="1" applyBorder="1" applyAlignment="1">
      <alignment horizontal="center"/>
    </xf>
    <xf numFmtId="4" fontId="9" fillId="7" borderId="9" xfId="0" applyNumberFormat="1" applyFont="1" applyFill="1" applyBorder="1" applyAlignment="1">
      <alignment horizontal="center"/>
    </xf>
    <xf numFmtId="4" fontId="9" fillId="7" borderId="8" xfId="0" applyNumberFormat="1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0" fillId="0" borderId="11" xfId="0" applyBorder="1" applyAlignment="1"/>
    <xf numFmtId="2" fontId="10" fillId="0" borderId="12" xfId="0" applyNumberFormat="1" applyFont="1" applyBorder="1" applyAlignment="1"/>
    <xf numFmtId="4" fontId="9" fillId="7" borderId="13" xfId="0" applyNumberFormat="1" applyFont="1" applyFill="1" applyBorder="1" applyAlignment="1">
      <alignment horizontal="center"/>
    </xf>
    <xf numFmtId="4" fontId="9" fillId="7" borderId="14" xfId="0" applyNumberFormat="1" applyFont="1" applyFill="1" applyBorder="1" applyAlignment="1">
      <alignment horizontal="center"/>
    </xf>
    <xf numFmtId="4" fontId="9" fillId="7" borderId="15" xfId="0" applyNumberFormat="1" applyFont="1" applyFill="1" applyBorder="1" applyAlignment="1">
      <alignment horizontal="center"/>
    </xf>
    <xf numFmtId="2" fontId="5" fillId="9" borderId="16" xfId="0" applyNumberFormat="1" applyFont="1" applyFill="1" applyBorder="1" applyAlignment="1"/>
    <xf numFmtId="2" fontId="0" fillId="0" borderId="0" xfId="0" applyNumberFormat="1" applyAlignment="1"/>
    <xf numFmtId="0" fontId="0" fillId="0" borderId="17" xfId="0" applyBorder="1"/>
    <xf numFmtId="2" fontId="5" fillId="2" borderId="0" xfId="0" applyNumberFormat="1" applyFont="1" applyFill="1" applyAlignment="1">
      <alignment horizontal="left"/>
    </xf>
    <xf numFmtId="2" fontId="8" fillId="5" borderId="1" xfId="0" applyNumberFormat="1" applyFont="1" applyFill="1" applyBorder="1" applyAlignment="1">
      <alignment horizontal="center"/>
    </xf>
    <xf numFmtId="2" fontId="8" fillId="5" borderId="3" xfId="0" applyNumberFormat="1" applyFont="1" applyFill="1" applyBorder="1" applyAlignment="1">
      <alignment horizontal="center"/>
    </xf>
    <xf numFmtId="2" fontId="6" fillId="10" borderId="7" xfId="0" applyNumberFormat="1" applyFont="1" applyFill="1" applyBorder="1" applyAlignment="1">
      <alignment horizontal="center"/>
    </xf>
    <xf numFmtId="2" fontId="0" fillId="10" borderId="8" xfId="0" applyNumberFormat="1" applyFill="1" applyBorder="1" applyAlignment="1"/>
    <xf numFmtId="2" fontId="6" fillId="10" borderId="2" xfId="0" applyNumberFormat="1" applyFont="1" applyFill="1" applyBorder="1" applyAlignment="1">
      <alignment horizontal="center"/>
    </xf>
    <xf numFmtId="2" fontId="0" fillId="10" borderId="3" xfId="0" applyNumberFormat="1" applyFill="1" applyBorder="1" applyAlignment="1"/>
    <xf numFmtId="2" fontId="8" fillId="5" borderId="4" xfId="0" applyNumberFormat="1" applyFont="1" applyFill="1" applyBorder="1" applyAlignment="1">
      <alignment horizontal="center"/>
    </xf>
    <xf numFmtId="2" fontId="8" fillId="5" borderId="6" xfId="0" applyNumberFormat="1" applyFont="1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10" fontId="0" fillId="0" borderId="8" xfId="0" applyNumberFormat="1" applyBorder="1" applyAlignment="1"/>
    <xf numFmtId="10" fontId="5" fillId="7" borderId="9" xfId="0" applyNumberFormat="1" applyFont="1" applyFill="1" applyBorder="1" applyAlignment="1">
      <alignment horizontal="center"/>
    </xf>
    <xf numFmtId="10" fontId="0" fillId="7" borderId="8" xfId="0" applyNumberFormat="1" applyFill="1" applyBorder="1" applyAlignment="1"/>
    <xf numFmtId="10" fontId="5" fillId="9" borderId="5" xfId="0" applyNumberFormat="1" applyFont="1" applyFill="1" applyBorder="1" applyAlignment="1">
      <alignment horizontal="center"/>
    </xf>
    <xf numFmtId="10" fontId="0" fillId="9" borderId="6" xfId="0" applyNumberFormat="1" applyFill="1" applyBorder="1" applyAlignment="1"/>
    <xf numFmtId="10" fontId="5" fillId="7" borderId="5" xfId="0" applyNumberFormat="1" applyFont="1" applyFill="1" applyBorder="1" applyAlignment="1">
      <alignment horizontal="center"/>
    </xf>
    <xf numFmtId="10" fontId="0" fillId="7" borderId="6" xfId="0" applyNumberFormat="1" applyFill="1" applyBorder="1" applyAlignment="1"/>
    <xf numFmtId="10" fontId="0" fillId="0" borderId="0" xfId="0" applyNumberFormat="1"/>
    <xf numFmtId="10" fontId="6" fillId="10" borderId="1" xfId="0" applyNumberFormat="1" applyFont="1" applyFill="1" applyBorder="1" applyAlignment="1">
      <alignment horizontal="center"/>
    </xf>
    <xf numFmtId="10" fontId="0" fillId="10" borderId="3" xfId="0" applyNumberFormat="1" applyFill="1" applyBorder="1" applyAlignment="1"/>
    <xf numFmtId="10" fontId="5" fillId="0" borderId="7" xfId="0" applyNumberFormat="1" applyFont="1" applyBorder="1" applyAlignment="1">
      <alignment horizontal="center"/>
    </xf>
    <xf numFmtId="10" fontId="5" fillId="0" borderId="9" xfId="1" applyNumberFormat="1" applyFont="1" applyBorder="1" applyAlignment="1">
      <alignment horizontal="center"/>
    </xf>
    <xf numFmtId="10" fontId="0" fillId="0" borderId="8" xfId="1" applyNumberFormat="1" applyFont="1" applyBorder="1" applyAlignment="1"/>
    <xf numFmtId="10" fontId="5" fillId="7" borderId="9" xfId="1" applyNumberFormat="1" applyFont="1" applyFill="1" applyBorder="1" applyAlignment="1">
      <alignment horizontal="center"/>
    </xf>
    <xf numFmtId="10" fontId="0" fillId="7" borderId="8" xfId="1" applyNumberFormat="1" applyFont="1" applyFill="1" applyBorder="1" applyAlignment="1"/>
    <xf numFmtId="10" fontId="0" fillId="0" borderId="0" xfId="1" applyNumberFormat="1" applyFont="1"/>
    <xf numFmtId="10" fontId="6" fillId="10" borderId="1" xfId="1" applyNumberFormat="1" applyFont="1" applyFill="1" applyBorder="1" applyAlignment="1">
      <alignment horizontal="center"/>
    </xf>
    <xf numFmtId="10" fontId="0" fillId="10" borderId="3" xfId="1" applyNumberFormat="1" applyFont="1" applyFill="1" applyBorder="1" applyAlignment="1"/>
    <xf numFmtId="10" fontId="5" fillId="0" borderId="7" xfId="1" applyNumberFormat="1" applyFont="1" applyBorder="1" applyAlignment="1">
      <alignment horizontal="center"/>
    </xf>
    <xf numFmtId="2" fontId="7" fillId="0" borderId="9" xfId="0" applyNumberFormat="1" applyFont="1" applyBorder="1" applyAlignment="1"/>
    <xf numFmtId="2" fontId="7" fillId="0" borderId="8" xfId="0" applyNumberFormat="1" applyFont="1" applyBorder="1" applyAlignment="1"/>
    <xf numFmtId="2" fontId="5" fillId="7" borderId="8" xfId="0" applyNumberFormat="1" applyFont="1" applyFill="1" applyBorder="1" applyAlignment="1">
      <alignment horizontal="center"/>
    </xf>
    <xf numFmtId="2" fontId="7" fillId="0" borderId="4" xfId="0" applyNumberFormat="1" applyFont="1" applyBorder="1" applyAlignment="1"/>
    <xf numFmtId="2" fontId="7" fillId="0" borderId="5" xfId="0" applyNumberFormat="1" applyFont="1" applyBorder="1" applyAlignment="1"/>
    <xf numFmtId="2" fontId="7" fillId="0" borderId="6" xfId="0" applyNumberFormat="1" applyFont="1" applyBorder="1" applyAlignment="1"/>
    <xf numFmtId="2" fontId="5" fillId="11" borderId="6" xfId="0" applyNumberFormat="1" applyFont="1" applyFill="1" applyBorder="1" applyAlignment="1">
      <alignment horizontal="center"/>
    </xf>
    <xf numFmtId="2" fontId="5" fillId="6" borderId="6" xfId="0" applyNumberFormat="1" applyFont="1" applyFill="1" applyBorder="1" applyAlignment="1">
      <alignment horizontal="center"/>
    </xf>
    <xf numFmtId="0" fontId="10" fillId="0" borderId="0" xfId="0" applyFont="1"/>
    <xf numFmtId="0" fontId="11" fillId="4" borderId="0" xfId="0" applyFont="1" applyFill="1"/>
    <xf numFmtId="0" fontId="0" fillId="4" borderId="0" xfId="0" applyFill="1"/>
    <xf numFmtId="0" fontId="6" fillId="4" borderId="10" xfId="0" applyFont="1" applyFill="1" applyBorder="1" applyAlignment="1"/>
    <xf numFmtId="0" fontId="3" fillId="4" borderId="10" xfId="0" applyFont="1" applyFill="1" applyBorder="1" applyAlignment="1"/>
    <xf numFmtId="0" fontId="7" fillId="0" borderId="10" xfId="0" applyFont="1" applyBorder="1" applyAlignment="1">
      <alignment horizontal="center"/>
    </xf>
    <xf numFmtId="10" fontId="7" fillId="0" borderId="10" xfId="0" applyNumberFormat="1" applyFont="1" applyBorder="1" applyAlignment="1">
      <alignment horizontal="center"/>
    </xf>
    <xf numFmtId="0" fontId="3" fillId="4" borderId="7" xfId="0" applyFont="1" applyFill="1" applyBorder="1" applyAlignment="1"/>
    <xf numFmtId="0" fontId="3" fillId="4" borderId="8" xfId="0" applyFont="1" applyFill="1" applyBorder="1" applyAlignment="1"/>
    <xf numFmtId="0" fontId="3" fillId="4" borderId="8" xfId="0" applyFont="1" applyFill="1" applyBorder="1"/>
    <xf numFmtId="0" fontId="0" fillId="0" borderId="18" xfId="0" applyFont="1" applyBorder="1" applyAlignment="1"/>
    <xf numFmtId="0" fontId="0" fillId="0" borderId="19" xfId="0" applyFont="1" applyBorder="1" applyAlignment="1"/>
    <xf numFmtId="2" fontId="5" fillId="0" borderId="19" xfId="0" applyNumberFormat="1" applyFont="1" applyBorder="1" applyAlignment="1">
      <alignment horizontal="center"/>
    </xf>
    <xf numFmtId="0" fontId="0" fillId="0" borderId="18" xfId="0" applyFont="1" applyFill="1" applyBorder="1" applyAlignment="1"/>
    <xf numFmtId="0" fontId="0" fillId="0" borderId="19" xfId="0" applyFont="1" applyFill="1" applyBorder="1" applyAlignment="1"/>
    <xf numFmtId="0" fontId="0" fillId="0" borderId="4" xfId="0" applyFont="1" applyFill="1" applyBorder="1" applyAlignment="1"/>
    <xf numFmtId="0" fontId="0" fillId="0" borderId="6" xfId="0" applyFont="1" applyFill="1" applyBorder="1" applyAlignment="1"/>
    <xf numFmtId="2" fontId="5" fillId="0" borderId="6" xfId="0" applyNumberFormat="1" applyFont="1" applyBorder="1" applyAlignment="1">
      <alignment horizontal="center"/>
    </xf>
    <xf numFmtId="0" fontId="0" fillId="4" borderId="7" xfId="0" applyFill="1" applyBorder="1" applyAlignment="1"/>
    <xf numFmtId="0" fontId="0" fillId="4" borderId="9" xfId="0" applyFill="1" applyBorder="1" applyAlignment="1"/>
    <xf numFmtId="0" fontId="10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/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0" fillId="0" borderId="5" xfId="0" applyBorder="1" applyAlignment="1"/>
    <xf numFmtId="0" fontId="8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2" fontId="10" fillId="9" borderId="7" xfId="0" applyNumberFormat="1" applyFont="1" applyFill="1" applyBorder="1" applyAlignment="1">
      <alignment horizontal="center"/>
    </xf>
    <xf numFmtId="2" fontId="10" fillId="9" borderId="8" xfId="0" applyNumberFormat="1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2" fontId="10" fillId="7" borderId="7" xfId="0" applyNumberFormat="1" applyFont="1" applyFill="1" applyBorder="1" applyAlignment="1">
      <alignment horizontal="center"/>
    </xf>
    <xf numFmtId="2" fontId="10" fillId="7" borderId="8" xfId="0" applyNumberFormat="1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752475</xdr:colOff>
      <xdr:row>1</xdr:row>
      <xdr:rowOff>0</xdr:rowOff>
    </xdr:from>
    <xdr:to>
      <xdr:col>14</xdr:col>
      <xdr:colOff>457201</xdr:colOff>
      <xdr:row>7</xdr:row>
      <xdr:rowOff>169187</xdr:rowOff>
    </xdr:to>
    <xdr:sp macro="" textlink="">
      <xdr:nvSpPr>
        <xdr:cNvPr id="2" name="Rectángulo 1"/>
        <xdr:cNvSpPr/>
      </xdr:nvSpPr>
      <xdr:spPr>
        <a:xfrm>
          <a:off x="6086475" y="247650"/>
          <a:ext cx="5038726" cy="1407437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wrap="square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 u="none"/>
            <a:t>FUNCIONES DE COMPENSACIONES</a:t>
          </a:r>
        </a:p>
        <a:p>
          <a:r>
            <a:rPr lang="es-ES" sz="1200"/>
            <a:t>1) Si Compra = Demanda</a:t>
          </a:r>
        </a:p>
        <a:p>
          <a:r>
            <a:rPr lang="es-ES" sz="1200"/>
            <a:t>Ganancias = 500 * Demanda – 225 * Compro</a:t>
          </a:r>
        </a:p>
        <a:p>
          <a:r>
            <a:rPr lang="es-ES" sz="1200"/>
            <a:t>2)</a:t>
          </a:r>
          <a:r>
            <a:rPr lang="es-ES" sz="1200" baseline="0"/>
            <a:t> </a:t>
          </a:r>
          <a:r>
            <a:rPr lang="es-ES" sz="1200"/>
            <a:t>Si Compra &gt; Demanda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/>
            <a:t>Ganancias = 500 * Demanda </a:t>
          </a: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– 200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Compra</a:t>
          </a:r>
          <a:r>
            <a:rPr lang="es-AR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200"/>
            <a:t>+ (Compra -</a:t>
          </a:r>
          <a:r>
            <a:rPr lang="es-ES" sz="1200" baseline="0"/>
            <a:t> </a:t>
          </a:r>
          <a:r>
            <a:rPr lang="es-ES" sz="1200"/>
            <a:t>Demanda)</a:t>
          </a:r>
          <a:r>
            <a:rPr lang="es-ES" sz="1200" baseline="0"/>
            <a:t> </a:t>
          </a:r>
          <a:r>
            <a:rPr lang="es-ES" sz="1000" baseline="0"/>
            <a:t>* </a:t>
          </a: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endParaRPr lang="es-ES" sz="1000"/>
        </a:p>
        <a:p>
          <a:r>
            <a:rPr lang="es-ES" sz="1200"/>
            <a:t>3) Si Compra &lt; Demanda</a:t>
          </a:r>
        </a:p>
        <a:p>
          <a:r>
            <a:rPr lang="es-ES" sz="1200"/>
            <a:t>Ganancias = 500 *</a:t>
          </a:r>
          <a:r>
            <a:rPr lang="es-ES" sz="1200" baseline="0"/>
            <a:t> </a:t>
          </a:r>
          <a:r>
            <a:rPr lang="es-ES" sz="1200"/>
            <a:t>Demanda – 225 * Compra – (Demanda - Compra) * 600</a:t>
          </a:r>
          <a:endParaRPr lang="es-ES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3" workbookViewId="0">
      <selection activeCell="G24" sqref="G24:H24"/>
    </sheetView>
  </sheetViews>
  <sheetFormatPr baseColWidth="10" defaultRowHeight="15" x14ac:dyDescent="0.25"/>
  <sheetData>
    <row r="1" spans="1:14" ht="19.5" thickBot="1" x14ac:dyDescent="0.35">
      <c r="A1" s="97" t="s">
        <v>34</v>
      </c>
      <c r="B1" s="98"/>
      <c r="C1" s="98"/>
      <c r="D1" s="99">
        <v>2000</v>
      </c>
      <c r="E1" s="99">
        <v>4500</v>
      </c>
      <c r="F1" s="99">
        <v>7000</v>
      </c>
      <c r="G1" s="99">
        <v>10000</v>
      </c>
    </row>
    <row r="2" spans="1:14" ht="19.5" thickBot="1" x14ac:dyDescent="0.35">
      <c r="A2" s="97" t="s">
        <v>35</v>
      </c>
      <c r="B2" s="97"/>
      <c r="C2" s="97"/>
      <c r="D2" s="100">
        <v>0.55000000000000004</v>
      </c>
      <c r="E2" s="100">
        <v>0.3</v>
      </c>
      <c r="F2" s="100">
        <v>0.1</v>
      </c>
      <c r="G2" s="100">
        <v>0.05</v>
      </c>
    </row>
    <row r="4" spans="1:14" ht="15.75" thickBot="1" x14ac:dyDescent="0.3"/>
    <row r="5" spans="1:14" ht="15.75" thickBot="1" x14ac:dyDescent="0.3">
      <c r="A5" s="101" t="s">
        <v>36</v>
      </c>
      <c r="B5" s="102"/>
      <c r="C5" s="103"/>
    </row>
    <row r="6" spans="1:14" ht="15.75" x14ac:dyDescent="0.25">
      <c r="A6" s="104" t="s">
        <v>38</v>
      </c>
      <c r="B6" s="105"/>
      <c r="C6" s="106">
        <v>225</v>
      </c>
    </row>
    <row r="7" spans="1:14" ht="15.75" x14ac:dyDescent="0.25">
      <c r="A7" s="104" t="s">
        <v>37</v>
      </c>
      <c r="B7" s="105"/>
      <c r="C7" s="106">
        <v>500</v>
      </c>
    </row>
    <row r="8" spans="1:14" ht="15.75" x14ac:dyDescent="0.25">
      <c r="A8" s="107" t="s">
        <v>39</v>
      </c>
      <c r="B8" s="108"/>
      <c r="C8" s="106">
        <v>200</v>
      </c>
    </row>
    <row r="9" spans="1:14" ht="16.5" thickBot="1" x14ac:dyDescent="0.3">
      <c r="A9" s="109" t="s">
        <v>40</v>
      </c>
      <c r="B9" s="110"/>
      <c r="C9" s="111">
        <v>-200</v>
      </c>
    </row>
    <row r="11" spans="1:14" ht="15.75" thickBot="1" x14ac:dyDescent="0.3"/>
    <row r="12" spans="1:14" ht="16.5" thickBot="1" x14ac:dyDescent="0.3">
      <c r="A12" s="112"/>
      <c r="B12" s="113"/>
      <c r="C12" s="114" t="s">
        <v>37</v>
      </c>
      <c r="D12" s="115"/>
      <c r="E12" s="116"/>
      <c r="F12" s="117"/>
      <c r="K12" s="125" t="s">
        <v>44</v>
      </c>
      <c r="L12" s="125"/>
    </row>
    <row r="13" spans="1:14" ht="16.5" thickBot="1" x14ac:dyDescent="0.3">
      <c r="A13" s="118" t="s">
        <v>38</v>
      </c>
      <c r="B13" s="119"/>
      <c r="C13" s="120">
        <v>2000</v>
      </c>
      <c r="D13" s="121">
        <v>4500</v>
      </c>
      <c r="E13" s="121">
        <v>7000</v>
      </c>
      <c r="F13" s="121">
        <v>10000</v>
      </c>
      <c r="G13" s="126" t="s">
        <v>2</v>
      </c>
      <c r="H13" s="127"/>
      <c r="I13" s="126" t="s">
        <v>41</v>
      </c>
      <c r="J13" s="127"/>
      <c r="K13" s="126" t="s">
        <v>42</v>
      </c>
      <c r="L13" s="128"/>
      <c r="M13" s="129" t="s">
        <v>43</v>
      </c>
      <c r="N13" s="128"/>
    </row>
    <row r="14" spans="1:14" ht="16.5" thickBot="1" x14ac:dyDescent="0.3">
      <c r="A14" s="132">
        <v>2000</v>
      </c>
      <c r="B14" s="133"/>
      <c r="C14" s="134">
        <f>500*C13-225*A14</f>
        <v>550000</v>
      </c>
      <c r="D14" s="122">
        <f>500*D13-225*$A$14-(D13-$A$14)*600</f>
        <v>300000</v>
      </c>
      <c r="E14" s="122">
        <f>500*E13-225*$A$14-(E13-$A$14)*600</f>
        <v>50000</v>
      </c>
      <c r="F14" s="122">
        <f t="shared" ref="E14:F14" si="0">500*F13-225*$A$14-(F13-$A$14)*600</f>
        <v>-250000</v>
      </c>
      <c r="G14" s="130">
        <f>C14*$D$2+D14*$E$2+E14*$F$2+F14*$G$2</f>
        <v>385000</v>
      </c>
      <c r="H14" s="131"/>
      <c r="I14" s="130">
        <f>MIN(C14:F14)</f>
        <v>-250000</v>
      </c>
      <c r="J14" s="131"/>
      <c r="K14" s="130">
        <f>MAX(C14:F14)*0.55+(1-0.55)*MIN(C14:F14)</f>
        <v>190000</v>
      </c>
      <c r="L14" s="131"/>
      <c r="M14" s="130">
        <f>AVERAGE(C14:F14)</f>
        <v>162500</v>
      </c>
      <c r="N14" s="131"/>
    </row>
    <row r="15" spans="1:14" ht="16.5" thickBot="1" x14ac:dyDescent="0.3">
      <c r="A15" s="123">
        <v>4500</v>
      </c>
      <c r="B15" s="124"/>
      <c r="C15" s="134">
        <f>500*$C$13-200*A15+(A15-$C$13)*150</f>
        <v>475000</v>
      </c>
      <c r="D15" s="122">
        <f>500*D13-225*A15</f>
        <v>1237500</v>
      </c>
      <c r="E15" s="122">
        <f>500*E13-225*$A$15-(E13-$A$15)*600</f>
        <v>987500</v>
      </c>
      <c r="F15" s="122">
        <f>500*F13-225*$A$15-(F13-$A$15)*600</f>
        <v>687500</v>
      </c>
      <c r="G15" s="130">
        <f t="shared" ref="G15:G18" si="1">C15*$D$2+D15*$E$2+E15*$F$2+F15*$G$2</f>
        <v>765625</v>
      </c>
      <c r="H15" s="131"/>
      <c r="I15" s="135">
        <f t="shared" ref="I15:I18" si="2">MIN(C15:F15)</f>
        <v>475000</v>
      </c>
      <c r="J15" s="136"/>
      <c r="K15" s="130">
        <f t="shared" ref="K15:K18" si="3">MAX(C15:F15)*0.55+(1-0.55)*MIN(C15:F15)</f>
        <v>894375</v>
      </c>
      <c r="L15" s="131"/>
      <c r="M15" s="130">
        <f t="shared" ref="M15:M18" si="4">AVERAGE(C15:F15)</f>
        <v>846875</v>
      </c>
      <c r="N15" s="131"/>
    </row>
    <row r="16" spans="1:14" ht="16.5" thickBot="1" x14ac:dyDescent="0.3">
      <c r="A16" s="123">
        <v>7000</v>
      </c>
      <c r="B16" s="124"/>
      <c r="C16" s="134">
        <f t="shared" ref="C16:C18" si="5">500*$C$13-200*A16+(A16-$C$13)*150</f>
        <v>350000</v>
      </c>
      <c r="D16" s="122">
        <f>500*$D$13-200*A16+(A16-$D$13)*150</f>
        <v>1225000</v>
      </c>
      <c r="E16" s="122">
        <f>500*E13-225*A16</f>
        <v>1925000</v>
      </c>
      <c r="F16" s="122">
        <f>500*F13-200*A16-(F13-A16)*600</f>
        <v>1800000</v>
      </c>
      <c r="G16" s="135">
        <f t="shared" si="1"/>
        <v>842500</v>
      </c>
      <c r="H16" s="136"/>
      <c r="I16" s="130">
        <f t="shared" si="2"/>
        <v>350000</v>
      </c>
      <c r="J16" s="131"/>
      <c r="K16" s="130">
        <f t="shared" si="3"/>
        <v>1216250</v>
      </c>
      <c r="L16" s="131"/>
      <c r="M16" s="130">
        <f t="shared" si="4"/>
        <v>1325000</v>
      </c>
      <c r="N16" s="131"/>
    </row>
    <row r="17" spans="1:14" ht="16.5" thickBot="1" x14ac:dyDescent="0.3">
      <c r="A17" s="123">
        <v>10000</v>
      </c>
      <c r="B17" s="124"/>
      <c r="C17" s="134">
        <f>500*$C$13-200*A17+(A17-$C$13)*150</f>
        <v>200000</v>
      </c>
      <c r="D17" s="122">
        <f>500*$D$13-200*A17+(A17-$D$13)*150</f>
        <v>1075000</v>
      </c>
      <c r="E17" s="122">
        <f>500*$E$13-200*A17+(A17-$E$13)*150</f>
        <v>1950000</v>
      </c>
      <c r="F17" s="122">
        <f>500*F13-225*A17</f>
        <v>2750000</v>
      </c>
      <c r="G17" s="130">
        <f t="shared" si="1"/>
        <v>765000</v>
      </c>
      <c r="H17" s="131"/>
      <c r="I17" s="130">
        <f t="shared" si="2"/>
        <v>200000</v>
      </c>
      <c r="J17" s="131"/>
      <c r="K17" s="135">
        <f t="shared" si="3"/>
        <v>1602500.0000000002</v>
      </c>
      <c r="L17" s="136"/>
      <c r="M17" s="135">
        <f t="shared" si="4"/>
        <v>1493750</v>
      </c>
      <c r="N17" s="136"/>
    </row>
    <row r="18" spans="1:14" ht="16.5" thickBot="1" x14ac:dyDescent="0.3">
      <c r="A18" s="137">
        <v>10500</v>
      </c>
      <c r="B18" s="138"/>
      <c r="C18" s="134">
        <f t="shared" si="5"/>
        <v>175000</v>
      </c>
      <c r="D18" s="122">
        <f>500*$D$13-200*A18+(A18-$D$13)*150</f>
        <v>1050000</v>
      </c>
      <c r="E18" s="122">
        <f t="shared" ref="E18" si="6">500*$E$13-200*A18+(A18-$E$13)*150</f>
        <v>1925000</v>
      </c>
      <c r="F18" s="122">
        <f t="shared" ref="F15:F18" si="7">500*$F$13-200*A18-($F$13-A18)*600</f>
        <v>3200000</v>
      </c>
      <c r="G18" s="130">
        <f t="shared" si="1"/>
        <v>763750</v>
      </c>
      <c r="H18" s="131"/>
      <c r="I18" s="130">
        <f t="shared" si="2"/>
        <v>175000</v>
      </c>
      <c r="J18" s="131"/>
      <c r="K18" s="130">
        <f t="shared" si="3"/>
        <v>1838750.0000000002</v>
      </c>
      <c r="L18" s="131"/>
      <c r="M18" s="130">
        <f t="shared" si="4"/>
        <v>1587500</v>
      </c>
      <c r="N18" s="131"/>
    </row>
    <row r="21" spans="1:14" ht="15.75" thickBot="1" x14ac:dyDescent="0.3">
      <c r="A21" t="s">
        <v>45</v>
      </c>
    </row>
    <row r="22" spans="1:14" ht="16.5" thickBot="1" x14ac:dyDescent="0.3">
      <c r="A22" s="112"/>
      <c r="B22" s="113"/>
      <c r="C22" s="114" t="s">
        <v>37</v>
      </c>
      <c r="D22" s="115"/>
      <c r="E22" s="116"/>
      <c r="F22" s="117"/>
    </row>
    <row r="23" spans="1:14" ht="16.5" thickBot="1" x14ac:dyDescent="0.3">
      <c r="A23" s="118" t="s">
        <v>38</v>
      </c>
      <c r="B23" s="119"/>
      <c r="C23" s="120">
        <v>2000</v>
      </c>
      <c r="D23" s="121">
        <v>4500</v>
      </c>
      <c r="E23" s="121">
        <v>7000</v>
      </c>
      <c r="F23" s="121">
        <v>10000</v>
      </c>
      <c r="G23" s="126" t="s">
        <v>41</v>
      </c>
      <c r="H23" s="127"/>
      <c r="I23" s="126" t="s">
        <v>46</v>
      </c>
      <c r="J23" s="127"/>
    </row>
    <row r="24" spans="1:14" ht="16.5" thickBot="1" x14ac:dyDescent="0.3">
      <c r="A24" s="132">
        <v>2000</v>
      </c>
      <c r="B24" s="133"/>
      <c r="C24" s="134">
        <f>MAX($C$14:$C$18)-C14</f>
        <v>0</v>
      </c>
      <c r="D24" s="122">
        <f>MAX($D$14:$D$18)-D14</f>
        <v>937500</v>
      </c>
      <c r="E24" s="122">
        <f>MAX($E$14:$E$18)-E14</f>
        <v>1900000</v>
      </c>
      <c r="F24" s="122">
        <f>MAX($F$14:$F$18)-F14</f>
        <v>3450000</v>
      </c>
      <c r="G24" s="130">
        <f>MAX(A24:D24)</f>
        <v>937500</v>
      </c>
      <c r="H24" s="131"/>
      <c r="I24" s="130">
        <f>MAX(C24:F24)</f>
        <v>3450000</v>
      </c>
      <c r="J24" s="131"/>
    </row>
    <row r="25" spans="1:14" ht="16.5" thickBot="1" x14ac:dyDescent="0.3">
      <c r="A25" s="123">
        <v>4500</v>
      </c>
      <c r="B25" s="124"/>
      <c r="C25" s="134">
        <f t="shared" ref="C25:C28" si="8">MAX($C$14:$C$18)-C15</f>
        <v>75000</v>
      </c>
      <c r="D25" s="122">
        <f t="shared" ref="D25:D28" si="9">MAX($D$14:$D$18)-D15</f>
        <v>0</v>
      </c>
      <c r="E25" s="122">
        <f t="shared" ref="E25:E28" si="10">MAX($E$14:$E$18)-E15</f>
        <v>962500</v>
      </c>
      <c r="F25" s="122">
        <f t="shared" ref="F25:F28" si="11">MAX($F$14:$F$18)-F15</f>
        <v>2512500</v>
      </c>
      <c r="G25" s="130">
        <f>MIN(A25:D25)</f>
        <v>0</v>
      </c>
      <c r="H25" s="131"/>
      <c r="I25" s="130">
        <f>MIN(C25:F25)</f>
        <v>0</v>
      </c>
      <c r="J25" s="131"/>
    </row>
    <row r="26" spans="1:14" ht="16.5" thickBot="1" x14ac:dyDescent="0.3">
      <c r="A26" s="123">
        <v>7000</v>
      </c>
      <c r="B26" s="124"/>
      <c r="C26" s="134">
        <f t="shared" si="8"/>
        <v>200000</v>
      </c>
      <c r="D26" s="122">
        <f t="shared" si="9"/>
        <v>12500</v>
      </c>
      <c r="E26" s="122">
        <f t="shared" si="10"/>
        <v>25000</v>
      </c>
      <c r="F26" s="122">
        <f t="shared" si="11"/>
        <v>1400000</v>
      </c>
      <c r="G26" s="130">
        <f t="shared" ref="G25:G28" si="12">MIN(A26:D26)</f>
        <v>7000</v>
      </c>
      <c r="H26" s="131"/>
      <c r="I26" s="130">
        <f t="shared" ref="I26:I28" si="13">MIN(C26:F26)</f>
        <v>12500</v>
      </c>
      <c r="J26" s="131"/>
    </row>
    <row r="27" spans="1:14" ht="16.5" thickBot="1" x14ac:dyDescent="0.3">
      <c r="A27" s="123">
        <v>10000</v>
      </c>
      <c r="B27" s="124"/>
      <c r="C27" s="134">
        <f t="shared" si="8"/>
        <v>350000</v>
      </c>
      <c r="D27" s="122">
        <f t="shared" si="9"/>
        <v>162500</v>
      </c>
      <c r="E27" s="122">
        <f t="shared" si="10"/>
        <v>0</v>
      </c>
      <c r="F27" s="122">
        <f t="shared" si="11"/>
        <v>450000</v>
      </c>
      <c r="G27" s="130">
        <f t="shared" si="12"/>
        <v>10000</v>
      </c>
      <c r="H27" s="131"/>
      <c r="I27" s="130">
        <f t="shared" si="13"/>
        <v>0</v>
      </c>
      <c r="J27" s="131"/>
    </row>
    <row r="28" spans="1:14" ht="16.5" thickBot="1" x14ac:dyDescent="0.3">
      <c r="A28" s="137">
        <v>10500</v>
      </c>
      <c r="B28" s="138"/>
      <c r="C28" s="134">
        <f t="shared" si="8"/>
        <v>375000</v>
      </c>
      <c r="D28" s="122">
        <f t="shared" si="9"/>
        <v>187500</v>
      </c>
      <c r="E28" s="122">
        <f t="shared" si="10"/>
        <v>25000</v>
      </c>
      <c r="F28" s="122">
        <f t="shared" si="11"/>
        <v>0</v>
      </c>
      <c r="G28" s="130">
        <f t="shared" si="12"/>
        <v>10500</v>
      </c>
      <c r="H28" s="131"/>
      <c r="I28" s="130">
        <f t="shared" si="13"/>
        <v>0</v>
      </c>
      <c r="J28" s="131"/>
    </row>
  </sheetData>
  <mergeCells count="60">
    <mergeCell ref="I23:J23"/>
    <mergeCell ref="I24:J24"/>
    <mergeCell ref="I25:J25"/>
    <mergeCell ref="I26:J26"/>
    <mergeCell ref="I27:J27"/>
    <mergeCell ref="I28:J28"/>
    <mergeCell ref="A27:B27"/>
    <mergeCell ref="A28:B28"/>
    <mergeCell ref="G23:H23"/>
    <mergeCell ref="G24:H24"/>
    <mergeCell ref="G25:H25"/>
    <mergeCell ref="G26:H26"/>
    <mergeCell ref="G27:H27"/>
    <mergeCell ref="G28:H28"/>
    <mergeCell ref="A22:B22"/>
    <mergeCell ref="C22:F22"/>
    <mergeCell ref="A23:B23"/>
    <mergeCell ref="A24:B24"/>
    <mergeCell ref="A25:B25"/>
    <mergeCell ref="A26:B26"/>
    <mergeCell ref="A17:B17"/>
    <mergeCell ref="G17:H17"/>
    <mergeCell ref="I17:J17"/>
    <mergeCell ref="K17:L17"/>
    <mergeCell ref="M17:N17"/>
    <mergeCell ref="A18:B18"/>
    <mergeCell ref="G18:H18"/>
    <mergeCell ref="I18:J18"/>
    <mergeCell ref="K18:L18"/>
    <mergeCell ref="M18:N18"/>
    <mergeCell ref="A15:B15"/>
    <mergeCell ref="G15:H15"/>
    <mergeCell ref="I15:J15"/>
    <mergeCell ref="K15:L15"/>
    <mergeCell ref="M15:N15"/>
    <mergeCell ref="A16:B16"/>
    <mergeCell ref="G16:H16"/>
    <mergeCell ref="I16:J16"/>
    <mergeCell ref="K16:L16"/>
    <mergeCell ref="M16:N16"/>
    <mergeCell ref="M13:N13"/>
    <mergeCell ref="A14:B14"/>
    <mergeCell ref="G14:H14"/>
    <mergeCell ref="I14:J14"/>
    <mergeCell ref="K14:L14"/>
    <mergeCell ref="M14:N14"/>
    <mergeCell ref="A9:B9"/>
    <mergeCell ref="A12:B12"/>
    <mergeCell ref="C12:F12"/>
    <mergeCell ref="K12:L12"/>
    <mergeCell ref="A13:B13"/>
    <mergeCell ref="G13:H13"/>
    <mergeCell ref="I13:J13"/>
    <mergeCell ref="K13:L13"/>
    <mergeCell ref="A1:C1"/>
    <mergeCell ref="A2:C2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opLeftCell="D34" workbookViewId="0">
      <selection activeCell="O67" sqref="O67"/>
    </sheetView>
  </sheetViews>
  <sheetFormatPr baseColWidth="10" defaultRowHeight="15" x14ac:dyDescent="0.25"/>
  <cols>
    <col min="15" max="15" width="12.7109375" bestFit="1" customWidth="1"/>
  </cols>
  <sheetData>
    <row r="1" spans="1:24" ht="15.75" x14ac:dyDescent="0.25">
      <c r="A1" s="94" t="s">
        <v>32</v>
      </c>
    </row>
    <row r="2" spans="1:24" ht="15.75" x14ac:dyDescent="0.25">
      <c r="A2" s="1" t="s">
        <v>0</v>
      </c>
      <c r="B2" s="1"/>
      <c r="C2" s="1"/>
    </row>
    <row r="4" spans="1:24" ht="15.75" thickBot="1" x14ac:dyDescent="0.3">
      <c r="K4" s="42" t="s">
        <v>12</v>
      </c>
      <c r="L4" s="42"/>
      <c r="M4" s="42"/>
      <c r="N4" s="42"/>
    </row>
    <row r="5" spans="1:24" ht="19.5" thickBot="1" x14ac:dyDescent="0.35">
      <c r="A5" s="2"/>
      <c r="B5" s="3"/>
      <c r="C5" s="4" t="s">
        <v>1</v>
      </c>
      <c r="D5" s="5"/>
      <c r="E5" s="5"/>
      <c r="F5" s="6"/>
      <c r="G5" s="2"/>
      <c r="H5" s="2"/>
      <c r="K5" s="42" t="s">
        <v>13</v>
      </c>
      <c r="L5" s="42"/>
      <c r="M5" s="42"/>
      <c r="N5" s="42"/>
      <c r="O5" s="42"/>
    </row>
    <row r="6" spans="1:24" ht="19.5" thickBot="1" x14ac:dyDescent="0.35">
      <c r="A6" s="2"/>
      <c r="B6" s="3"/>
      <c r="C6" s="7">
        <v>0.45</v>
      </c>
      <c r="D6" s="8"/>
      <c r="E6" s="8">
        <v>0.55000000000000004</v>
      </c>
      <c r="F6" s="9"/>
      <c r="G6" s="2"/>
      <c r="H6" s="2"/>
      <c r="K6" s="43">
        <f>MAX(C8:D9)*C6+MAX(E8:F9)*E6</f>
        <v>663000</v>
      </c>
      <c r="L6" s="44"/>
      <c r="M6" s="45"/>
      <c r="N6" s="46"/>
    </row>
    <row r="7" spans="1:24" ht="19.5" thickBot="1" x14ac:dyDescent="0.35">
      <c r="A7" s="10"/>
      <c r="B7" s="11"/>
      <c r="C7" s="12" t="s">
        <v>5</v>
      </c>
      <c r="D7" s="13"/>
      <c r="E7" s="14" t="s">
        <v>6</v>
      </c>
      <c r="F7" s="13"/>
      <c r="G7" s="15" t="s">
        <v>2</v>
      </c>
      <c r="H7" s="16"/>
      <c r="K7" s="47" t="s">
        <v>14</v>
      </c>
      <c r="L7" s="42"/>
      <c r="M7" s="42"/>
      <c r="N7" s="48"/>
      <c r="O7" s="49"/>
    </row>
    <row r="8" spans="1:24" ht="19.5" thickBot="1" x14ac:dyDescent="0.35">
      <c r="A8" s="17" t="s">
        <v>3</v>
      </c>
      <c r="B8" s="18"/>
      <c r="C8" s="19">
        <v>120000</v>
      </c>
      <c r="D8" s="20"/>
      <c r="E8" s="21">
        <v>60000</v>
      </c>
      <c r="F8" s="22"/>
      <c r="G8" s="31">
        <f>C8*$C$6+E8*$E$6</f>
        <v>87000</v>
      </c>
      <c r="H8" s="32"/>
      <c r="K8" s="42" t="s">
        <v>15</v>
      </c>
      <c r="L8" s="42"/>
      <c r="M8" s="42"/>
      <c r="N8" s="42"/>
      <c r="O8" s="42"/>
    </row>
    <row r="9" spans="1:24" ht="19.5" thickBot="1" x14ac:dyDescent="0.35">
      <c r="A9" s="17" t="s">
        <v>4</v>
      </c>
      <c r="B9" s="18"/>
      <c r="C9" s="27">
        <v>1400000</v>
      </c>
      <c r="D9" s="28"/>
      <c r="E9" s="29">
        <v>-600000</v>
      </c>
      <c r="F9" s="30"/>
      <c r="G9" s="23">
        <f>C9*$C$6+E9*$E$6</f>
        <v>300000</v>
      </c>
      <c r="H9" s="24"/>
      <c r="I9" t="s">
        <v>18</v>
      </c>
      <c r="K9" s="50">
        <f>K6-G9</f>
        <v>363000</v>
      </c>
      <c r="L9" s="51"/>
      <c r="M9" s="52"/>
      <c r="N9" s="53"/>
      <c r="O9" s="54"/>
    </row>
    <row r="10" spans="1:24" x14ac:dyDescent="0.25">
      <c r="K10" s="47" t="s">
        <v>16</v>
      </c>
      <c r="L10" s="42"/>
      <c r="M10" s="42"/>
      <c r="N10" s="42"/>
      <c r="O10" s="42"/>
    </row>
    <row r="11" spans="1:24" ht="15.75" thickBot="1" x14ac:dyDescent="0.3">
      <c r="K11" s="42" t="s">
        <v>17</v>
      </c>
      <c r="L11" s="42"/>
      <c r="M11" s="42"/>
      <c r="N11" s="42"/>
      <c r="O11" s="42"/>
    </row>
    <row r="12" spans="1:24" ht="19.5" thickBot="1" x14ac:dyDescent="0.35">
      <c r="A12" s="10"/>
      <c r="B12" s="11"/>
      <c r="C12" s="12" t="s">
        <v>10</v>
      </c>
      <c r="D12" s="13"/>
      <c r="E12" s="14" t="s">
        <v>11</v>
      </c>
      <c r="F12" s="13"/>
      <c r="K12" s="50">
        <f>N29-G9</f>
        <v>88800</v>
      </c>
      <c r="L12" s="51"/>
      <c r="M12" s="52"/>
      <c r="N12" s="55"/>
    </row>
    <row r="13" spans="1:24" ht="19.5" thickBot="1" x14ac:dyDescent="0.35">
      <c r="A13" s="17" t="s">
        <v>8</v>
      </c>
      <c r="B13" s="18"/>
      <c r="C13" s="33">
        <v>0.65</v>
      </c>
      <c r="D13" s="34"/>
      <c r="E13" s="35">
        <v>0.2</v>
      </c>
      <c r="F13" s="36"/>
    </row>
    <row r="14" spans="1:24" ht="19.5" thickBot="1" x14ac:dyDescent="0.35">
      <c r="A14" s="25" t="s">
        <v>9</v>
      </c>
      <c r="B14" s="26"/>
      <c r="C14" s="35">
        <v>0.35</v>
      </c>
      <c r="D14" s="36"/>
      <c r="E14" s="37">
        <v>0.8</v>
      </c>
      <c r="F14" s="38"/>
    </row>
    <row r="15" spans="1:24" ht="16.5" thickBot="1" x14ac:dyDescent="0.3">
      <c r="A15" s="2"/>
      <c r="B15" s="2"/>
      <c r="C15" s="2"/>
      <c r="D15" s="2"/>
      <c r="E15" s="2"/>
      <c r="F15" s="2"/>
      <c r="J15" s="56" t="s">
        <v>26</v>
      </c>
      <c r="K15" s="56"/>
      <c r="L15" s="2"/>
      <c r="M15" s="2"/>
      <c r="N15" s="2"/>
      <c r="O15" s="2"/>
      <c r="P15" s="2"/>
      <c r="Q15" s="2"/>
      <c r="R15" s="2"/>
      <c r="S15" s="2"/>
      <c r="T15" s="2"/>
      <c r="U15" s="57" t="s">
        <v>2</v>
      </c>
      <c r="V15" s="58"/>
      <c r="W15" s="57" t="s">
        <v>2</v>
      </c>
      <c r="X15" s="58"/>
    </row>
    <row r="16" spans="1:24" ht="19.5" thickBot="1" x14ac:dyDescent="0.35">
      <c r="A16" s="2"/>
      <c r="B16" s="2"/>
      <c r="C16" s="2"/>
      <c r="D16" s="2"/>
      <c r="E16" s="2"/>
      <c r="F16" s="2"/>
      <c r="J16" s="59" t="s">
        <v>19</v>
      </c>
      <c r="K16" s="60"/>
      <c r="L16" s="61" t="s">
        <v>20</v>
      </c>
      <c r="M16" s="62"/>
      <c r="N16" s="61" t="s">
        <v>21</v>
      </c>
      <c r="O16" s="62"/>
      <c r="P16" s="61" t="s">
        <v>22</v>
      </c>
      <c r="Q16" s="62"/>
      <c r="R16" s="61" t="s">
        <v>23</v>
      </c>
      <c r="S16" s="62"/>
      <c r="T16" s="2"/>
      <c r="U16" s="63" t="s">
        <v>3</v>
      </c>
      <c r="V16" s="64"/>
      <c r="W16" s="63" t="s">
        <v>4</v>
      </c>
      <c r="X16" s="64"/>
    </row>
    <row r="17" spans="1:24" ht="19.5" thickBot="1" x14ac:dyDescent="0.35">
      <c r="A17" s="39" t="s">
        <v>7</v>
      </c>
      <c r="B17" s="40"/>
      <c r="C17" s="22"/>
      <c r="D17" s="41">
        <v>75000</v>
      </c>
      <c r="E17" s="2"/>
      <c r="F17" s="2"/>
      <c r="J17" s="31" t="s">
        <v>27</v>
      </c>
      <c r="K17" s="65"/>
      <c r="L17" s="66">
        <f>C6</f>
        <v>0.45</v>
      </c>
      <c r="M17" s="67"/>
      <c r="N17" s="66">
        <v>0.65</v>
      </c>
      <c r="O17" s="67"/>
      <c r="P17" s="66">
        <f>L17*N17</f>
        <v>0.29250000000000004</v>
      </c>
      <c r="Q17" s="67"/>
      <c r="R17" s="68">
        <f>P17/P20</f>
        <v>0.72670807453416142</v>
      </c>
      <c r="S17" s="69"/>
      <c r="T17" s="2"/>
      <c r="U17" s="31">
        <f>C8*R17+E8*R18</f>
        <v>103602.48447204968</v>
      </c>
      <c r="V17" s="32"/>
      <c r="W17" s="23">
        <f>C9*R17+E9*R18</f>
        <v>853416.14906832285</v>
      </c>
      <c r="X17" s="24"/>
    </row>
    <row r="18" spans="1:24" ht="16.5" thickBot="1" x14ac:dyDescent="0.3">
      <c r="J18" s="19" t="s">
        <v>28</v>
      </c>
      <c r="K18" s="22"/>
      <c r="L18" s="70">
        <f>E6</f>
        <v>0.55000000000000004</v>
      </c>
      <c r="M18" s="71"/>
      <c r="N18" s="70">
        <v>0.2</v>
      </c>
      <c r="O18" s="71"/>
      <c r="P18" s="66">
        <f>L18*N18</f>
        <v>0.11000000000000001</v>
      </c>
      <c r="Q18" s="67"/>
      <c r="R18" s="72">
        <f>P18/P20</f>
        <v>0.27329192546583847</v>
      </c>
      <c r="S18" s="73"/>
      <c r="T18" s="2"/>
      <c r="U18" s="2"/>
      <c r="V18" s="2"/>
      <c r="W18" s="2"/>
      <c r="X18" s="2"/>
    </row>
    <row r="19" spans="1:24" ht="19.5" thickBot="1" x14ac:dyDescent="0.35">
      <c r="J19" s="2"/>
      <c r="K19" s="2"/>
      <c r="L19" s="74"/>
      <c r="M19" s="74"/>
      <c r="N19" s="74"/>
      <c r="O19" s="74"/>
      <c r="P19" s="75" t="s">
        <v>24</v>
      </c>
      <c r="Q19" s="76"/>
      <c r="R19" s="74"/>
      <c r="S19" s="74"/>
      <c r="T19" s="2"/>
      <c r="U19" s="2"/>
      <c r="V19" s="2"/>
      <c r="W19" s="2"/>
      <c r="X19" s="2"/>
    </row>
    <row r="20" spans="1:24" ht="16.5" thickBot="1" x14ac:dyDescent="0.3">
      <c r="J20" s="2"/>
      <c r="K20" s="2"/>
      <c r="L20" s="74"/>
      <c r="M20" s="74"/>
      <c r="N20" s="74"/>
      <c r="O20" s="74"/>
      <c r="P20" s="77">
        <f>SUM(P17:Q18)</f>
        <v>0.40250000000000008</v>
      </c>
      <c r="Q20" s="67"/>
      <c r="R20" s="74"/>
      <c r="S20" s="74"/>
      <c r="T20" s="2"/>
      <c r="U20" s="2"/>
      <c r="V20" s="2"/>
      <c r="W20" s="2"/>
      <c r="X20" s="2"/>
    </row>
    <row r="21" spans="1:24" ht="16.5" thickBot="1" x14ac:dyDescent="0.3">
      <c r="J21" s="56" t="s">
        <v>25</v>
      </c>
      <c r="K21" s="56"/>
      <c r="L21" s="2"/>
      <c r="M21" s="2"/>
      <c r="N21" s="2"/>
      <c r="O21" s="2"/>
      <c r="P21" s="2"/>
      <c r="Q21" s="2"/>
      <c r="R21" s="2"/>
      <c r="S21" s="2"/>
      <c r="T21" s="2"/>
      <c r="U21" s="57" t="s">
        <v>2</v>
      </c>
      <c r="V21" s="58"/>
      <c r="W21" s="57" t="s">
        <v>2</v>
      </c>
      <c r="X21" s="58"/>
    </row>
    <row r="22" spans="1:24" ht="19.5" thickBot="1" x14ac:dyDescent="0.35">
      <c r="J22" s="59" t="s">
        <v>19</v>
      </c>
      <c r="K22" s="60"/>
      <c r="L22" s="61" t="s">
        <v>20</v>
      </c>
      <c r="M22" s="62"/>
      <c r="N22" s="61" t="s">
        <v>21</v>
      </c>
      <c r="O22" s="62"/>
      <c r="P22" s="61" t="s">
        <v>22</v>
      </c>
      <c r="Q22" s="62"/>
      <c r="R22" s="61" t="s">
        <v>23</v>
      </c>
      <c r="S22" s="62"/>
      <c r="T22" s="2"/>
      <c r="U22" s="63" t="s">
        <v>3</v>
      </c>
      <c r="V22" s="64"/>
      <c r="W22" s="63" t="s">
        <v>4</v>
      </c>
      <c r="X22" s="64"/>
    </row>
    <row r="23" spans="1:24" ht="16.5" thickBot="1" x14ac:dyDescent="0.3">
      <c r="J23" s="31" t="s">
        <v>27</v>
      </c>
      <c r="K23" s="65"/>
      <c r="L23" s="78">
        <f>C6</f>
        <v>0.45</v>
      </c>
      <c r="M23" s="79"/>
      <c r="N23" s="78">
        <v>0.35</v>
      </c>
      <c r="O23" s="79"/>
      <c r="P23" s="78">
        <f>L23*N23</f>
        <v>0.1575</v>
      </c>
      <c r="Q23" s="79"/>
      <c r="R23" s="80">
        <f>P23/P26</f>
        <v>0.2635983263598326</v>
      </c>
      <c r="S23" s="81"/>
      <c r="T23" s="2"/>
      <c r="U23" s="23">
        <f>C8*R23+E8*R24</f>
        <v>75815.899581589954</v>
      </c>
      <c r="V23" s="24"/>
      <c r="W23" s="31">
        <f>C9*R23+E9*R24</f>
        <v>-72803.347280334798</v>
      </c>
      <c r="X23" s="32"/>
    </row>
    <row r="24" spans="1:24" ht="16.5" thickBot="1" x14ac:dyDescent="0.3">
      <c r="J24" s="19" t="s">
        <v>28</v>
      </c>
      <c r="K24" s="22"/>
      <c r="L24" s="37">
        <f>E6</f>
        <v>0.55000000000000004</v>
      </c>
      <c r="M24" s="38"/>
      <c r="N24" s="37">
        <v>0.8</v>
      </c>
      <c r="O24" s="38"/>
      <c r="P24" s="78">
        <f>L24*N24</f>
        <v>0.44000000000000006</v>
      </c>
      <c r="Q24" s="79"/>
      <c r="R24" s="80">
        <f>P24/P26</f>
        <v>0.7364016736401674</v>
      </c>
      <c r="S24" s="81"/>
      <c r="T24" s="2"/>
      <c r="U24" s="2"/>
      <c r="V24" s="2"/>
      <c r="W24" s="2"/>
      <c r="X24" s="2"/>
    </row>
    <row r="25" spans="1:24" ht="19.5" thickBot="1" x14ac:dyDescent="0.35">
      <c r="J25" s="2"/>
      <c r="K25" s="2"/>
      <c r="L25" s="82"/>
      <c r="M25" s="82"/>
      <c r="N25" s="82"/>
      <c r="O25" s="82"/>
      <c r="P25" s="83" t="s">
        <v>24</v>
      </c>
      <c r="Q25" s="84"/>
      <c r="R25" s="82"/>
      <c r="S25" s="82"/>
      <c r="T25" s="2"/>
      <c r="U25" s="2"/>
      <c r="V25" s="2"/>
      <c r="W25" s="2"/>
      <c r="X25" s="2"/>
    </row>
    <row r="26" spans="1:24" ht="16.5" thickBot="1" x14ac:dyDescent="0.3">
      <c r="J26" s="2"/>
      <c r="K26" s="2"/>
      <c r="L26" s="82"/>
      <c r="M26" s="82"/>
      <c r="N26" s="82"/>
      <c r="O26" s="82"/>
      <c r="P26" s="85">
        <f>SUM(P23:Q24)</f>
        <v>0.59750000000000003</v>
      </c>
      <c r="Q26" s="79"/>
      <c r="R26" s="82"/>
      <c r="S26" s="82"/>
      <c r="T26" s="2"/>
      <c r="U26" s="2"/>
      <c r="V26" s="2"/>
      <c r="W26" s="2"/>
      <c r="X26" s="2"/>
    </row>
    <row r="28" spans="1:24" ht="15.75" thickBot="1" x14ac:dyDescent="0.3"/>
    <row r="29" spans="1:24" ht="19.5" thickBot="1" x14ac:dyDescent="0.35">
      <c r="J29" s="39" t="s">
        <v>29</v>
      </c>
      <c r="K29" s="86"/>
      <c r="L29" s="86"/>
      <c r="M29" s="87"/>
      <c r="N29" s="88">
        <f>W17*P20+U23*P26</f>
        <v>388800</v>
      </c>
    </row>
    <row r="30" spans="1:24" ht="19.5" thickBot="1" x14ac:dyDescent="0.35">
      <c r="J30" s="89" t="s">
        <v>30</v>
      </c>
      <c r="K30" s="90"/>
      <c r="L30" s="90"/>
      <c r="M30" s="91"/>
      <c r="N30" s="92">
        <f>N29-D17</f>
        <v>313800</v>
      </c>
    </row>
    <row r="31" spans="1:24" ht="19.5" thickBot="1" x14ac:dyDescent="0.35">
      <c r="J31" s="89" t="s">
        <v>31</v>
      </c>
      <c r="K31" s="90"/>
      <c r="L31" s="90"/>
      <c r="M31" s="91"/>
      <c r="N31" s="93">
        <f>N30</f>
        <v>313800</v>
      </c>
    </row>
    <row r="35" spans="1:16" ht="23.25" x14ac:dyDescent="0.35">
      <c r="A35" s="95" t="s">
        <v>33</v>
      </c>
      <c r="B35" s="96"/>
      <c r="C35" s="96"/>
    </row>
    <row r="38" spans="1:16" ht="15.75" x14ac:dyDescent="0.25">
      <c r="A38" s="1" t="s">
        <v>0</v>
      </c>
      <c r="B38" s="1"/>
      <c r="C38" s="1"/>
    </row>
    <row r="40" spans="1:16" ht="15.75" thickBot="1" x14ac:dyDescent="0.3">
      <c r="L40" s="42" t="s">
        <v>12</v>
      </c>
      <c r="M40" s="42"/>
      <c r="N40" s="42"/>
      <c r="O40" s="42"/>
    </row>
    <row r="41" spans="1:16" ht="19.5" thickBot="1" x14ac:dyDescent="0.35">
      <c r="A41" s="2"/>
      <c r="B41" s="3"/>
      <c r="C41" s="4" t="s">
        <v>1</v>
      </c>
      <c r="D41" s="5"/>
      <c r="E41" s="5"/>
      <c r="F41" s="6"/>
      <c r="G41" s="2"/>
      <c r="H41" s="2"/>
      <c r="L41" s="42" t="s">
        <v>13</v>
      </c>
      <c r="M41" s="42"/>
      <c r="N41" s="42"/>
      <c r="O41" s="42"/>
      <c r="P41" s="42"/>
    </row>
    <row r="42" spans="1:16" ht="19.5" thickBot="1" x14ac:dyDescent="0.35">
      <c r="A42" s="2"/>
      <c r="B42" s="3"/>
      <c r="C42" s="7">
        <v>0.45</v>
      </c>
      <c r="D42" s="8"/>
      <c r="E42" s="8">
        <v>0.55000000000000004</v>
      </c>
      <c r="F42" s="9"/>
      <c r="G42" s="2"/>
      <c r="H42" s="2"/>
      <c r="L42" s="43">
        <f>MIN(C44:D45)*C42+MIN(E44:F45)*E42</f>
        <v>-276000</v>
      </c>
      <c r="M42" s="44"/>
      <c r="N42" s="45"/>
      <c r="O42" s="46"/>
    </row>
    <row r="43" spans="1:16" ht="19.5" thickBot="1" x14ac:dyDescent="0.35">
      <c r="A43" s="10"/>
      <c r="B43" s="11"/>
      <c r="C43" s="12" t="s">
        <v>5</v>
      </c>
      <c r="D43" s="13"/>
      <c r="E43" s="14" t="s">
        <v>6</v>
      </c>
      <c r="F43" s="13"/>
      <c r="G43" s="15" t="s">
        <v>2</v>
      </c>
      <c r="H43" s="16"/>
      <c r="L43" s="47" t="s">
        <v>14</v>
      </c>
      <c r="M43" s="42"/>
      <c r="N43" s="42"/>
      <c r="O43" s="48"/>
      <c r="P43" s="49"/>
    </row>
    <row r="44" spans="1:16" ht="19.5" thickBot="1" x14ac:dyDescent="0.35">
      <c r="A44" s="17" t="s">
        <v>3</v>
      </c>
      <c r="B44" s="18"/>
      <c r="C44" s="19">
        <v>120000</v>
      </c>
      <c r="D44" s="20"/>
      <c r="E44" s="21">
        <v>60000</v>
      </c>
      <c r="F44" s="22"/>
      <c r="G44" s="23">
        <f>C44*$C$6+E44*$E$6</f>
        <v>87000</v>
      </c>
      <c r="H44" s="24"/>
      <c r="I44" t="s">
        <v>18</v>
      </c>
      <c r="L44" s="42" t="s">
        <v>15</v>
      </c>
      <c r="M44" s="42"/>
      <c r="N44" s="42"/>
      <c r="O44" s="42"/>
      <c r="P44" s="42"/>
    </row>
    <row r="45" spans="1:16" ht="19.5" thickBot="1" x14ac:dyDescent="0.35">
      <c r="A45" s="17" t="s">
        <v>4</v>
      </c>
      <c r="B45" s="18"/>
      <c r="C45" s="27">
        <v>1400000</v>
      </c>
      <c r="D45" s="28"/>
      <c r="E45" s="29">
        <v>-600000</v>
      </c>
      <c r="F45" s="30"/>
      <c r="G45" s="31">
        <f>C45*$C$6+E45*$E$6</f>
        <v>300000</v>
      </c>
      <c r="H45" s="32"/>
      <c r="L45" s="50">
        <f>G44-L42</f>
        <v>363000</v>
      </c>
      <c r="M45" s="51"/>
      <c r="N45" s="52"/>
      <c r="O45" s="53"/>
      <c r="P45" s="54"/>
    </row>
    <row r="46" spans="1:16" x14ac:dyDescent="0.25">
      <c r="L46" s="47" t="s">
        <v>16</v>
      </c>
      <c r="M46" s="42"/>
      <c r="N46" s="42"/>
      <c r="O46" s="42"/>
      <c r="P46" s="42"/>
    </row>
    <row r="47" spans="1:16" ht="15.75" thickBot="1" x14ac:dyDescent="0.3">
      <c r="L47" s="42" t="s">
        <v>17</v>
      </c>
      <c r="M47" s="42"/>
      <c r="N47" s="42"/>
      <c r="O47" s="42"/>
      <c r="P47" s="42"/>
    </row>
    <row r="48" spans="1:16" ht="16.5" thickBot="1" x14ac:dyDescent="0.3">
      <c r="L48" s="50">
        <f>G44-O65</f>
        <v>88800.000000000044</v>
      </c>
      <c r="M48" s="51"/>
      <c r="N48" s="52"/>
      <c r="O48" s="55"/>
    </row>
    <row r="49" spans="1:25" ht="15.75" thickBot="1" x14ac:dyDescent="0.3"/>
    <row r="50" spans="1:25" ht="19.5" thickBot="1" x14ac:dyDescent="0.35">
      <c r="A50" s="39" t="s">
        <v>7</v>
      </c>
      <c r="B50" s="40"/>
      <c r="C50" s="22"/>
      <c r="D50" s="41">
        <v>75000</v>
      </c>
    </row>
    <row r="51" spans="1:25" ht="16.5" thickBot="1" x14ac:dyDescent="0.3">
      <c r="K51" s="56" t="s">
        <v>26</v>
      </c>
      <c r="L51" s="56"/>
      <c r="M51" s="2"/>
      <c r="N51" s="2"/>
      <c r="O51" s="2"/>
      <c r="P51" s="2"/>
      <c r="Q51" s="2"/>
      <c r="R51" s="2"/>
      <c r="S51" s="2"/>
      <c r="T51" s="2"/>
      <c r="V51" s="57" t="s">
        <v>2</v>
      </c>
      <c r="W51" s="58"/>
      <c r="X51" s="57" t="s">
        <v>2</v>
      </c>
      <c r="Y51" s="58"/>
    </row>
    <row r="52" spans="1:25" ht="19.5" thickBot="1" x14ac:dyDescent="0.35">
      <c r="K52" s="59" t="s">
        <v>19</v>
      </c>
      <c r="L52" s="60"/>
      <c r="M52" s="61" t="s">
        <v>20</v>
      </c>
      <c r="N52" s="62"/>
      <c r="O52" s="61" t="s">
        <v>21</v>
      </c>
      <c r="P52" s="62"/>
      <c r="Q52" s="61" t="s">
        <v>22</v>
      </c>
      <c r="R52" s="62"/>
      <c r="S52" s="61" t="s">
        <v>23</v>
      </c>
      <c r="T52" s="62"/>
      <c r="V52" s="63" t="s">
        <v>3</v>
      </c>
      <c r="W52" s="64"/>
      <c r="X52" s="63" t="s">
        <v>4</v>
      </c>
      <c r="Y52" s="64"/>
    </row>
    <row r="53" spans="1:25" ht="16.5" thickBot="1" x14ac:dyDescent="0.3">
      <c r="K53" s="31" t="s">
        <v>27</v>
      </c>
      <c r="L53" s="65"/>
      <c r="M53" s="66">
        <f>C42</f>
        <v>0.45</v>
      </c>
      <c r="N53" s="67"/>
      <c r="O53" s="66">
        <v>0.65</v>
      </c>
      <c r="P53" s="67"/>
      <c r="Q53" s="66">
        <f>M53*O53</f>
        <v>0.29250000000000004</v>
      </c>
      <c r="R53" s="67"/>
      <c r="S53" s="68">
        <f>Q53/Q56</f>
        <v>0.72670807453416142</v>
      </c>
      <c r="T53" s="69"/>
      <c r="V53" s="23">
        <f>C44*S53+E44*S54</f>
        <v>103602.48447204968</v>
      </c>
      <c r="W53" s="24"/>
      <c r="X53" s="31">
        <f>C45*S53+E45*S54</f>
        <v>853416.14906832285</v>
      </c>
      <c r="Y53" s="32"/>
    </row>
    <row r="54" spans="1:25" ht="16.5" thickBot="1" x14ac:dyDescent="0.3">
      <c r="K54" s="19" t="s">
        <v>28</v>
      </c>
      <c r="L54" s="22"/>
      <c r="M54" s="70">
        <f>E42</f>
        <v>0.55000000000000004</v>
      </c>
      <c r="N54" s="71"/>
      <c r="O54" s="70">
        <v>0.2</v>
      </c>
      <c r="P54" s="71"/>
      <c r="Q54" s="66">
        <f>M54*O54</f>
        <v>0.11000000000000001</v>
      </c>
      <c r="R54" s="67"/>
      <c r="S54" s="72">
        <f>Q54/Q56</f>
        <v>0.27329192546583847</v>
      </c>
      <c r="T54" s="73"/>
      <c r="V54" s="2"/>
      <c r="W54" s="2"/>
      <c r="X54" s="2"/>
      <c r="Y54" s="2"/>
    </row>
    <row r="55" spans="1:25" ht="19.5" thickBot="1" x14ac:dyDescent="0.35">
      <c r="K55" s="2"/>
      <c r="L55" s="2"/>
      <c r="M55" s="74"/>
      <c r="N55" s="74"/>
      <c r="O55" s="74"/>
      <c r="P55" s="74"/>
      <c r="Q55" s="75" t="s">
        <v>24</v>
      </c>
      <c r="R55" s="76"/>
      <c r="S55" s="74"/>
      <c r="T55" s="74"/>
      <c r="V55" s="2"/>
      <c r="W55" s="2"/>
      <c r="X55" s="2"/>
      <c r="Y55" s="2"/>
    </row>
    <row r="56" spans="1:25" ht="16.5" thickBot="1" x14ac:dyDescent="0.3">
      <c r="K56" s="2"/>
      <c r="L56" s="2"/>
      <c r="M56" s="74"/>
      <c r="N56" s="74"/>
      <c r="O56" s="74"/>
      <c r="P56" s="74"/>
      <c r="Q56" s="77">
        <f>SUM(Q53:R54)</f>
        <v>0.40250000000000008</v>
      </c>
      <c r="R56" s="67"/>
      <c r="S56" s="74"/>
      <c r="T56" s="74"/>
      <c r="V56" s="2"/>
      <c r="W56" s="2"/>
      <c r="X56" s="2"/>
      <c r="Y56" s="2"/>
    </row>
    <row r="57" spans="1:25" ht="16.5" thickBot="1" x14ac:dyDescent="0.3">
      <c r="K57" s="56" t="s">
        <v>25</v>
      </c>
      <c r="L57" s="56"/>
      <c r="M57" s="2"/>
      <c r="N57" s="2"/>
      <c r="O57" s="2"/>
      <c r="P57" s="2"/>
      <c r="Q57" s="2"/>
      <c r="R57" s="2"/>
      <c r="S57" s="2"/>
      <c r="T57" s="2"/>
      <c r="V57" s="57" t="s">
        <v>2</v>
      </c>
      <c r="W57" s="58"/>
      <c r="X57" s="57" t="s">
        <v>2</v>
      </c>
      <c r="Y57" s="58"/>
    </row>
    <row r="58" spans="1:25" ht="19.5" thickBot="1" x14ac:dyDescent="0.35">
      <c r="K58" s="59" t="s">
        <v>19</v>
      </c>
      <c r="L58" s="60"/>
      <c r="M58" s="61" t="s">
        <v>20</v>
      </c>
      <c r="N58" s="62"/>
      <c r="O58" s="61" t="s">
        <v>21</v>
      </c>
      <c r="P58" s="62"/>
      <c r="Q58" s="61" t="s">
        <v>22</v>
      </c>
      <c r="R58" s="62"/>
      <c r="S58" s="61" t="s">
        <v>23</v>
      </c>
      <c r="T58" s="62"/>
      <c r="V58" s="63" t="s">
        <v>3</v>
      </c>
      <c r="W58" s="64"/>
      <c r="X58" s="63" t="s">
        <v>4</v>
      </c>
      <c r="Y58" s="64"/>
    </row>
    <row r="59" spans="1:25" ht="16.5" thickBot="1" x14ac:dyDescent="0.3">
      <c r="K59" s="31" t="s">
        <v>27</v>
      </c>
      <c r="L59" s="65"/>
      <c r="M59" s="78">
        <f>C42</f>
        <v>0.45</v>
      </c>
      <c r="N59" s="79"/>
      <c r="O59" s="78">
        <v>0.35</v>
      </c>
      <c r="P59" s="79"/>
      <c r="Q59" s="78">
        <f>M59*O59</f>
        <v>0.1575</v>
      </c>
      <c r="R59" s="79"/>
      <c r="S59" s="80">
        <f>Q59/Q62</f>
        <v>0.2635983263598326</v>
      </c>
      <c r="T59" s="81"/>
      <c r="V59" s="31">
        <f>C44*S59+E44*S60</f>
        <v>75815.899581589954</v>
      </c>
      <c r="W59" s="32"/>
      <c r="X59" s="23">
        <f>C45*S59+E45*S60</f>
        <v>-72803.347280334798</v>
      </c>
      <c r="Y59" s="24"/>
    </row>
    <row r="60" spans="1:25" ht="16.5" thickBot="1" x14ac:dyDescent="0.3">
      <c r="K60" s="19" t="s">
        <v>28</v>
      </c>
      <c r="L60" s="22"/>
      <c r="M60" s="37">
        <f>E42</f>
        <v>0.55000000000000004</v>
      </c>
      <c r="N60" s="38"/>
      <c r="O60" s="37">
        <v>0.8</v>
      </c>
      <c r="P60" s="38"/>
      <c r="Q60" s="78">
        <f>M60*O60</f>
        <v>0.44000000000000006</v>
      </c>
      <c r="R60" s="79"/>
      <c r="S60" s="80">
        <f>Q60/Q62</f>
        <v>0.7364016736401674</v>
      </c>
      <c r="T60" s="81"/>
    </row>
    <row r="61" spans="1:25" ht="19.5" thickBot="1" x14ac:dyDescent="0.35">
      <c r="K61" s="2"/>
      <c r="L61" s="2"/>
      <c r="M61" s="82"/>
      <c r="N61" s="82"/>
      <c r="O61" s="82"/>
      <c r="P61" s="82"/>
      <c r="Q61" s="83" t="s">
        <v>24</v>
      </c>
      <c r="R61" s="84"/>
      <c r="S61" s="82"/>
      <c r="T61" s="82"/>
    </row>
    <row r="62" spans="1:25" ht="16.5" thickBot="1" x14ac:dyDescent="0.3">
      <c r="K62" s="2"/>
      <c r="L62" s="2"/>
      <c r="M62" s="82"/>
      <c r="N62" s="82"/>
      <c r="O62" s="82"/>
      <c r="P62" s="82"/>
      <c r="Q62" s="85">
        <f>SUM(Q59:R60)</f>
        <v>0.59750000000000003</v>
      </c>
      <c r="R62" s="79"/>
      <c r="S62" s="82"/>
      <c r="T62" s="82"/>
    </row>
    <row r="64" spans="1:25" ht="15.75" thickBot="1" x14ac:dyDescent="0.3"/>
    <row r="65" spans="11:15" ht="19.5" thickBot="1" x14ac:dyDescent="0.35">
      <c r="K65" s="39" t="s">
        <v>29</v>
      </c>
      <c r="L65" s="86"/>
      <c r="M65" s="86"/>
      <c r="N65" s="87"/>
      <c r="O65" s="88">
        <f>V53*Q56+X59*Q62</f>
        <v>-1800.0000000000437</v>
      </c>
    </row>
    <row r="66" spans="11:15" ht="19.5" thickBot="1" x14ac:dyDescent="0.35">
      <c r="K66" s="89" t="s">
        <v>30</v>
      </c>
      <c r="L66" s="90"/>
      <c r="M66" s="90"/>
      <c r="N66" s="91"/>
      <c r="O66" s="92">
        <f>O65+D50</f>
        <v>73199.999999999956</v>
      </c>
    </row>
    <row r="67" spans="11:15" ht="19.5" thickBot="1" x14ac:dyDescent="0.35">
      <c r="K67" s="89" t="s">
        <v>31</v>
      </c>
      <c r="L67" s="90"/>
      <c r="M67" s="90"/>
      <c r="N67" s="91"/>
      <c r="O67" s="93">
        <f>O66</f>
        <v>73199.999999999956</v>
      </c>
    </row>
  </sheetData>
  <mergeCells count="160">
    <mergeCell ref="A50:C50"/>
    <mergeCell ref="V57:W57"/>
    <mergeCell ref="X57:Y57"/>
    <mergeCell ref="V58:W58"/>
    <mergeCell ref="X58:Y58"/>
    <mergeCell ref="V59:W59"/>
    <mergeCell ref="X59:Y59"/>
    <mergeCell ref="Q62:R62"/>
    <mergeCell ref="K65:N65"/>
    <mergeCell ref="K66:N66"/>
    <mergeCell ref="K67:N67"/>
    <mergeCell ref="V51:W51"/>
    <mergeCell ref="X51:Y51"/>
    <mergeCell ref="V52:W52"/>
    <mergeCell ref="X52:Y52"/>
    <mergeCell ref="V53:W53"/>
    <mergeCell ref="X53:Y53"/>
    <mergeCell ref="K60:L60"/>
    <mergeCell ref="M60:N60"/>
    <mergeCell ref="O60:P60"/>
    <mergeCell ref="Q60:R60"/>
    <mergeCell ref="S60:T60"/>
    <mergeCell ref="Q61:R61"/>
    <mergeCell ref="S58:T58"/>
    <mergeCell ref="K59:L59"/>
    <mergeCell ref="M59:N59"/>
    <mergeCell ref="O59:P59"/>
    <mergeCell ref="Q59:R59"/>
    <mergeCell ref="S59:T59"/>
    <mergeCell ref="Q56:R56"/>
    <mergeCell ref="K57:L57"/>
    <mergeCell ref="K58:L58"/>
    <mergeCell ref="M58:N58"/>
    <mergeCell ref="O58:P58"/>
    <mergeCell ref="Q58:R58"/>
    <mergeCell ref="K54:L54"/>
    <mergeCell ref="M54:N54"/>
    <mergeCell ref="O54:P54"/>
    <mergeCell ref="Q54:R54"/>
    <mergeCell ref="S54:T54"/>
    <mergeCell ref="Q55:R55"/>
    <mergeCell ref="Q52:R52"/>
    <mergeCell ref="S52:T52"/>
    <mergeCell ref="K53:L53"/>
    <mergeCell ref="M53:N53"/>
    <mergeCell ref="O53:P53"/>
    <mergeCell ref="Q53:R53"/>
    <mergeCell ref="S53:T53"/>
    <mergeCell ref="L46:P46"/>
    <mergeCell ref="L47:P47"/>
    <mergeCell ref="L48:N48"/>
    <mergeCell ref="K51:L51"/>
    <mergeCell ref="K52:L52"/>
    <mergeCell ref="M52:N52"/>
    <mergeCell ref="O52:P52"/>
    <mergeCell ref="A45:B45"/>
    <mergeCell ref="C45:D45"/>
    <mergeCell ref="E45:F45"/>
    <mergeCell ref="G45:H45"/>
    <mergeCell ref="L40:O40"/>
    <mergeCell ref="L41:P41"/>
    <mergeCell ref="L42:N42"/>
    <mergeCell ref="L43:O43"/>
    <mergeCell ref="L44:P44"/>
    <mergeCell ref="L45:N45"/>
    <mergeCell ref="C42:D42"/>
    <mergeCell ref="E42:F42"/>
    <mergeCell ref="C43:D43"/>
    <mergeCell ref="E43:F43"/>
    <mergeCell ref="G43:H43"/>
    <mergeCell ref="A44:B44"/>
    <mergeCell ref="C44:D44"/>
    <mergeCell ref="E44:F44"/>
    <mergeCell ref="G44:H44"/>
    <mergeCell ref="P26:Q26"/>
    <mergeCell ref="J29:M29"/>
    <mergeCell ref="J30:M30"/>
    <mergeCell ref="J31:M31"/>
    <mergeCell ref="A38:C38"/>
    <mergeCell ref="C41:F41"/>
    <mergeCell ref="J24:K24"/>
    <mergeCell ref="L24:M24"/>
    <mergeCell ref="N24:O24"/>
    <mergeCell ref="P24:Q24"/>
    <mergeCell ref="R24:S24"/>
    <mergeCell ref="P25:Q25"/>
    <mergeCell ref="U22:V22"/>
    <mergeCell ref="W22:X22"/>
    <mergeCell ref="J23:K23"/>
    <mergeCell ref="L23:M23"/>
    <mergeCell ref="N23:O23"/>
    <mergeCell ref="P23:Q23"/>
    <mergeCell ref="R23:S23"/>
    <mergeCell ref="U23:V23"/>
    <mergeCell ref="W23:X23"/>
    <mergeCell ref="P19:Q19"/>
    <mergeCell ref="P20:Q20"/>
    <mergeCell ref="J21:K21"/>
    <mergeCell ref="U21:V21"/>
    <mergeCell ref="W21:X21"/>
    <mergeCell ref="J22:K22"/>
    <mergeCell ref="L22:M22"/>
    <mergeCell ref="N22:O22"/>
    <mergeCell ref="P22:Q22"/>
    <mergeCell ref="R22:S22"/>
    <mergeCell ref="W17:X17"/>
    <mergeCell ref="J18:K18"/>
    <mergeCell ref="L18:M18"/>
    <mergeCell ref="N18:O18"/>
    <mergeCell ref="P18:Q18"/>
    <mergeCell ref="R18:S18"/>
    <mergeCell ref="J17:K17"/>
    <mergeCell ref="L17:M17"/>
    <mergeCell ref="N17:O17"/>
    <mergeCell ref="P17:Q17"/>
    <mergeCell ref="R17:S17"/>
    <mergeCell ref="U17:V17"/>
    <mergeCell ref="J15:K15"/>
    <mergeCell ref="U15:V15"/>
    <mergeCell ref="W15:X15"/>
    <mergeCell ref="J16:K16"/>
    <mergeCell ref="L16:M16"/>
    <mergeCell ref="N16:O16"/>
    <mergeCell ref="P16:Q16"/>
    <mergeCell ref="R16:S16"/>
    <mergeCell ref="U16:V16"/>
    <mergeCell ref="W16:X16"/>
    <mergeCell ref="A17:C17"/>
    <mergeCell ref="K4:N4"/>
    <mergeCell ref="K5:O5"/>
    <mergeCell ref="K6:M6"/>
    <mergeCell ref="K7:N7"/>
    <mergeCell ref="K8:O8"/>
    <mergeCell ref="K9:M9"/>
    <mergeCell ref="K10:O10"/>
    <mergeCell ref="K11:O11"/>
    <mergeCell ref="K12:M12"/>
    <mergeCell ref="C12:D12"/>
    <mergeCell ref="E12:F12"/>
    <mergeCell ref="A13:B13"/>
    <mergeCell ref="C13:D13"/>
    <mergeCell ref="E13:F13"/>
    <mergeCell ref="A14:B14"/>
    <mergeCell ref="C14:D14"/>
    <mergeCell ref="E14:F14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2:C2"/>
    <mergeCell ref="C5:F5"/>
    <mergeCell ref="C6:D6"/>
    <mergeCell ref="E6:F6"/>
    <mergeCell ref="C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Ejercicio1</vt:lpstr>
      <vt:lpstr>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2020-09-09T23:29:53Z</dcterms:modified>
</cp:coreProperties>
</file>