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antiago\Documentos\UCC-Santi\4to\Economia\Practico\Ejercicios\Unidad 5\2023\"/>
    </mc:Choice>
  </mc:AlternateContent>
  <xr:revisionPtr revIDLastSave="0" documentId="13_ncr:1_{17805E87-55C5-421F-8804-2AECF2E13F5F}" xr6:coauthVersionLast="47" xr6:coauthVersionMax="47" xr10:uidLastSave="{00000000-0000-0000-0000-000000000000}"/>
  <bookViews>
    <workbookView xWindow="28680" yWindow="-120" windowWidth="24240" windowHeight="13020" tabRatio="778" firstSheet="3" activeTab="8" xr2:uid="{00000000-000D-0000-FFFF-FFFF00000000}"/>
  </bookViews>
  <sheets>
    <sheet name="Indicadores y ratios 1" sheetId="1" r:id="rId1"/>
    <sheet name="Indicadores y ratios 2" sheetId="2" r:id="rId2"/>
    <sheet name="Indicadores y ratios 3" sheetId="4" r:id="rId3"/>
    <sheet name="Costeo por procesos sin inventa" sheetId="7" r:id="rId4"/>
    <sheet name="Costeo Basado en Actividades" sheetId="6" r:id="rId5"/>
    <sheet name="Costeo variable 1" sheetId="3" r:id="rId6"/>
    <sheet name="Costeo variable 2" sheetId="9" r:id="rId7"/>
    <sheet name="Costeo variable 3" sheetId="10" r:id="rId8"/>
    <sheet name="Costeo absorvente y variable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0" l="1"/>
  <c r="C19" i="10" s="1"/>
  <c r="C21" i="10" s="1"/>
  <c r="B16" i="9"/>
  <c r="B18" i="9"/>
  <c r="B20" i="9"/>
  <c r="C43" i="5"/>
  <c r="E17" i="6" l="1"/>
  <c r="D17" i="6"/>
  <c r="J55" i="7"/>
  <c r="I54" i="7"/>
  <c r="T6" i="1" l="1"/>
  <c r="T58" i="1" l="1"/>
  <c r="T52" i="1"/>
  <c r="T44" i="1"/>
  <c r="U38" i="1"/>
  <c r="T37" i="1"/>
  <c r="T30" i="1"/>
  <c r="U26" i="1"/>
  <c r="U25" i="1"/>
  <c r="T25" i="1"/>
  <c r="T19" i="1"/>
  <c r="T12" i="1"/>
  <c r="C43" i="3"/>
  <c r="O15" i="4"/>
  <c r="N14" i="4" s="1"/>
  <c r="O14" i="4"/>
  <c r="M8" i="4"/>
  <c r="I8" i="4"/>
  <c r="H8" i="4"/>
  <c r="J8" i="4" s="1"/>
  <c r="O15" i="2"/>
  <c r="O14" i="2"/>
  <c r="N14" i="2"/>
  <c r="O8" i="2"/>
  <c r="J8" i="2"/>
  <c r="I8" i="2"/>
  <c r="K8" i="2" s="1"/>
  <c r="I6" i="7"/>
  <c r="C35" i="5"/>
  <c r="H41" i="7"/>
  <c r="F41" i="7"/>
  <c r="F40" i="7"/>
  <c r="E38" i="7"/>
  <c r="G38" i="7" s="1"/>
  <c r="I38" i="7" s="1"/>
  <c r="J38" i="7" s="1"/>
  <c r="C38" i="7"/>
  <c r="C40" i="7" s="1"/>
  <c r="C41" i="7" s="1"/>
  <c r="G37" i="7"/>
  <c r="I37" i="7" s="1"/>
  <c r="J37" i="7" s="1"/>
  <c r="H20" i="7"/>
  <c r="F20" i="7"/>
  <c r="F19" i="7"/>
  <c r="E17" i="7"/>
  <c r="G17" i="7" s="1"/>
  <c r="I17" i="7" s="1"/>
  <c r="J17" i="7" s="1"/>
  <c r="C17" i="7"/>
  <c r="C19" i="7" s="1"/>
  <c r="C20" i="7" s="1"/>
  <c r="G16" i="7"/>
  <c r="I16" i="7" s="1"/>
  <c r="J16" i="7" s="1"/>
  <c r="I10" i="7"/>
  <c r="I11" i="7" s="1"/>
  <c r="G10" i="7"/>
  <c r="I9" i="7"/>
  <c r="J9" i="7" s="1"/>
  <c r="G9" i="7"/>
  <c r="G7" i="7"/>
  <c r="I7" i="7" s="1"/>
  <c r="J7" i="7" s="1"/>
  <c r="G6" i="7"/>
  <c r="J6" i="7" s="1"/>
  <c r="J25" i="7" l="1"/>
  <c r="J48" i="7" s="1"/>
  <c r="I25" i="7"/>
  <c r="I48" i="7" s="1"/>
  <c r="I12" i="7"/>
  <c r="E19" i="7"/>
  <c r="E40" i="7"/>
  <c r="J10" i="7"/>
  <c r="J11" i="7" s="1"/>
  <c r="E41" i="7" l="1"/>
  <c r="G41" i="7" s="1"/>
  <c r="I41" i="7" s="1"/>
  <c r="G40" i="7"/>
  <c r="I40" i="7" s="1"/>
  <c r="J40" i="7" s="1"/>
  <c r="E20" i="7"/>
  <c r="G20" i="7" s="1"/>
  <c r="I20" i="7" s="1"/>
  <c r="G19" i="7"/>
  <c r="I19" i="7" s="1"/>
  <c r="J19" i="7" s="1"/>
  <c r="I21" i="7" l="1"/>
  <c r="I26" i="7" s="1"/>
  <c r="J20" i="7"/>
  <c r="J21" i="7" s="1"/>
  <c r="J26" i="7" s="1"/>
  <c r="J27" i="7" s="1"/>
  <c r="I32" i="7" s="1"/>
  <c r="I42" i="7"/>
  <c r="I50" i="7" s="1"/>
  <c r="J41" i="7"/>
  <c r="J42" i="7" s="1"/>
  <c r="J50" i="7" s="1"/>
  <c r="I27" i="7" l="1"/>
  <c r="I49" i="7"/>
  <c r="E71" i="6"/>
  <c r="D71" i="6"/>
  <c r="E68" i="6"/>
  <c r="D68" i="6"/>
  <c r="E67" i="6"/>
  <c r="D67" i="6"/>
  <c r="F67" i="6" s="1"/>
  <c r="E56" i="6"/>
  <c r="C55" i="6"/>
  <c r="M54" i="6"/>
  <c r="L54" i="6"/>
  <c r="G53" i="6"/>
  <c r="D59" i="6" s="1"/>
  <c r="F53" i="6"/>
  <c r="E53" i="6"/>
  <c r="D53" i="6"/>
  <c r="F52" i="6"/>
  <c r="G52" i="6" s="1"/>
  <c r="E58" i="6" s="1"/>
  <c r="E52" i="6"/>
  <c r="D52" i="6"/>
  <c r="N51" i="6"/>
  <c r="M51" i="6"/>
  <c r="L51" i="6"/>
  <c r="F51" i="6"/>
  <c r="E51" i="6"/>
  <c r="G51" i="6" s="1"/>
  <c r="D57" i="6" s="1"/>
  <c r="D51" i="6"/>
  <c r="C51" i="6"/>
  <c r="C57" i="6" s="1"/>
  <c r="N50" i="6"/>
  <c r="M50" i="6"/>
  <c r="L50" i="6"/>
  <c r="C45" i="6"/>
  <c r="C53" i="6" s="1"/>
  <c r="C59" i="6" s="1"/>
  <c r="C44" i="6"/>
  <c r="C52" i="6" s="1"/>
  <c r="C58" i="6" s="1"/>
  <c r="K40" i="6"/>
  <c r="K39" i="6"/>
  <c r="E35" i="6"/>
  <c r="M38" i="6" s="1"/>
  <c r="M49" i="6" s="1"/>
  <c r="D35" i="6"/>
  <c r="L38" i="6" s="1"/>
  <c r="L49" i="6" s="1"/>
  <c r="M31" i="6"/>
  <c r="M39" i="6" s="1"/>
  <c r="L31" i="6"/>
  <c r="L39" i="6" s="1"/>
  <c r="K31" i="6"/>
  <c r="O30" i="6"/>
  <c r="N30" i="6"/>
  <c r="M30" i="6"/>
  <c r="L30" i="6"/>
  <c r="K30" i="6"/>
  <c r="P29" i="6"/>
  <c r="O29" i="6"/>
  <c r="N29" i="6"/>
  <c r="M29" i="6"/>
  <c r="L29" i="6"/>
  <c r="F29" i="6"/>
  <c r="E29" i="6"/>
  <c r="D29" i="6"/>
  <c r="C29" i="6"/>
  <c r="E21" i="6"/>
  <c r="D21" i="6"/>
  <c r="F17" i="6"/>
  <c r="P30" i="6"/>
  <c r="G8" i="6"/>
  <c r="E8" i="6"/>
  <c r="F68" i="6" l="1"/>
  <c r="E55" i="6"/>
  <c r="E66" i="6" s="1"/>
  <c r="I51" i="7"/>
  <c r="J49" i="7"/>
  <c r="J51" i="7" s="1"/>
  <c r="I31" i="7"/>
  <c r="I29" i="7"/>
  <c r="L35" i="6"/>
  <c r="E57" i="6"/>
  <c r="E59" i="6"/>
  <c r="F59" i="6" s="1"/>
  <c r="D55" i="6"/>
  <c r="D66" i="6" s="1"/>
  <c r="D58" i="6"/>
  <c r="D60" i="6" s="1"/>
  <c r="P31" i="6"/>
  <c r="D69" i="6" l="1"/>
  <c r="D70" i="6" s="1"/>
  <c r="D72" i="6" s="1"/>
  <c r="E60" i="6"/>
  <c r="E69" i="6" s="1"/>
  <c r="F57" i="6"/>
  <c r="F58" i="6"/>
  <c r="M40" i="6"/>
  <c r="M42" i="6" s="1"/>
  <c r="M52" i="6" s="1"/>
  <c r="L40" i="6"/>
  <c r="L42" i="6" s="1"/>
  <c r="N42" i="6" l="1"/>
  <c r="L52" i="6"/>
  <c r="L53" i="6" s="1"/>
  <c r="L55" i="6" s="1"/>
  <c r="E70" i="6"/>
  <c r="F69" i="6"/>
  <c r="F60" i="6"/>
  <c r="N52" i="6"/>
  <c r="M53" i="6"/>
  <c r="N53" i="6" l="1"/>
  <c r="M55" i="6"/>
  <c r="E72" i="6"/>
  <c r="F70" i="6"/>
  <c r="C15" i="3" l="1"/>
  <c r="C44" i="5" l="1"/>
  <c r="C39" i="5"/>
  <c r="C38" i="5"/>
  <c r="C36" i="5"/>
  <c r="C30" i="5"/>
  <c r="C27" i="5"/>
  <c r="C28" i="5" s="1"/>
  <c r="C26" i="5"/>
  <c r="C25" i="5"/>
  <c r="C29" i="5" l="1"/>
  <c r="C31" i="5" s="1"/>
  <c r="C34" i="5"/>
  <c r="C37" i="5" s="1"/>
  <c r="C40" i="5" s="1"/>
  <c r="D21" i="4"/>
  <c r="E27" i="4" s="1"/>
  <c r="E32" i="4" s="1"/>
  <c r="D20" i="4"/>
  <c r="E26" i="4" s="1"/>
  <c r="D21" i="2"/>
  <c r="E27" i="2" s="1"/>
  <c r="E32" i="2" s="1"/>
  <c r="D20" i="2"/>
  <c r="D22" i="2" s="1"/>
  <c r="G26" i="4" l="1"/>
  <c r="E31" i="4"/>
  <c r="G31" i="4" s="1"/>
  <c r="D22" i="4"/>
  <c r="E26" i="2"/>
  <c r="E31" i="2" l="1"/>
  <c r="G31" i="2" s="1"/>
  <c r="G26" i="2"/>
  <c r="F61" i="6" l="1"/>
  <c r="D46" i="6"/>
</calcChain>
</file>

<file path=xl/sharedStrings.xml><?xml version="1.0" encoding="utf-8"?>
<sst xmlns="http://schemas.openxmlformats.org/spreadsheetml/2006/main" count="391" uniqueCount="215">
  <si>
    <t>A partir de los siguientes estados contables, calcule los principales ratios financieros y analícelos, al 30 de junio de 2012.</t>
  </si>
  <si>
    <t>RATIOS DE SOLVENCIA</t>
  </si>
  <si>
    <t>Razon de Patrimonio</t>
  </si>
  <si>
    <t>Patrimonio Neto</t>
  </si>
  <si>
    <t>=</t>
  </si>
  <si>
    <t>Activo Total</t>
  </si>
  <si>
    <t>Indice de Solvencia</t>
  </si>
  <si>
    <t>Pasivo Total</t>
  </si>
  <si>
    <t>RATIOS DE LIQUIDEZ</t>
  </si>
  <si>
    <t>Liquidez Corriente</t>
  </si>
  <si>
    <t>Activo Corriente</t>
  </si>
  <si>
    <t>Pasivo Corriente</t>
  </si>
  <si>
    <t>Prueba Acida</t>
  </si>
  <si>
    <t>Activo Corriente-Inventario</t>
  </si>
  <si>
    <t>RATIOS DE RENTABILIDAD</t>
  </si>
  <si>
    <t>Utilidad Operativa</t>
  </si>
  <si>
    <t>Ventas</t>
  </si>
  <si>
    <t>Rentabilidad Economica</t>
  </si>
  <si>
    <t>Utilidad Neta</t>
  </si>
  <si>
    <t>Activos Totales</t>
  </si>
  <si>
    <t>Rentabilidad Financiera</t>
  </si>
  <si>
    <t xml:space="preserve">Rotacion de Activo Total </t>
  </si>
  <si>
    <t>Margen de la Utilidad Neta</t>
  </si>
  <si>
    <t>El balance de una empresa esta resumido en los siguientes datos. Calcule el Patrimonio neto y los índices de: Solvencia (largo Plazo) y Liquidez Corriente (Corto Plazo) e indique que explica cada uno.</t>
  </si>
  <si>
    <t>Balance de la Empresa al 31 de dic</t>
  </si>
  <si>
    <t>Caja y Bancos</t>
  </si>
  <si>
    <t>Sueldos Adeudados</t>
  </si>
  <si>
    <t>Impuestos a Pagar</t>
  </si>
  <si>
    <t>Cuentas a Cobrar</t>
  </si>
  <si>
    <t>Deudas a proveedores</t>
  </si>
  <si>
    <t>Deudas a Largo Plazo</t>
  </si>
  <si>
    <t>Stock de Materias Primas</t>
  </si>
  <si>
    <t>Edificios</t>
  </si>
  <si>
    <t>Activos</t>
  </si>
  <si>
    <t>Pasivo</t>
  </si>
  <si>
    <t>PN</t>
  </si>
  <si>
    <t>Indice de Liquidez Corriente</t>
  </si>
  <si>
    <t>Determine cuál es el punto de equilibrio para un mes de producción. Es decir, el número de paragolpes a producir y vender en un mes para tener un Beneficio=0. Redondee el resultado al entero</t>
  </si>
  <si>
    <t>Una empresa produce piezas para la automotriz.</t>
  </si>
  <si>
    <t>El precio de venta es de $645, el costo directo de materiales es $152, y el costo de mano de obra directa $352. </t>
  </si>
  <si>
    <t>Los costos fijos mensuales ascienden a la suma de  $235000</t>
  </si>
  <si>
    <t>Qe=</t>
  </si>
  <si>
    <t>Solución:</t>
  </si>
  <si>
    <t>Por costeo absorbente:</t>
  </si>
  <si>
    <t xml:space="preserve">MPD </t>
  </si>
  <si>
    <t xml:space="preserve">MOD </t>
  </si>
  <si>
    <t xml:space="preserve">C.U. total </t>
  </si>
  <si>
    <t xml:space="preserve">CIF variables </t>
  </si>
  <si>
    <t xml:space="preserve">CIF fijos </t>
  </si>
  <si>
    <t xml:space="preserve">Producción </t>
  </si>
  <si>
    <t xml:space="preserve">Ventas </t>
  </si>
  <si>
    <t>unidades</t>
  </si>
  <si>
    <t xml:space="preserve">Precio de venta </t>
  </si>
  <si>
    <t>$/unidad</t>
  </si>
  <si>
    <t xml:space="preserve">Gasto variable de adm. y vtas. </t>
  </si>
  <si>
    <t>No hay inventario inicial</t>
  </si>
  <si>
    <t xml:space="preserve">Gasto Fijo de adm. y vtas. </t>
  </si>
  <si>
    <t>VENTAS</t>
  </si>
  <si>
    <t>COSTO DE PRODUCCIÓN</t>
  </si>
  <si>
    <t>INVENTARIO FINAL</t>
  </si>
  <si>
    <t>COSTOS DE VENTAS</t>
  </si>
  <si>
    <t>MARGEN DE VENTAS</t>
  </si>
  <si>
    <t>GASTOS DE ADMIN Y VENTAS</t>
  </si>
  <si>
    <t>RESULTADO OPERATIVO</t>
  </si>
  <si>
    <t>Determine los resultados operativos a través de costeo absorbente y variable</t>
  </si>
  <si>
    <t>Por costeo variable:</t>
  </si>
  <si>
    <t>COSTOS VARIABLES DE PRODUCCIÓN</t>
  </si>
  <si>
    <t>COSTOS VARIABLES DE ADMIN. Y VENTAS</t>
  </si>
  <si>
    <t>MARGEN DE CONTRIBUCIÓN</t>
  </si>
  <si>
    <t>GASTOS FIJOS DE ADMIN. Y VENTAS</t>
  </si>
  <si>
    <t>COSTOS FIJOS DE PRODUCCIÓN</t>
  </si>
  <si>
    <t>Determine el valor de los inventarios finales:</t>
  </si>
  <si>
    <t>VALOR DE LOS INVENTARIOS FINALES</t>
  </si>
  <si>
    <t>ENUNCIADO</t>
  </si>
  <si>
    <t xml:space="preserve">Costos unitarios de producción </t>
  </si>
  <si>
    <t>No incluye CIF fijos</t>
  </si>
  <si>
    <t>Incluye todos los costos unitarios de producción</t>
  </si>
  <si>
    <t>Incluye costo variable de admin y vta</t>
  </si>
  <si>
    <t>Se deduce inventario final</t>
  </si>
  <si>
    <t>Acá incorpora costos fijos de producción</t>
  </si>
  <si>
    <t>Incluye también el costo variable de admin y venta</t>
  </si>
  <si>
    <t>A</t>
  </si>
  <si>
    <t>Z</t>
  </si>
  <si>
    <t>Cantidad producida</t>
  </si>
  <si>
    <t>Consumo de materia prima directa</t>
  </si>
  <si>
    <t xml:space="preserve"> $/unidad</t>
  </si>
  <si>
    <t>Consumo de mano de obra directa</t>
  </si>
  <si>
    <t>Para la producción la empresa cuenta con cuatro departamentos, para los que se conocen los siguientes datos:</t>
  </si>
  <si>
    <t>Departamentos</t>
  </si>
  <si>
    <t>Costos Indirectos</t>
  </si>
  <si>
    <t>Horas de Mano de Obra Directa</t>
  </si>
  <si>
    <t>Horas de Máquina</t>
  </si>
  <si>
    <t xml:space="preserve">A) Fabricación 1 </t>
  </si>
  <si>
    <t>B) Fabricación 2</t>
  </si>
  <si>
    <t>C) Mantención</t>
  </si>
  <si>
    <t>D) Adminst.y Vtas.</t>
  </si>
  <si>
    <t>Totales</t>
  </si>
  <si>
    <t>Consumo unitario de horas de MOD</t>
  </si>
  <si>
    <t>Costeo ABC</t>
  </si>
  <si>
    <t>Costeo Tradicional Absorbente</t>
  </si>
  <si>
    <t>Actividades por Depto. (ABC)</t>
  </si>
  <si>
    <t>Asignación de los costos indirectos a los departamentos de producción</t>
  </si>
  <si>
    <t>Maquinado</t>
  </si>
  <si>
    <t>Mantención de Máquinas</t>
  </si>
  <si>
    <t>Gestión de clientes</t>
  </si>
  <si>
    <t>Gestión de Pedidos</t>
  </si>
  <si>
    <t>Otras Act. Nivel Empresa</t>
  </si>
  <si>
    <t>a partir de antecedentes de los productos</t>
  </si>
  <si>
    <t>Asignación de los costos indirectos a los productos</t>
  </si>
  <si>
    <t>Cuota de Costos Indirectos</t>
  </si>
  <si>
    <t>Hs de Máq. por Un.</t>
  </si>
  <si>
    <t>N° pedidos</t>
  </si>
  <si>
    <t>N° clientes</t>
  </si>
  <si>
    <t>Costeo de las Actividades (a partir de haber elegiso los drivers de recursos y asignar los costos indirectos a las actividades)</t>
  </si>
  <si>
    <t>CIF</t>
  </si>
  <si>
    <t>Actividades de maquinaria</t>
  </si>
  <si>
    <t>Total</t>
  </si>
  <si>
    <t>En resumen, los costos de cada producto son los siguientes</t>
  </si>
  <si>
    <t>Para cada actividad, hay que elegir el generador (driver) de actividades, para luego asignar el costo de las actividades a los productos:</t>
  </si>
  <si>
    <t>Actividad</t>
  </si>
  <si>
    <t>Generadores</t>
  </si>
  <si>
    <t>Numero de generadores</t>
  </si>
  <si>
    <t>Costos totales</t>
  </si>
  <si>
    <t>Costos unitarios</t>
  </si>
  <si>
    <t>Materia prima directa</t>
  </si>
  <si>
    <t>Mano de obra directa</t>
  </si>
  <si>
    <t>Costos indirectos</t>
  </si>
  <si>
    <t>Unidades producidas</t>
  </si>
  <si>
    <t>C.Unit.*Cant Un</t>
  </si>
  <si>
    <t>Total de Costos Indirectos por Prod.</t>
  </si>
  <si>
    <t>Total CIF</t>
  </si>
  <si>
    <t>Proceso 1</t>
  </si>
  <si>
    <t>Costos</t>
  </si>
  <si>
    <t>Unidades terminadas</t>
  </si>
  <si>
    <t>Unidades en proceso</t>
  </si>
  <si>
    <t>Unidades Equivalente</t>
  </si>
  <si>
    <t>Costo Total (CT)</t>
  </si>
  <si>
    <t>Costo Unitario</t>
  </si>
  <si>
    <t>Cantidad</t>
  </si>
  <si>
    <t>%</t>
  </si>
  <si>
    <t>Unidades Terminadas</t>
  </si>
  <si>
    <t>Unidades en Proceso</t>
  </si>
  <si>
    <t>Materia Prima</t>
  </si>
  <si>
    <t>Mano de obra</t>
  </si>
  <si>
    <t>depede que base tome para el prorrateo</t>
  </si>
  <si>
    <t xml:space="preserve">    CIF s/Un MP</t>
  </si>
  <si>
    <t xml:space="preserve">    CIF s/Un MO</t>
  </si>
  <si>
    <t>Costos Unitarios Para el proceso (considerando CIF s/Un MO</t>
  </si>
  <si>
    <t>costo de unidades terminadas y transferidas al proceso 2 (consideramos 8100un)</t>
  </si>
  <si>
    <t>Proceso 2</t>
  </si>
  <si>
    <t>costos unitarios hasta el proceso 2</t>
  </si>
  <si>
    <t>Proceso 1+2</t>
  </si>
  <si>
    <t>costo de unidades terminadas y transferidas al proceso 3 (consideramos 6800un)</t>
  </si>
  <si>
    <t xml:space="preserve">valor del inventario del proceso 2 </t>
  </si>
  <si>
    <t>Terminadas NO transferidas: 300</t>
  </si>
  <si>
    <t>En proceso de Producción: 1000</t>
  </si>
  <si>
    <t>Proceso 3</t>
  </si>
  <si>
    <t>costos unitarios hasta el proceso 3</t>
  </si>
  <si>
    <t xml:space="preserve">Determinar el valor de la transferencia al Almacén de productos terminados y del inventario final del proceso 3 </t>
  </si>
  <si>
    <t>terminadas</t>
  </si>
  <si>
    <t>Costo total</t>
  </si>
  <si>
    <t>en proceso</t>
  </si>
  <si>
    <t>Costo inventario</t>
  </si>
  <si>
    <t>No incluye CIF fijos y se calcula sobre ventas (no producción)</t>
  </si>
  <si>
    <t>Una empresa fabrica dos productos, A y Z, para los cuales se tienen los siguientes datos</t>
  </si>
  <si>
    <t>Generadores de actividades</t>
  </si>
  <si>
    <t>Actividades</t>
  </si>
  <si>
    <t>activo</t>
  </si>
  <si>
    <t>PN= Activo - Pasivo</t>
  </si>
  <si>
    <t>pasivo</t>
  </si>
  <si>
    <t>Podemos decir que dependemos muy poco de los acreedores externos. somos solventes</t>
  </si>
  <si>
    <t>"="</t>
  </si>
  <si>
    <t>Al tener un ratio de liquidez corriente tan alto podemos decir que podemos tomar deuda y las deudas a proveedores no representan un problema de liquidez.</t>
  </si>
  <si>
    <t>PV</t>
  </si>
  <si>
    <t>$645</t>
  </si>
  <si>
    <t>B(Q)=Ingresos totales(Q) - Costos Totales(Q)</t>
  </si>
  <si>
    <t>CDM</t>
  </si>
  <si>
    <t>$152</t>
  </si>
  <si>
    <t>0=645*Q-(CF+CV*Q)</t>
  </si>
  <si>
    <t>CMO</t>
  </si>
  <si>
    <t>$352</t>
  </si>
  <si>
    <t xml:space="preserve">0=(645*Q)-((152 +352)*Q + 235000) </t>
  </si>
  <si>
    <t>El numero de paragolpes a producir para obtener beneficio 0 es 1667</t>
  </si>
  <si>
    <t>CFM</t>
  </si>
  <si>
    <t>$235000</t>
  </si>
  <si>
    <t>0= 645Q - 504Q - 235000</t>
  </si>
  <si>
    <t xml:space="preserve">CV= </t>
  </si>
  <si>
    <t>141Q = 235000</t>
  </si>
  <si>
    <t>Q=1666.66</t>
  </si>
  <si>
    <t xml:space="preserve">Patrimonio neto </t>
  </si>
  <si>
    <t>Activo total</t>
  </si>
  <si>
    <t>Pasivo total</t>
  </si>
  <si>
    <t>Inventario = Bienes de cambio</t>
  </si>
  <si>
    <t>Ventas = Ingresos Ordinarios</t>
  </si>
  <si>
    <t>Una empresa realiza un análisis de costo volumen utilidad con los siguientes datos:</t>
  </si>
  <si>
    <t>Precio de venta: $2.000</t>
  </si>
  <si>
    <t>Costo variable: $1.000</t>
  </si>
  <si>
    <t>Costos Fijos: $1.000.000</t>
  </si>
  <si>
    <t>Determinar:</t>
  </si>
  <si>
    <t>a) Calcule el punto de equilibrio en unidades.</t>
  </si>
  <si>
    <t>b) Calcule el ingreso total en el punto de equilibrio.</t>
  </si>
  <si>
    <t>c) Suponga que el precio aumenta un 25% ¿cual sería el nuevo punto de equilibrio en unidades y el ingreso total correspondiente?</t>
  </si>
  <si>
    <t>A)</t>
  </si>
  <si>
    <t>B)</t>
  </si>
  <si>
    <t>C)</t>
  </si>
  <si>
    <t>Una empresa fabrica un solo producto, del cual fabricará 1.000 unidades el próximo mes y estima poder venderlos a $ 200 c/u con los siguientes costos:</t>
  </si>
  <si>
    <t>Costo variable total: $ 120.000</t>
  </si>
  <si>
    <t>Costo fijo: $ 60.000</t>
  </si>
  <si>
    <t>Si un cliente hace un pedido por 200 unidades adicionales a un precio de $ 160 c/u, ¿conviene aceptar la oferta? Indique cómo varía la utilidad de la empresa.</t>
  </si>
  <si>
    <t>PRECIO</t>
  </si>
  <si>
    <t>COSTO UNITARIO</t>
  </si>
  <si>
    <t>CONTRIBUCIÓN MARGINAL</t>
  </si>
  <si>
    <t>DADO QUE LA CONT. MARG. ES POSITIVA Y SIENDO UN PEDIDO EXTRAORDINARIO CONVIENE TOMARLO.</t>
  </si>
  <si>
    <t>INGRESOS ADICIONALES</t>
  </si>
  <si>
    <t>VARÍAN LAS UTILIDADES EN $8.000.-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</si>
</sst>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\ #,##0;[Red]\-&quot;$&quot;\ #,##0"/>
    <numFmt numFmtId="44" formatCode="_-&quot;$&quot;\ * #,##0.00_-;\-&quot;$&quot;\ * #,##0.00_-;_-&quot;$&quot;\ * &quot;-&quot;??_-;_-@_-"/>
    <numFmt numFmtId="164" formatCode="_ &quot;$&quot;\ * #,##0_ ;_ &quot;$&quot;\ * \-#,##0_ ;_ &quot;$&quot;\ * &quot;-&quot;??_ ;_ @_ "/>
    <numFmt numFmtId="165" formatCode="_-&quot;$&quot;\ * #,##0_-;\-&quot;$&quot;\ * #,##0_-;_-&quot;$&quot;\ * &quot;-&quot;??_-;_-@_-"/>
    <numFmt numFmtId="166" formatCode="_ &quot;$&quot;\ * #,##0.00_ ;_ &quot;$&quot;\ * \-#,##0.00_ ;_ &quot;$&quot;\ * &quot;-&quot;??_ ;_ @_ "/>
    <numFmt numFmtId="167" formatCode="[$$]#,##0.00"/>
    <numFmt numFmtId="168" formatCode="#,##0.00\ [$€-1]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"/>
      <name val="Calibri"/>
    </font>
    <font>
      <sz val="11"/>
      <color rgb="FF000000"/>
      <name val="Inconsolata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90">
    <xf numFmtId="0" fontId="0" fillId="0" borderId="0" xfId="0"/>
    <xf numFmtId="0" fontId="5" fillId="0" borderId="0" xfId="0" applyFont="1" applyAlignment="1">
      <alignment horizontal="left"/>
    </xf>
    <xf numFmtId="0" fontId="0" fillId="3" borderId="0" xfId="0" applyFill="1"/>
    <xf numFmtId="0" fontId="5" fillId="0" borderId="0" xfId="0" applyFont="1" applyAlignment="1">
      <alignment horizontal="left" vertical="center"/>
    </xf>
    <xf numFmtId="0" fontId="3" fillId="3" borderId="1" xfId="0" applyFont="1" applyFill="1" applyBorder="1"/>
    <xf numFmtId="0" fontId="3" fillId="3" borderId="2" xfId="0" applyFont="1" applyFill="1" applyBorder="1"/>
    <xf numFmtId="0" fontId="0" fillId="3" borderId="3" xfId="0" applyFill="1" applyBorder="1"/>
    <xf numFmtId="164" fontId="0" fillId="3" borderId="4" xfId="1" applyNumberFormat="1" applyFont="1" applyFill="1" applyBorder="1"/>
    <xf numFmtId="0" fontId="0" fillId="3" borderId="5" xfId="0" applyFill="1" applyBorder="1"/>
    <xf numFmtId="0" fontId="0" fillId="3" borderId="6" xfId="0" applyFill="1" applyBorder="1"/>
    <xf numFmtId="164" fontId="0" fillId="3" borderId="7" xfId="1" applyNumberFormat="1" applyFont="1" applyFill="1" applyBorder="1"/>
    <xf numFmtId="164" fontId="0" fillId="3" borderId="0" xfId="1" applyNumberFormat="1" applyFont="1" applyFill="1"/>
    <xf numFmtId="0" fontId="3" fillId="3" borderId="8" xfId="0" applyFont="1" applyFill="1" applyBorder="1"/>
    <xf numFmtId="164" fontId="3" fillId="3" borderId="9" xfId="1" applyNumberFormat="1" applyFont="1" applyFill="1" applyBorder="1"/>
    <xf numFmtId="0" fontId="6" fillId="0" borderId="0" xfId="0" applyFont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3" fontId="0" fillId="0" borderId="0" xfId="0" applyNumberFormat="1"/>
    <xf numFmtId="6" fontId="0" fillId="0" borderId="0" xfId="0" applyNumberFormat="1"/>
    <xf numFmtId="3" fontId="0" fillId="0" borderId="10" xfId="0" applyNumberFormat="1" applyBorder="1"/>
    <xf numFmtId="165" fontId="0" fillId="0" borderId="0" xfId="1" applyNumberFormat="1" applyFont="1"/>
    <xf numFmtId="165" fontId="0" fillId="0" borderId="0" xfId="0" applyNumberFormat="1"/>
    <xf numFmtId="0" fontId="4" fillId="2" borderId="0" xfId="2"/>
    <xf numFmtId="0" fontId="2" fillId="2" borderId="0" xfId="2" applyFont="1"/>
    <xf numFmtId="0" fontId="3" fillId="0" borderId="0" xfId="0" applyFont="1"/>
    <xf numFmtId="0" fontId="8" fillId="0" borderId="0" xfId="0" applyFont="1"/>
    <xf numFmtId="0" fontId="0" fillId="0" borderId="0" xfId="0" applyAlignment="1">
      <alignment horizontal="right"/>
    </xf>
    <xf numFmtId="1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3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0" fontId="3" fillId="0" borderId="11" xfId="0" applyFont="1" applyBorder="1" applyAlignment="1">
      <alignment wrapText="1"/>
    </xf>
    <xf numFmtId="0" fontId="0" fillId="0" borderId="11" xfId="0" applyBorder="1"/>
    <xf numFmtId="0" fontId="3" fillId="0" borderId="11" xfId="0" applyFont="1" applyBorder="1"/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Alignment="1">
      <alignment horizontal="center" wrapText="1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wrapText="1"/>
    </xf>
    <xf numFmtId="0" fontId="9" fillId="0" borderId="7" xfId="0" applyFont="1" applyBorder="1" applyAlignment="1">
      <alignment horizontal="center" wrapText="1"/>
    </xf>
    <xf numFmtId="0" fontId="9" fillId="0" borderId="14" xfId="0" applyFont="1" applyBorder="1"/>
    <xf numFmtId="0" fontId="0" fillId="0" borderId="14" xfId="0" applyBorder="1"/>
    <xf numFmtId="9" fontId="0" fillId="0" borderId="14" xfId="3" applyFont="1" applyBorder="1"/>
    <xf numFmtId="166" fontId="0" fillId="0" borderId="14" xfId="4" applyFont="1" applyBorder="1"/>
    <xf numFmtId="0" fontId="9" fillId="0" borderId="11" xfId="0" applyFont="1" applyBorder="1"/>
    <xf numFmtId="9" fontId="0" fillId="0" borderId="11" xfId="3" applyFont="1" applyBorder="1"/>
    <xf numFmtId="166" fontId="0" fillId="0" borderId="11" xfId="4" applyFont="1" applyBorder="1"/>
    <xf numFmtId="166" fontId="3" fillId="0" borderId="11" xfId="0" applyNumberFormat="1" applyFont="1" applyBorder="1"/>
    <xf numFmtId="0" fontId="9" fillId="0" borderId="0" xfId="0" applyFont="1"/>
    <xf numFmtId="166" fontId="0" fillId="0" borderId="0" xfId="0" applyNumberFormat="1"/>
    <xf numFmtId="1" fontId="3" fillId="0" borderId="0" xfId="0" applyNumberFormat="1" applyFont="1"/>
    <xf numFmtId="2" fontId="3" fillId="0" borderId="0" xfId="0" applyNumberFormat="1" applyFont="1"/>
    <xf numFmtId="0" fontId="10" fillId="4" borderId="0" xfId="0" applyFont="1" applyFill="1"/>
    <xf numFmtId="0" fontId="11" fillId="4" borderId="0" xfId="0" applyFont="1" applyFill="1"/>
    <xf numFmtId="0" fontId="11" fillId="0" borderId="0" xfId="0" applyFont="1"/>
    <xf numFmtId="0" fontId="12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0" fontId="11" fillId="0" borderId="0" xfId="0" applyFont="1" applyAlignment="1">
      <alignment horizontal="right"/>
    </xf>
    <xf numFmtId="0" fontId="11" fillId="4" borderId="0" xfId="0" applyFont="1" applyFill="1" applyAlignment="1">
      <alignment horizontal="left" vertical="center"/>
    </xf>
    <xf numFmtId="0" fontId="13" fillId="5" borderId="0" xfId="0" applyFont="1" applyFill="1"/>
    <xf numFmtId="167" fontId="11" fillId="0" borderId="0" xfId="0" applyNumberFormat="1" applyFont="1"/>
    <xf numFmtId="168" fontId="11" fillId="0" borderId="0" xfId="0" applyNumberFormat="1" applyFont="1"/>
    <xf numFmtId="0" fontId="0" fillId="0" borderId="0" xfId="0"/>
    <xf numFmtId="44" fontId="0" fillId="0" borderId="0" xfId="1" applyFont="1"/>
    <xf numFmtId="1" fontId="0" fillId="0" borderId="0" xfId="0" applyNumberFormat="1" applyAlignment="1">
      <alignment horizontal="right"/>
    </xf>
    <xf numFmtId="44" fontId="0" fillId="0" borderId="0" xfId="1" applyFont="1" applyAlignment="1">
      <alignment horizontal="right"/>
    </xf>
    <xf numFmtId="44" fontId="0" fillId="0" borderId="0" xfId="0" applyNumberFormat="1"/>
    <xf numFmtId="0" fontId="11" fillId="0" borderId="0" xfId="0" applyFont="1" applyAlignment="1">
      <alignment vertical="center" wrapText="1"/>
    </xf>
    <xf numFmtId="0" fontId="0" fillId="0" borderId="0" xfId="0"/>
    <xf numFmtId="0" fontId="9" fillId="0" borderId="12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3" fillId="0" borderId="11" xfId="0" applyFont="1" applyBorder="1" applyAlignment="1">
      <alignment horizontal="center"/>
    </xf>
  </cellXfs>
  <cellStyles count="5">
    <cellStyle name="Énfasis1" xfId="2" builtinId="29"/>
    <cellStyle name="Moneda" xfId="1" builtinId="4"/>
    <cellStyle name="Moneda 2" xfId="4" xr:uid="{2C63D303-2CB0-4B29-A827-090DD5711628}"/>
    <cellStyle name="Normal" xfId="0" builtinId="0"/>
    <cellStyle name="Porcentaje 2" xfId="3" xr:uid="{A7BEA5DE-5A47-4A60-948A-C84727DAD2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6</xdr:row>
      <xdr:rowOff>19050</xdr:rowOff>
    </xdr:from>
    <xdr:to>
      <xdr:col>7</xdr:col>
      <xdr:colOff>752475</xdr:colOff>
      <xdr:row>46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 l="33332" t="11886" r="31274" b="11886"/>
        <a:stretch>
          <a:fillRect/>
        </a:stretch>
      </xdr:blipFill>
      <xdr:spPr bwMode="auto">
        <a:xfrm>
          <a:off x="809625" y="790575"/>
          <a:ext cx="5276850" cy="778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15</xdr:col>
      <xdr:colOff>619125</xdr:colOff>
      <xdr:row>46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 l="33188" t="12661" r="30402" b="9044"/>
        <a:stretch>
          <a:fillRect/>
        </a:stretch>
      </xdr:blipFill>
      <xdr:spPr bwMode="auto">
        <a:xfrm>
          <a:off x="6858000" y="771525"/>
          <a:ext cx="5191125" cy="7772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9</xdr:col>
      <xdr:colOff>143746</xdr:colOff>
      <xdr:row>60</xdr:row>
      <xdr:rowOff>76477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53B2C67-8487-1196-ED65-1A3149ADF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9534525"/>
          <a:ext cx="6239746" cy="19814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8</xdr:col>
      <xdr:colOff>600903</xdr:colOff>
      <xdr:row>72</xdr:row>
      <xdr:rowOff>105082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6027E9E-A629-DC92-B960-E77D3F86A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11630025"/>
          <a:ext cx="5934903" cy="22005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8</xdr:col>
      <xdr:colOff>200797</xdr:colOff>
      <xdr:row>89</xdr:row>
      <xdr:rowOff>133794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FCDB4C2-8353-D287-9C89-777660485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13916025"/>
          <a:ext cx="5534797" cy="31817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6</xdr:col>
      <xdr:colOff>286322</xdr:colOff>
      <xdr:row>115</xdr:row>
      <xdr:rowOff>29217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2F3A81F-DCF9-16E9-A35B-D3FA9C65C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17345025"/>
          <a:ext cx="4096322" cy="46012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6</xdr:col>
      <xdr:colOff>524480</xdr:colOff>
      <xdr:row>141</xdr:row>
      <xdr:rowOff>181665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7DFFCE0-F6B8-B2BC-66B5-E7DD22FC6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0" y="22107525"/>
          <a:ext cx="4334480" cy="494416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11</xdr:col>
      <xdr:colOff>248748</xdr:colOff>
      <xdr:row>150</xdr:row>
      <xdr:rowOff>19239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CB9A388-3818-5E69-1973-64DCD14FD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27251025"/>
          <a:ext cx="7868748" cy="13527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57150</xdr:rowOff>
    </xdr:from>
    <xdr:to>
      <xdr:col>10</xdr:col>
      <xdr:colOff>228600</xdr:colOff>
      <xdr:row>36</xdr:row>
      <xdr:rowOff>114848</xdr:rowOff>
    </xdr:to>
    <xdr:grpSp>
      <xdr:nvGrpSpPr>
        <xdr:cNvPr id="4" name="Grupo 3">
          <a:extLst>
            <a:ext uri="{FF2B5EF4-FFF2-40B4-BE49-F238E27FC236}">
              <a16:creationId xmlns:a16="http://schemas.microsoft.com/office/drawing/2014/main" id="{CBC4D2D8-7A8B-A3E6-A185-4E7ECAE54F8E}"/>
            </a:ext>
          </a:extLst>
        </xdr:cNvPr>
        <xdr:cNvGrpSpPr/>
      </xdr:nvGrpSpPr>
      <xdr:grpSpPr>
        <a:xfrm>
          <a:off x="762000" y="2914650"/>
          <a:ext cx="7086600" cy="4058198"/>
          <a:chOff x="762000" y="2914650"/>
          <a:chExt cx="7086600" cy="4058198"/>
        </a:xfrm>
      </xdr:grpSpPr>
      <xdr:pic>
        <xdr:nvPicPr>
          <xdr:cNvPr id="2" name="Imagen 1">
            <a:extLst>
              <a:ext uri="{FF2B5EF4-FFF2-40B4-BE49-F238E27FC236}">
                <a16:creationId xmlns:a16="http://schemas.microsoft.com/office/drawing/2014/main" id="{D2859292-327F-3E44-CEE0-9A3A6A34F9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62000" y="3048000"/>
            <a:ext cx="6525536" cy="3924848"/>
          </a:xfrm>
          <a:prstGeom prst="rect">
            <a:avLst/>
          </a:prstGeom>
        </xdr:spPr>
      </xdr:pic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D1281D8B-6652-665A-C686-4EA3A6CAB237}"/>
              </a:ext>
            </a:extLst>
          </xdr:cNvPr>
          <xdr:cNvSpPr/>
        </xdr:nvSpPr>
        <xdr:spPr>
          <a:xfrm>
            <a:off x="4857750" y="2914650"/>
            <a:ext cx="2990850" cy="2228850"/>
          </a:xfrm>
          <a:prstGeom prst="rect">
            <a:avLst/>
          </a:prstGeom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48</xdr:row>
      <xdr:rowOff>0</xdr:rowOff>
    </xdr:from>
    <xdr:to>
      <xdr:col>2</xdr:col>
      <xdr:colOff>848370</xdr:colOff>
      <xdr:row>70</xdr:row>
      <xdr:rowOff>95848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6851DD8-C58E-5356-81A6-659FD4C70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9134475"/>
          <a:ext cx="4620270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2:W65"/>
  <sheetViews>
    <sheetView showGridLines="0" workbookViewId="0">
      <selection activeCell="F157" sqref="F157"/>
    </sheetView>
  </sheetViews>
  <sheetFormatPr baseColWidth="10" defaultRowHeight="15" x14ac:dyDescent="0.25"/>
  <cols>
    <col min="18" max="18" width="25" style="2" customWidth="1"/>
    <col min="19" max="19" width="2" style="2" bestFit="1" customWidth="1"/>
  </cols>
  <sheetData>
    <row r="2" spans="2:22" s="26" customFormat="1" x14ac:dyDescent="0.25">
      <c r="B2" s="27" t="s">
        <v>73</v>
      </c>
    </row>
    <row r="3" spans="2:22" x14ac:dyDescent="0.25">
      <c r="R3" s="59"/>
      <c r="S3" s="59"/>
    </row>
    <row r="4" spans="2:22" ht="15.75" x14ac:dyDescent="0.25">
      <c r="B4" s="1" t="s">
        <v>0</v>
      </c>
      <c r="R4" s="58" t="s">
        <v>1</v>
      </c>
      <c r="S4" s="59"/>
    </row>
    <row r="5" spans="2:22" x14ac:dyDescent="0.25">
      <c r="R5" s="58" t="s">
        <v>2</v>
      </c>
      <c r="S5" s="59"/>
    </row>
    <row r="6" spans="2:22" x14ac:dyDescent="0.25">
      <c r="R6" s="61" t="s">
        <v>3</v>
      </c>
      <c r="S6" s="59" t="s">
        <v>4</v>
      </c>
      <c r="T6" s="60">
        <f>V6/V7</f>
        <v>0.41146770268023158</v>
      </c>
      <c r="U6" s="60" t="s">
        <v>189</v>
      </c>
      <c r="V6" s="60">
        <v>27219</v>
      </c>
    </row>
    <row r="7" spans="2:22" x14ac:dyDescent="0.25">
      <c r="R7" s="62" t="s">
        <v>5</v>
      </c>
      <c r="S7" s="59"/>
      <c r="U7" s="60" t="s">
        <v>190</v>
      </c>
      <c r="V7" s="60">
        <v>66151</v>
      </c>
    </row>
    <row r="8" spans="2:22" x14ac:dyDescent="0.25">
      <c r="R8" s="59"/>
      <c r="S8" s="59"/>
    </row>
    <row r="9" spans="2:22" x14ac:dyDescent="0.25">
      <c r="R9"/>
      <c r="S9"/>
    </row>
    <row r="10" spans="2:22" x14ac:dyDescent="0.25">
      <c r="R10" s="59"/>
      <c r="S10" s="59"/>
    </row>
    <row r="11" spans="2:22" x14ac:dyDescent="0.25">
      <c r="R11" s="58" t="s">
        <v>6</v>
      </c>
      <c r="S11" s="59"/>
    </row>
    <row r="12" spans="2:22" x14ac:dyDescent="0.25">
      <c r="R12" s="61" t="s">
        <v>5</v>
      </c>
      <c r="S12" s="59" t="s">
        <v>4</v>
      </c>
      <c r="T12" s="60">
        <f>V12/V13</f>
        <v>1.6991420939073256</v>
      </c>
      <c r="U12" s="60" t="s">
        <v>190</v>
      </c>
      <c r="V12" s="60">
        <v>66151</v>
      </c>
    </row>
    <row r="13" spans="2:22" x14ac:dyDescent="0.25">
      <c r="R13" s="62" t="s">
        <v>7</v>
      </c>
      <c r="S13" s="59"/>
      <c r="U13" s="60" t="s">
        <v>191</v>
      </c>
      <c r="V13" s="60">
        <v>38932</v>
      </c>
    </row>
    <row r="14" spans="2:22" x14ac:dyDescent="0.25">
      <c r="R14" s="59"/>
      <c r="S14" s="59"/>
    </row>
    <row r="15" spans="2:22" x14ac:dyDescent="0.25">
      <c r="R15" s="59"/>
      <c r="S15" s="59"/>
    </row>
    <row r="16" spans="2:22" x14ac:dyDescent="0.25">
      <c r="R16" s="59"/>
      <c r="S16" s="59"/>
    </row>
    <row r="17" spans="18:23" x14ac:dyDescent="0.25">
      <c r="R17" s="58" t="s">
        <v>8</v>
      </c>
      <c r="S17" s="59"/>
    </row>
    <row r="18" spans="18:23" x14ac:dyDescent="0.25">
      <c r="R18" s="58" t="s">
        <v>9</v>
      </c>
      <c r="S18" s="59"/>
    </row>
    <row r="19" spans="18:23" x14ac:dyDescent="0.25">
      <c r="R19" s="61" t="s">
        <v>10</v>
      </c>
      <c r="S19" s="59" t="s">
        <v>4</v>
      </c>
      <c r="T19" s="60">
        <f>U19/U20</f>
        <v>0.58833577354807221</v>
      </c>
      <c r="U19" s="60">
        <v>14466</v>
      </c>
    </row>
    <row r="20" spans="18:23" x14ac:dyDescent="0.25">
      <c r="R20" s="62" t="s">
        <v>11</v>
      </c>
      <c r="S20" s="59"/>
      <c r="U20" s="60">
        <v>24588</v>
      </c>
    </row>
    <row r="21" spans="18:23" x14ac:dyDescent="0.25">
      <c r="R21"/>
      <c r="S21"/>
    </row>
    <row r="22" spans="18:23" x14ac:dyDescent="0.25">
      <c r="R22"/>
      <c r="S22"/>
    </row>
    <row r="23" spans="18:23" x14ac:dyDescent="0.25">
      <c r="R23" s="59"/>
      <c r="S23" s="59"/>
    </row>
    <row r="24" spans="18:23" x14ac:dyDescent="0.25">
      <c r="R24" s="58" t="s">
        <v>12</v>
      </c>
      <c r="S24" s="59"/>
    </row>
    <row r="25" spans="18:23" x14ac:dyDescent="0.25">
      <c r="R25" s="61" t="s">
        <v>13</v>
      </c>
      <c r="S25" s="59" t="s">
        <v>4</v>
      </c>
      <c r="T25" s="60">
        <f>U25/U26</f>
        <v>0.30689767366194892</v>
      </c>
      <c r="U25" s="60">
        <f>U19-6920</f>
        <v>7546</v>
      </c>
      <c r="W25" s="60" t="s">
        <v>192</v>
      </c>
    </row>
    <row r="26" spans="18:23" x14ac:dyDescent="0.25">
      <c r="R26" s="62" t="s">
        <v>11</v>
      </c>
      <c r="S26" s="59"/>
      <c r="U26" s="60">
        <f>U20</f>
        <v>24588</v>
      </c>
    </row>
    <row r="27" spans="18:23" x14ac:dyDescent="0.25">
      <c r="R27" s="59"/>
      <c r="S27" s="59"/>
    </row>
    <row r="28" spans="18:23" x14ac:dyDescent="0.25">
      <c r="R28" s="58" t="s">
        <v>14</v>
      </c>
      <c r="S28" s="59"/>
    </row>
    <row r="29" spans="18:23" x14ac:dyDescent="0.25">
      <c r="R29" s="58" t="s">
        <v>15</v>
      </c>
      <c r="S29" s="59"/>
    </row>
    <row r="30" spans="18:23" x14ac:dyDescent="0.25">
      <c r="R30" s="61" t="s">
        <v>15</v>
      </c>
      <c r="S30" s="59" t="s">
        <v>4</v>
      </c>
      <c r="T30" s="60">
        <f>U30/U31</f>
        <v>0.14097756513868234</v>
      </c>
      <c r="U30" s="60">
        <v>4361</v>
      </c>
      <c r="W30" s="60" t="s">
        <v>193</v>
      </c>
    </row>
    <row r="31" spans="18:23" x14ac:dyDescent="0.25">
      <c r="R31" s="62" t="s">
        <v>16</v>
      </c>
      <c r="S31" s="59"/>
      <c r="U31" s="60">
        <v>30934</v>
      </c>
    </row>
    <row r="32" spans="18:23" x14ac:dyDescent="0.25">
      <c r="R32" s="59"/>
      <c r="S32" s="59"/>
    </row>
    <row r="33" spans="18:21" x14ac:dyDescent="0.25">
      <c r="R33"/>
      <c r="S33"/>
    </row>
    <row r="34" spans="18:21" x14ac:dyDescent="0.25">
      <c r="R34"/>
      <c r="S34"/>
    </row>
    <row r="35" spans="18:21" x14ac:dyDescent="0.25">
      <c r="R35" s="59"/>
      <c r="S35" s="59"/>
    </row>
    <row r="36" spans="18:21" x14ac:dyDescent="0.25">
      <c r="R36" s="58" t="s">
        <v>17</v>
      </c>
      <c r="S36" s="59"/>
    </row>
    <row r="37" spans="18:21" x14ac:dyDescent="0.25">
      <c r="R37" s="61" t="s">
        <v>18</v>
      </c>
      <c r="S37" s="59" t="s">
        <v>4</v>
      </c>
      <c r="T37" s="60">
        <f>U37/U38</f>
        <v>3.2153708938640384E-2</v>
      </c>
      <c r="U37" s="60">
        <v>2127</v>
      </c>
    </row>
    <row r="38" spans="18:21" x14ac:dyDescent="0.25">
      <c r="R38" s="62" t="s">
        <v>19</v>
      </c>
      <c r="S38" s="59"/>
      <c r="U38" s="60">
        <f>V12</f>
        <v>66151</v>
      </c>
    </row>
    <row r="39" spans="18:21" x14ac:dyDescent="0.25">
      <c r="R39" s="59"/>
      <c r="S39" s="59"/>
    </row>
    <row r="40" spans="18:21" x14ac:dyDescent="0.25">
      <c r="R40" s="59"/>
      <c r="S40" s="59"/>
    </row>
    <row r="41" spans="18:21" x14ac:dyDescent="0.25">
      <c r="R41" s="59"/>
      <c r="S41" s="59"/>
    </row>
    <row r="42" spans="18:21" x14ac:dyDescent="0.25">
      <c r="R42" s="59"/>
      <c r="S42" s="59"/>
    </row>
    <row r="43" spans="18:21" x14ac:dyDescent="0.25">
      <c r="R43" s="58" t="s">
        <v>20</v>
      </c>
      <c r="S43" s="59"/>
    </row>
    <row r="44" spans="18:21" x14ac:dyDescent="0.25">
      <c r="R44" s="61" t="s">
        <v>18</v>
      </c>
      <c r="S44" s="59" t="s">
        <v>4</v>
      </c>
      <c r="T44" s="60">
        <f>U44/U45</f>
        <v>7.8143943568830601E-2</v>
      </c>
      <c r="U44" s="60">
        <v>2127</v>
      </c>
    </row>
    <row r="45" spans="18:21" x14ac:dyDescent="0.25">
      <c r="R45" s="62" t="s">
        <v>3</v>
      </c>
      <c r="S45" s="59"/>
      <c r="U45" s="60">
        <v>27219</v>
      </c>
    </row>
    <row r="46" spans="18:21" x14ac:dyDescent="0.25">
      <c r="R46"/>
      <c r="S46"/>
    </row>
    <row r="47" spans="18:21" x14ac:dyDescent="0.25">
      <c r="R47"/>
      <c r="S47"/>
    </row>
    <row r="48" spans="18:21" x14ac:dyDescent="0.25">
      <c r="R48" s="59"/>
      <c r="S48" s="59"/>
    </row>
    <row r="49" spans="18:21" x14ac:dyDescent="0.25">
      <c r="R49" s="59"/>
      <c r="S49" s="59"/>
    </row>
    <row r="50" spans="18:21" x14ac:dyDescent="0.25">
      <c r="R50" s="59"/>
      <c r="S50" s="59"/>
    </row>
    <row r="51" spans="18:21" x14ac:dyDescent="0.25">
      <c r="R51" s="58" t="s">
        <v>21</v>
      </c>
      <c r="S51" s="59"/>
    </row>
    <row r="52" spans="18:21" x14ac:dyDescent="0.25">
      <c r="R52" s="61" t="s">
        <v>16</v>
      </c>
      <c r="S52" s="59" t="s">
        <v>4</v>
      </c>
      <c r="T52" s="60">
        <f>U52/U53</f>
        <v>0.4676270955843449</v>
      </c>
      <c r="U52" s="60">
        <v>30934</v>
      </c>
    </row>
    <row r="53" spans="18:21" x14ac:dyDescent="0.25">
      <c r="R53" s="62" t="s">
        <v>5</v>
      </c>
      <c r="S53" s="59"/>
      <c r="U53" s="60">
        <v>66151</v>
      </c>
    </row>
    <row r="54" spans="18:21" x14ac:dyDescent="0.25">
      <c r="R54" s="59"/>
      <c r="S54" s="59"/>
    </row>
    <row r="55" spans="18:21" x14ac:dyDescent="0.25">
      <c r="R55" s="59"/>
      <c r="S55" s="59"/>
    </row>
    <row r="56" spans="18:21" x14ac:dyDescent="0.25">
      <c r="R56" s="59"/>
      <c r="S56" s="59"/>
    </row>
    <row r="57" spans="18:21" x14ac:dyDescent="0.25">
      <c r="R57" s="58" t="s">
        <v>22</v>
      </c>
      <c r="S57" s="59"/>
    </row>
    <row r="58" spans="18:21" x14ac:dyDescent="0.25">
      <c r="R58" s="61" t="s">
        <v>18</v>
      </c>
      <c r="S58" s="59" t="s">
        <v>4</v>
      </c>
      <c r="T58" s="60">
        <f>U58/U59</f>
        <v>6.8759293980733174E-2</v>
      </c>
      <c r="U58" s="60">
        <v>2127</v>
      </c>
    </row>
    <row r="59" spans="18:21" x14ac:dyDescent="0.25">
      <c r="R59" s="62" t="s">
        <v>16</v>
      </c>
      <c r="S59" s="59"/>
      <c r="U59" s="60">
        <v>30934</v>
      </c>
    </row>
    <row r="60" spans="18:21" x14ac:dyDescent="0.25">
      <c r="R60"/>
      <c r="S60"/>
    </row>
    <row r="61" spans="18:21" x14ac:dyDescent="0.25">
      <c r="R61"/>
      <c r="S61"/>
    </row>
    <row r="62" spans="18:21" x14ac:dyDescent="0.25">
      <c r="R62"/>
      <c r="S62"/>
    </row>
    <row r="63" spans="18:21" x14ac:dyDescent="0.25">
      <c r="R63"/>
      <c r="S63"/>
    </row>
    <row r="64" spans="18:21" x14ac:dyDescent="0.25">
      <c r="R64"/>
      <c r="S64"/>
    </row>
    <row r="65" spans="18:19" x14ac:dyDescent="0.25">
      <c r="R65"/>
      <c r="S65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2:U34"/>
  <sheetViews>
    <sheetView showGridLines="0" topLeftCell="D1" workbookViewId="0">
      <selection sqref="A1:W18"/>
    </sheetView>
  </sheetViews>
  <sheetFormatPr baseColWidth="10" defaultRowHeight="15" outlineLevelRow="1" x14ac:dyDescent="0.25"/>
  <cols>
    <col min="3" max="3" width="31.140625" bestFit="1" customWidth="1"/>
    <col min="4" max="4" width="9.85546875" bestFit="1" customWidth="1"/>
    <col min="6" max="6" width="2" bestFit="1" customWidth="1"/>
    <col min="7" max="7" width="4.5703125" bestFit="1" customWidth="1"/>
  </cols>
  <sheetData>
    <row r="2" spans="2:21" s="26" customFormat="1" x14ac:dyDescent="0.25">
      <c r="B2" s="27" t="s">
        <v>73</v>
      </c>
    </row>
    <row r="4" spans="2:21" ht="15.75" x14ac:dyDescent="0.25">
      <c r="B4" s="3" t="s">
        <v>23</v>
      </c>
    </row>
    <row r="5" spans="2:21" ht="15.75" thickBot="1" x14ac:dyDescent="0.3"/>
    <row r="6" spans="2:21" x14ac:dyDescent="0.25">
      <c r="C6" s="4" t="s">
        <v>24</v>
      </c>
      <c r="D6" s="5"/>
      <c r="E6" s="58"/>
    </row>
    <row r="7" spans="2:21" x14ac:dyDescent="0.25">
      <c r="C7" s="6" t="s">
        <v>25</v>
      </c>
      <c r="D7" s="7">
        <v>70000</v>
      </c>
      <c r="E7" s="59" t="s">
        <v>167</v>
      </c>
      <c r="I7" s="60" t="s">
        <v>168</v>
      </c>
      <c r="M7" s="58" t="s">
        <v>6</v>
      </c>
    </row>
    <row r="8" spans="2:21" x14ac:dyDescent="0.25">
      <c r="C8" s="6" t="s">
        <v>26</v>
      </c>
      <c r="D8" s="7">
        <v>55000</v>
      </c>
      <c r="E8" s="59" t="s">
        <v>169</v>
      </c>
      <c r="I8" s="60">
        <f>SUMIF(E7:E14,"=activo",D7:D14)</f>
        <v>400500</v>
      </c>
      <c r="J8" s="60">
        <f>SUMIF(E7:E14,"=pasivo",D7:D14)</f>
        <v>235000</v>
      </c>
      <c r="K8" s="60">
        <f>I8-J8</f>
        <v>165500</v>
      </c>
      <c r="M8" s="61" t="s">
        <v>5</v>
      </c>
      <c r="O8" s="60">
        <f>P8/P9</f>
        <v>1.7042553191489362</v>
      </c>
      <c r="P8" s="60">
        <v>400500</v>
      </c>
      <c r="Q8" s="75" t="s">
        <v>170</v>
      </c>
      <c r="R8" s="76"/>
      <c r="S8" s="76"/>
      <c r="T8" s="76"/>
      <c r="U8" s="76"/>
    </row>
    <row r="9" spans="2:21" ht="15" customHeight="1" x14ac:dyDescent="0.25">
      <c r="C9" s="6" t="s">
        <v>27</v>
      </c>
      <c r="D9" s="7">
        <v>45000</v>
      </c>
      <c r="E9" s="59" t="s">
        <v>169</v>
      </c>
      <c r="M9" s="62" t="s">
        <v>7</v>
      </c>
      <c r="P9" s="60">
        <v>235000</v>
      </c>
      <c r="Q9" s="76"/>
      <c r="R9" s="76"/>
      <c r="S9" s="76"/>
      <c r="T9" s="76"/>
      <c r="U9" s="76"/>
    </row>
    <row r="10" spans="2:21" x14ac:dyDescent="0.25">
      <c r="C10" s="8" t="s">
        <v>28</v>
      </c>
      <c r="D10" s="7">
        <v>32500</v>
      </c>
      <c r="E10" s="59" t="s">
        <v>167</v>
      </c>
      <c r="Q10" s="76"/>
      <c r="R10" s="76"/>
      <c r="S10" s="76"/>
      <c r="T10" s="76"/>
      <c r="U10" s="76"/>
    </row>
    <row r="11" spans="2:21" x14ac:dyDescent="0.25">
      <c r="C11" s="6" t="s">
        <v>29</v>
      </c>
      <c r="D11" s="7">
        <v>54000</v>
      </c>
      <c r="E11" s="59" t="s">
        <v>169</v>
      </c>
    </row>
    <row r="12" spans="2:21" x14ac:dyDescent="0.25">
      <c r="C12" s="6" t="s">
        <v>30</v>
      </c>
      <c r="D12" s="7">
        <v>81000</v>
      </c>
      <c r="E12" s="59" t="s">
        <v>169</v>
      </c>
      <c r="L12" s="63" t="s">
        <v>8</v>
      </c>
    </row>
    <row r="13" spans="2:21" x14ac:dyDescent="0.25">
      <c r="C13" s="6" t="s">
        <v>31</v>
      </c>
      <c r="D13" s="7">
        <v>153000</v>
      </c>
      <c r="E13" s="59" t="s">
        <v>167</v>
      </c>
      <c r="L13" s="63" t="s">
        <v>9</v>
      </c>
    </row>
    <row r="14" spans="2:21" ht="15.75" thickBot="1" x14ac:dyDescent="0.3">
      <c r="C14" s="9" t="s">
        <v>32</v>
      </c>
      <c r="D14" s="10">
        <v>145000</v>
      </c>
      <c r="E14" s="59" t="s">
        <v>167</v>
      </c>
      <c r="L14" s="64" t="s">
        <v>10</v>
      </c>
      <c r="M14" s="65" t="s">
        <v>171</v>
      </c>
      <c r="N14" s="60">
        <f>O14/O15</f>
        <v>3.0236686390532546</v>
      </c>
      <c r="O14" s="60">
        <f>400500-145000</f>
        <v>255500</v>
      </c>
      <c r="Q14" s="75" t="s">
        <v>172</v>
      </c>
      <c r="R14" s="76"/>
      <c r="S14" s="76"/>
      <c r="T14" s="76"/>
      <c r="U14" s="76"/>
    </row>
    <row r="15" spans="2:21" x14ac:dyDescent="0.25">
      <c r="H15" s="60"/>
      <c r="I15" s="60"/>
      <c r="J15" s="60"/>
      <c r="L15" s="66" t="s">
        <v>11</v>
      </c>
      <c r="O15" s="60">
        <f>165500-81000</f>
        <v>84500</v>
      </c>
      <c r="Q15" s="76"/>
      <c r="R15" s="76"/>
      <c r="S15" s="76"/>
      <c r="T15" s="76"/>
      <c r="U15" s="76"/>
    </row>
    <row r="16" spans="2:21" x14ac:dyDescent="0.25">
      <c r="H16" s="60"/>
      <c r="I16" s="60"/>
      <c r="J16" s="60"/>
      <c r="Q16" s="76"/>
      <c r="R16" s="76"/>
      <c r="S16" s="76"/>
      <c r="T16" s="76"/>
      <c r="U16" s="76"/>
    </row>
    <row r="17" spans="2:7" s="26" customFormat="1" x14ac:dyDescent="0.25">
      <c r="B17" s="27" t="s">
        <v>42</v>
      </c>
    </row>
    <row r="19" spans="2:7" hidden="1" outlineLevel="1" x14ac:dyDescent="0.25"/>
    <row r="20" spans="2:7" hidden="1" outlineLevel="1" x14ac:dyDescent="0.25">
      <c r="C20" s="2" t="s">
        <v>33</v>
      </c>
      <c r="D20" s="11">
        <f>+D7+D10+D13+D14</f>
        <v>400500</v>
      </c>
      <c r="E20" s="2"/>
    </row>
    <row r="21" spans="2:7" hidden="1" outlineLevel="1" x14ac:dyDescent="0.25">
      <c r="C21" s="2" t="s">
        <v>34</v>
      </c>
      <c r="D21" s="11">
        <f>+D8+D9+D11+D12</f>
        <v>235000</v>
      </c>
      <c r="E21" s="2"/>
    </row>
    <row r="22" spans="2:7" hidden="1" outlineLevel="1" x14ac:dyDescent="0.25">
      <c r="C22" s="12" t="s">
        <v>35</v>
      </c>
      <c r="D22" s="13">
        <f>+D20-D21</f>
        <v>165500</v>
      </c>
      <c r="E22" s="2"/>
    </row>
    <row r="23" spans="2:7" hidden="1" outlineLevel="1" x14ac:dyDescent="0.25"/>
    <row r="24" spans="2:7" hidden="1" outlineLevel="1" x14ac:dyDescent="0.25"/>
    <row r="25" spans="2:7" hidden="1" outlineLevel="1" x14ac:dyDescent="0.25">
      <c r="C25" t="s">
        <v>6</v>
      </c>
    </row>
    <row r="26" spans="2:7" ht="17.25" hidden="1" outlineLevel="1" x14ac:dyDescent="0.25">
      <c r="C26" s="14" t="s">
        <v>5</v>
      </c>
      <c r="D26" t="s">
        <v>4</v>
      </c>
      <c r="E26" s="15">
        <f>+D20</f>
        <v>400500</v>
      </c>
      <c r="F26" s="16" t="s">
        <v>4</v>
      </c>
      <c r="G26" s="17">
        <f>+E26/E27</f>
        <v>1.7042553191489362</v>
      </c>
    </row>
    <row r="27" spans="2:7" hidden="1" outlineLevel="1" x14ac:dyDescent="0.25">
      <c r="C27" s="18" t="s">
        <v>7</v>
      </c>
      <c r="E27" s="19">
        <f>+D21</f>
        <v>235000</v>
      </c>
      <c r="F27" s="16"/>
    </row>
    <row r="28" spans="2:7" hidden="1" outlineLevel="1" x14ac:dyDescent="0.25"/>
    <row r="29" spans="2:7" hidden="1" outlineLevel="1" x14ac:dyDescent="0.25"/>
    <row r="30" spans="2:7" hidden="1" outlineLevel="1" x14ac:dyDescent="0.25">
      <c r="C30" t="s">
        <v>36</v>
      </c>
    </row>
    <row r="31" spans="2:7" hidden="1" outlineLevel="1" x14ac:dyDescent="0.25">
      <c r="C31" s="14" t="s">
        <v>10</v>
      </c>
      <c r="D31" t="s">
        <v>4</v>
      </c>
      <c r="E31" s="20">
        <f>+E26-D14</f>
        <v>255500</v>
      </c>
      <c r="F31" s="16" t="s">
        <v>4</v>
      </c>
      <c r="G31" s="17">
        <f>+E31/E32</f>
        <v>1.6590909090909092</v>
      </c>
    </row>
    <row r="32" spans="2:7" hidden="1" outlineLevel="1" x14ac:dyDescent="0.25">
      <c r="C32" s="18" t="s">
        <v>11</v>
      </c>
      <c r="E32" s="19">
        <f>+E27-D12</f>
        <v>154000</v>
      </c>
      <c r="F32" s="16"/>
    </row>
    <row r="33" hidden="1" outlineLevel="1" x14ac:dyDescent="0.25"/>
    <row r="34" collapsed="1" x14ac:dyDescent="0.25"/>
  </sheetData>
  <mergeCells count="2">
    <mergeCell ref="Q8:U10"/>
    <mergeCell ref="Q14:U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O33"/>
  <sheetViews>
    <sheetView showGridLines="0" workbookViewId="0">
      <selection activeCell="A2" sqref="A2:S18"/>
    </sheetView>
  </sheetViews>
  <sheetFormatPr baseColWidth="10" defaultRowHeight="15" outlineLevelRow="1" x14ac:dyDescent="0.25"/>
  <cols>
    <col min="3" max="3" width="31.140625" bestFit="1" customWidth="1"/>
    <col min="4" max="4" width="9.85546875" bestFit="1" customWidth="1"/>
    <col min="6" max="6" width="2" bestFit="1" customWidth="1"/>
    <col min="7" max="7" width="4.5703125" bestFit="1" customWidth="1"/>
  </cols>
  <sheetData>
    <row r="2" spans="2:15" s="26" customFormat="1" x14ac:dyDescent="0.25">
      <c r="B2" s="27" t="s">
        <v>73</v>
      </c>
    </row>
    <row r="4" spans="2:15" ht="15.75" x14ac:dyDescent="0.25">
      <c r="B4" s="3" t="s">
        <v>23</v>
      </c>
    </row>
    <row r="5" spans="2:15" ht="15.75" thickBot="1" x14ac:dyDescent="0.3"/>
    <row r="6" spans="2:15" x14ac:dyDescent="0.25">
      <c r="C6" s="4" t="s">
        <v>24</v>
      </c>
      <c r="D6" s="5"/>
      <c r="E6" s="58"/>
    </row>
    <row r="7" spans="2:15" x14ac:dyDescent="0.25">
      <c r="C7" s="6" t="s">
        <v>25</v>
      </c>
      <c r="D7" s="7">
        <v>80000</v>
      </c>
      <c r="E7" s="59" t="s">
        <v>167</v>
      </c>
      <c r="H7" s="60" t="s">
        <v>168</v>
      </c>
      <c r="L7" s="58" t="s">
        <v>6</v>
      </c>
    </row>
    <row r="8" spans="2:15" ht="17.25" x14ac:dyDescent="0.4">
      <c r="C8" s="6" t="s">
        <v>26</v>
      </c>
      <c r="D8" s="7">
        <v>60000</v>
      </c>
      <c r="E8" s="59" t="s">
        <v>169</v>
      </c>
      <c r="H8" s="67">
        <f>SUMIF(E7:E14,"=activo",D7:D14)</f>
        <v>333000</v>
      </c>
      <c r="I8" s="67">
        <f>SUMIF(E7:E14,"=pasivo",D7:D14)</f>
        <v>180000</v>
      </c>
      <c r="J8" s="60">
        <f>H8-I8</f>
        <v>153000</v>
      </c>
      <c r="L8" s="61" t="s">
        <v>5</v>
      </c>
      <c r="M8" s="60">
        <f>N8/N9</f>
        <v>1.85</v>
      </c>
      <c r="N8" s="60">
        <v>333000</v>
      </c>
    </row>
    <row r="9" spans="2:15" x14ac:dyDescent="0.25">
      <c r="C9" s="6" t="s">
        <v>27</v>
      </c>
      <c r="D9" s="7">
        <v>35000</v>
      </c>
      <c r="E9" s="59" t="s">
        <v>169</v>
      </c>
      <c r="L9" s="62" t="s">
        <v>7</v>
      </c>
      <c r="N9" s="60">
        <v>180000</v>
      </c>
    </row>
    <row r="10" spans="2:15" x14ac:dyDescent="0.25">
      <c r="C10" s="8" t="s">
        <v>28</v>
      </c>
      <c r="D10" s="7">
        <v>28000</v>
      </c>
      <c r="E10" s="59" t="s">
        <v>167</v>
      </c>
    </row>
    <row r="11" spans="2:15" x14ac:dyDescent="0.25">
      <c r="C11" s="6" t="s">
        <v>29</v>
      </c>
      <c r="D11" s="7">
        <v>30000</v>
      </c>
      <c r="E11" s="59" t="s">
        <v>169</v>
      </c>
    </row>
    <row r="12" spans="2:15" x14ac:dyDescent="0.25">
      <c r="C12" s="6" t="s">
        <v>30</v>
      </c>
      <c r="D12" s="7">
        <v>55000</v>
      </c>
      <c r="E12" s="59" t="s">
        <v>169</v>
      </c>
      <c r="L12" s="63" t="s">
        <v>8</v>
      </c>
    </row>
    <row r="13" spans="2:15" x14ac:dyDescent="0.25">
      <c r="C13" s="6" t="s">
        <v>31</v>
      </c>
      <c r="D13" s="7">
        <v>105000</v>
      </c>
      <c r="E13" s="59" t="s">
        <v>167</v>
      </c>
      <c r="L13" s="63" t="s">
        <v>9</v>
      </c>
    </row>
    <row r="14" spans="2:15" ht="15.75" thickBot="1" x14ac:dyDescent="0.3">
      <c r="C14" s="9" t="s">
        <v>32</v>
      </c>
      <c r="D14" s="10">
        <v>120000</v>
      </c>
      <c r="E14" s="59" t="s">
        <v>167</v>
      </c>
      <c r="L14" s="64" t="s">
        <v>10</v>
      </c>
      <c r="N14" s="60">
        <f>O14/O15</f>
        <v>1.704</v>
      </c>
      <c r="O14" s="60">
        <f>333000-120000</f>
        <v>213000</v>
      </c>
    </row>
    <row r="15" spans="2:15" x14ac:dyDescent="0.25">
      <c r="H15" s="60"/>
      <c r="I15" s="60"/>
      <c r="J15" s="60"/>
      <c r="L15" s="66" t="s">
        <v>11</v>
      </c>
      <c r="O15" s="60">
        <f>180000-55000</f>
        <v>125000</v>
      </c>
    </row>
    <row r="18" spans="2:7" s="26" customFormat="1" x14ac:dyDescent="0.25">
      <c r="B18" s="27" t="s">
        <v>42</v>
      </c>
    </row>
    <row r="19" spans="2:7" hidden="1" outlineLevel="1" x14ac:dyDescent="0.25"/>
    <row r="20" spans="2:7" hidden="1" outlineLevel="1" x14ac:dyDescent="0.25">
      <c r="C20" s="2" t="s">
        <v>33</v>
      </c>
      <c r="D20" s="11">
        <f>+D7+D10+D13+D14</f>
        <v>333000</v>
      </c>
      <c r="E20" s="2"/>
    </row>
    <row r="21" spans="2:7" hidden="1" outlineLevel="1" x14ac:dyDescent="0.25">
      <c r="C21" s="2" t="s">
        <v>34</v>
      </c>
      <c r="D21" s="11">
        <f>+D8+D9+D11+D12</f>
        <v>180000</v>
      </c>
      <c r="E21" s="2"/>
    </row>
    <row r="22" spans="2:7" hidden="1" outlineLevel="1" x14ac:dyDescent="0.25">
      <c r="C22" s="12" t="s">
        <v>35</v>
      </c>
      <c r="D22" s="13">
        <f>+D20-D21</f>
        <v>153000</v>
      </c>
      <c r="E22" s="2"/>
    </row>
    <row r="23" spans="2:7" hidden="1" outlineLevel="1" x14ac:dyDescent="0.25"/>
    <row r="24" spans="2:7" hidden="1" outlineLevel="1" x14ac:dyDescent="0.25"/>
    <row r="25" spans="2:7" hidden="1" outlineLevel="1" x14ac:dyDescent="0.25">
      <c r="C25" t="s">
        <v>6</v>
      </c>
    </row>
    <row r="26" spans="2:7" ht="17.25" hidden="1" outlineLevel="1" x14ac:dyDescent="0.25">
      <c r="C26" s="14" t="s">
        <v>5</v>
      </c>
      <c r="D26" t="s">
        <v>4</v>
      </c>
      <c r="E26" s="15">
        <f>+D20</f>
        <v>333000</v>
      </c>
      <c r="F26" s="16" t="s">
        <v>4</v>
      </c>
      <c r="G26" s="17">
        <f>+E26/E27</f>
        <v>1.85</v>
      </c>
    </row>
    <row r="27" spans="2:7" hidden="1" outlineLevel="1" x14ac:dyDescent="0.25">
      <c r="C27" s="18" t="s">
        <v>7</v>
      </c>
      <c r="E27" s="19">
        <f>+D21</f>
        <v>180000</v>
      </c>
      <c r="F27" s="16"/>
    </row>
    <row r="28" spans="2:7" hidden="1" outlineLevel="1" x14ac:dyDescent="0.25"/>
    <row r="29" spans="2:7" hidden="1" outlineLevel="1" x14ac:dyDescent="0.25"/>
    <row r="30" spans="2:7" hidden="1" outlineLevel="1" x14ac:dyDescent="0.25">
      <c r="C30" t="s">
        <v>36</v>
      </c>
    </row>
    <row r="31" spans="2:7" hidden="1" outlineLevel="1" x14ac:dyDescent="0.25">
      <c r="C31" s="14" t="s">
        <v>10</v>
      </c>
      <c r="D31" t="s">
        <v>4</v>
      </c>
      <c r="E31" s="20">
        <f>+E26-D14</f>
        <v>213000</v>
      </c>
      <c r="F31" s="16" t="s">
        <v>4</v>
      </c>
      <c r="G31" s="17">
        <f>+E31/E32</f>
        <v>1.704</v>
      </c>
    </row>
    <row r="32" spans="2:7" hidden="1" outlineLevel="1" x14ac:dyDescent="0.25">
      <c r="C32" s="18" t="s">
        <v>11</v>
      </c>
      <c r="E32" s="19">
        <f>+E27-D12</f>
        <v>125000</v>
      </c>
      <c r="F32" s="16"/>
    </row>
    <row r="33" collapsed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B59D2-013C-420B-A0D9-A8F314A23D58}">
  <sheetPr>
    <tabColor rgb="FF00B050"/>
  </sheetPr>
  <dimension ref="A3:J55"/>
  <sheetViews>
    <sheetView showGridLines="0" zoomScale="115" zoomScaleNormal="115" workbookViewId="0">
      <selection activeCell="M12" sqref="M12"/>
    </sheetView>
  </sheetViews>
  <sheetFormatPr baseColWidth="10" defaultRowHeight="15" x14ac:dyDescent="0.25"/>
  <cols>
    <col min="2" max="2" width="14" bestFit="1" customWidth="1"/>
    <col min="3" max="3" width="9.7109375" customWidth="1"/>
    <col min="4" max="4" width="10.7109375" customWidth="1"/>
    <col min="5" max="5" width="9.7109375" customWidth="1"/>
    <col min="6" max="6" width="10.7109375" customWidth="1"/>
    <col min="7" max="7" width="11.7109375" customWidth="1"/>
    <col min="8" max="8" width="12.7109375" customWidth="1"/>
    <col min="9" max="9" width="13.5703125" customWidth="1"/>
    <col min="10" max="10" width="11.7109375" customWidth="1"/>
  </cols>
  <sheetData>
    <row r="3" spans="1:10" ht="15.75" thickBot="1" x14ac:dyDescent="0.3">
      <c r="B3" t="s">
        <v>131</v>
      </c>
    </row>
    <row r="4" spans="1:10" ht="16.5" customHeight="1" x14ac:dyDescent="0.25">
      <c r="A4" s="42"/>
      <c r="B4" s="79" t="s">
        <v>132</v>
      </c>
      <c r="C4" s="77" t="s">
        <v>133</v>
      </c>
      <c r="D4" s="77"/>
      <c r="E4" s="77" t="s">
        <v>134</v>
      </c>
      <c r="F4" s="77"/>
      <c r="G4" s="81" t="s">
        <v>135</v>
      </c>
      <c r="H4" s="81" t="s">
        <v>136</v>
      </c>
      <c r="I4" s="77" t="s">
        <v>137</v>
      </c>
      <c r="J4" s="78"/>
    </row>
    <row r="5" spans="1:10" ht="28.5" customHeight="1" thickBot="1" x14ac:dyDescent="0.3">
      <c r="B5" s="80"/>
      <c r="C5" s="43" t="s">
        <v>138</v>
      </c>
      <c r="D5" s="43" t="s">
        <v>139</v>
      </c>
      <c r="E5" s="43" t="s">
        <v>138</v>
      </c>
      <c r="F5" s="43" t="s">
        <v>139</v>
      </c>
      <c r="G5" s="82"/>
      <c r="H5" s="82"/>
      <c r="I5" s="44" t="s">
        <v>140</v>
      </c>
      <c r="J5" s="45" t="s">
        <v>141</v>
      </c>
    </row>
    <row r="6" spans="1:10" x14ac:dyDescent="0.25">
      <c r="B6" s="46" t="s">
        <v>142</v>
      </c>
      <c r="C6" s="47">
        <v>8400</v>
      </c>
      <c r="D6" s="48">
        <v>1</v>
      </c>
      <c r="E6" s="47">
        <v>800</v>
      </c>
      <c r="F6" s="48">
        <v>0.75</v>
      </c>
      <c r="G6" s="47">
        <f>+F6*E6+D6*C6</f>
        <v>9000</v>
      </c>
      <c r="H6" s="49">
        <v>22300</v>
      </c>
      <c r="I6" s="49">
        <f>+H6/G6</f>
        <v>2.4777777777777779</v>
      </c>
      <c r="J6" s="49">
        <f>+I6*F6</f>
        <v>1.8583333333333334</v>
      </c>
    </row>
    <row r="7" spans="1:10" x14ac:dyDescent="0.25">
      <c r="B7" s="50" t="s">
        <v>143</v>
      </c>
      <c r="C7" s="37">
        <v>8400</v>
      </c>
      <c r="D7" s="51">
        <v>1</v>
      </c>
      <c r="E7" s="37">
        <v>800</v>
      </c>
      <c r="F7" s="51">
        <v>0.5</v>
      </c>
      <c r="G7" s="37">
        <f>+F7*E7+D7*C7</f>
        <v>8800</v>
      </c>
      <c r="H7" s="52">
        <v>18000</v>
      </c>
      <c r="I7" s="52">
        <f>+H7/G7</f>
        <v>2.0454545454545454</v>
      </c>
      <c r="J7" s="52">
        <f>+I7*F7</f>
        <v>1.0227272727272727</v>
      </c>
    </row>
    <row r="8" spans="1:10" x14ac:dyDescent="0.25">
      <c r="B8" s="50" t="s">
        <v>114</v>
      </c>
      <c r="C8" s="83" t="s">
        <v>144</v>
      </c>
      <c r="D8" s="84"/>
      <c r="E8" s="84"/>
      <c r="F8" s="84"/>
      <c r="G8" s="84"/>
      <c r="H8" s="84"/>
      <c r="I8" s="84"/>
      <c r="J8" s="85"/>
    </row>
    <row r="9" spans="1:10" x14ac:dyDescent="0.25">
      <c r="B9" s="50" t="s">
        <v>145</v>
      </c>
      <c r="C9" s="37">
        <v>8400</v>
      </c>
      <c r="D9" s="51">
        <v>1</v>
      </c>
      <c r="E9" s="37">
        <v>800</v>
      </c>
      <c r="F9" s="51">
        <v>0.75</v>
      </c>
      <c r="G9" s="37">
        <f>+F9*E9+D9*C9</f>
        <v>9000</v>
      </c>
      <c r="H9" s="52">
        <v>6000</v>
      </c>
      <c r="I9" s="52">
        <f>+H9/G9</f>
        <v>0.66666666666666663</v>
      </c>
      <c r="J9" s="52">
        <f>+I9*F9</f>
        <v>0.5</v>
      </c>
    </row>
    <row r="10" spans="1:10" x14ac:dyDescent="0.25">
      <c r="B10" s="50" t="s">
        <v>146</v>
      </c>
      <c r="C10" s="37">
        <v>8400</v>
      </c>
      <c r="D10" s="51">
        <v>1</v>
      </c>
      <c r="E10" s="37">
        <v>800</v>
      </c>
      <c r="F10" s="51">
        <v>0.5</v>
      </c>
      <c r="G10" s="37">
        <f>+F10*E10+D10*C10</f>
        <v>8800</v>
      </c>
      <c r="H10" s="52">
        <v>6000</v>
      </c>
      <c r="I10" s="52">
        <f>+H10/G10</f>
        <v>0.68181818181818177</v>
      </c>
      <c r="J10" s="52">
        <f>+I10*F10</f>
        <v>0.34090909090909088</v>
      </c>
    </row>
    <row r="11" spans="1:10" x14ac:dyDescent="0.25">
      <c r="B11" s="86" t="s">
        <v>147</v>
      </c>
      <c r="C11" s="87"/>
      <c r="D11" s="87"/>
      <c r="E11" s="87"/>
      <c r="F11" s="87"/>
      <c r="G11" s="87"/>
      <c r="H11" s="88"/>
      <c r="I11" s="53">
        <f>+I10+I7+I6</f>
        <v>5.2050505050505045</v>
      </c>
      <c r="J11" s="53">
        <f>+J10+J7+J6</f>
        <v>3.2219696969696967</v>
      </c>
    </row>
    <row r="12" spans="1:10" x14ac:dyDescent="0.25">
      <c r="B12" s="54" t="s">
        <v>148</v>
      </c>
      <c r="I12" s="53">
        <f>+I11*8100</f>
        <v>42160.909090909088</v>
      </c>
    </row>
    <row r="13" spans="1:10" ht="15.75" thickBot="1" x14ac:dyDescent="0.3">
      <c r="B13" s="54" t="s">
        <v>149</v>
      </c>
    </row>
    <row r="14" spans="1:10" x14ac:dyDescent="0.25">
      <c r="B14" s="79" t="s">
        <v>132</v>
      </c>
      <c r="C14" s="77" t="s">
        <v>133</v>
      </c>
      <c r="D14" s="77"/>
      <c r="E14" s="77" t="s">
        <v>134</v>
      </c>
      <c r="F14" s="77"/>
      <c r="G14" s="81" t="s">
        <v>135</v>
      </c>
      <c r="H14" s="81" t="s">
        <v>136</v>
      </c>
      <c r="I14" s="77" t="s">
        <v>137</v>
      </c>
      <c r="J14" s="78"/>
    </row>
    <row r="15" spans="1:10" ht="30.75" thickBot="1" x14ac:dyDescent="0.3">
      <c r="B15" s="80"/>
      <c r="C15" s="43" t="s">
        <v>138</v>
      </c>
      <c r="D15" s="43" t="s">
        <v>139</v>
      </c>
      <c r="E15" s="43" t="s">
        <v>138</v>
      </c>
      <c r="F15" s="43" t="s">
        <v>139</v>
      </c>
      <c r="G15" s="82"/>
      <c r="H15" s="82"/>
      <c r="I15" s="44" t="s">
        <v>140</v>
      </c>
      <c r="J15" s="45" t="s">
        <v>141</v>
      </c>
    </row>
    <row r="16" spans="1:10" x14ac:dyDescent="0.25">
      <c r="B16" s="46" t="s">
        <v>142</v>
      </c>
      <c r="C16" s="47">
        <v>7100</v>
      </c>
      <c r="D16" s="48">
        <v>1</v>
      </c>
      <c r="E16" s="47">
        <v>1000</v>
      </c>
      <c r="F16" s="48">
        <v>0.8</v>
      </c>
      <c r="G16" s="47">
        <f>+F16*E16+D16*C16</f>
        <v>7900</v>
      </c>
      <c r="H16" s="49">
        <v>4200</v>
      </c>
      <c r="I16" s="49">
        <f>+H16/G16</f>
        <v>0.53164556962025311</v>
      </c>
      <c r="J16" s="49">
        <f>+I16*F16</f>
        <v>0.42531645569620252</v>
      </c>
    </row>
    <row r="17" spans="2:10" x14ac:dyDescent="0.25">
      <c r="B17" s="50" t="s">
        <v>143</v>
      </c>
      <c r="C17" s="37">
        <f>+C16</f>
        <v>7100</v>
      </c>
      <c r="D17" s="51">
        <v>1</v>
      </c>
      <c r="E17" s="37">
        <f>+E16</f>
        <v>1000</v>
      </c>
      <c r="F17" s="51">
        <v>0.4</v>
      </c>
      <c r="G17" s="37">
        <f>+F17*E17+D17*C17</f>
        <v>7500</v>
      </c>
      <c r="H17" s="52">
        <v>16000</v>
      </c>
      <c r="I17" s="52">
        <f>+H17/G17</f>
        <v>2.1333333333333333</v>
      </c>
      <c r="J17" s="52">
        <f>+I17*F17</f>
        <v>0.85333333333333339</v>
      </c>
    </row>
    <row r="18" spans="2:10" x14ac:dyDescent="0.25">
      <c r="B18" s="50" t="s">
        <v>114</v>
      </c>
      <c r="C18" s="83" t="s">
        <v>144</v>
      </c>
      <c r="D18" s="84"/>
      <c r="E18" s="84"/>
      <c r="F18" s="84"/>
      <c r="G18" s="84"/>
      <c r="H18" s="84"/>
      <c r="I18" s="84"/>
      <c r="J18" s="85"/>
    </row>
    <row r="19" spans="2:10" x14ac:dyDescent="0.25">
      <c r="B19" s="50" t="s">
        <v>145</v>
      </c>
      <c r="C19" s="37">
        <f>+C17</f>
        <v>7100</v>
      </c>
      <c r="D19" s="51">
        <v>1</v>
      </c>
      <c r="E19" s="37">
        <f>+E17</f>
        <v>1000</v>
      </c>
      <c r="F19" s="51">
        <f>+F16</f>
        <v>0.8</v>
      </c>
      <c r="G19" s="37">
        <f>+F19*E19+D19*C19</f>
        <v>7900</v>
      </c>
      <c r="H19" s="52">
        <v>4000</v>
      </c>
      <c r="I19" s="52">
        <f>+H19/G19</f>
        <v>0.50632911392405067</v>
      </c>
      <c r="J19" s="52">
        <f>+I19*F19</f>
        <v>0.40506329113924056</v>
      </c>
    </row>
    <row r="20" spans="2:10" x14ac:dyDescent="0.25">
      <c r="B20" s="50" t="s">
        <v>146</v>
      </c>
      <c r="C20" s="37">
        <f>+C19</f>
        <v>7100</v>
      </c>
      <c r="D20" s="51">
        <v>1</v>
      </c>
      <c r="E20" s="37">
        <f>+E19</f>
        <v>1000</v>
      </c>
      <c r="F20" s="51">
        <f>+F17</f>
        <v>0.4</v>
      </c>
      <c r="G20" s="37">
        <f>+F20*E20+D20*C20</f>
        <v>7500</v>
      </c>
      <c r="H20" s="52">
        <f>+H19</f>
        <v>4000</v>
      </c>
      <c r="I20" s="52">
        <f>+H20/G20</f>
        <v>0.53333333333333333</v>
      </c>
      <c r="J20" s="52">
        <f>+I20*F20</f>
        <v>0.21333333333333335</v>
      </c>
    </row>
    <row r="21" spans="2:10" x14ac:dyDescent="0.25">
      <c r="B21" s="86" t="s">
        <v>147</v>
      </c>
      <c r="C21" s="87"/>
      <c r="D21" s="87"/>
      <c r="E21" s="87"/>
      <c r="F21" s="87"/>
      <c r="G21" s="87"/>
      <c r="H21" s="88"/>
      <c r="I21" s="53">
        <f>+I20+I17+I16</f>
        <v>3.1983122362869194</v>
      </c>
      <c r="J21" s="53">
        <f>+J20+J17+J16</f>
        <v>1.4919831223628692</v>
      </c>
    </row>
    <row r="22" spans="2:10" ht="15.75" thickBot="1" x14ac:dyDescent="0.3"/>
    <row r="23" spans="2:10" x14ac:dyDescent="0.25">
      <c r="B23" t="s">
        <v>150</v>
      </c>
      <c r="I23" s="77" t="s">
        <v>137</v>
      </c>
      <c r="J23" s="78"/>
    </row>
    <row r="24" spans="2:10" ht="30.75" thickBot="1" x14ac:dyDescent="0.3">
      <c r="I24" s="44" t="s">
        <v>140</v>
      </c>
      <c r="J24" s="45" t="s">
        <v>141</v>
      </c>
    </row>
    <row r="25" spans="2:10" x14ac:dyDescent="0.25">
      <c r="H25" s="37" t="s">
        <v>131</v>
      </c>
      <c r="I25" s="52">
        <f>+I11</f>
        <v>5.2050505050505045</v>
      </c>
      <c r="J25" s="52">
        <f>+I11</f>
        <v>5.2050505050505045</v>
      </c>
    </row>
    <row r="26" spans="2:10" x14ac:dyDescent="0.25">
      <c r="H26" s="37" t="s">
        <v>149</v>
      </c>
      <c r="I26" s="52">
        <f>+I21</f>
        <v>3.1983122362869194</v>
      </c>
      <c r="J26" s="52">
        <f>+J21</f>
        <v>1.4919831223628692</v>
      </c>
    </row>
    <row r="27" spans="2:10" x14ac:dyDescent="0.25">
      <c r="H27" s="37" t="s">
        <v>151</v>
      </c>
      <c r="I27" s="53">
        <f>+I26+I25</f>
        <v>8.4033627413374248</v>
      </c>
      <c r="J27" s="53">
        <f>+J26+J25</f>
        <v>6.6970336274133739</v>
      </c>
    </row>
    <row r="29" spans="2:10" x14ac:dyDescent="0.25">
      <c r="B29" s="54" t="s">
        <v>152</v>
      </c>
      <c r="I29" s="53">
        <f>+I27*6800</f>
        <v>57142.866641094486</v>
      </c>
    </row>
    <row r="30" spans="2:10" x14ac:dyDescent="0.25">
      <c r="B30" s="54" t="s">
        <v>153</v>
      </c>
    </row>
    <row r="31" spans="2:10" x14ac:dyDescent="0.25">
      <c r="B31" t="s">
        <v>154</v>
      </c>
      <c r="I31" s="55">
        <f>300*I27</f>
        <v>2521.0088224012275</v>
      </c>
    </row>
    <row r="32" spans="2:10" x14ac:dyDescent="0.25">
      <c r="B32" t="s">
        <v>155</v>
      </c>
      <c r="I32" s="55">
        <f>1000*J27</f>
        <v>6697.0336274133742</v>
      </c>
    </row>
    <row r="34" spans="2:10" ht="15.75" thickBot="1" x14ac:dyDescent="0.3">
      <c r="B34" s="54" t="s">
        <v>156</v>
      </c>
    </row>
    <row r="35" spans="2:10" x14ac:dyDescent="0.25">
      <c r="B35" s="79" t="s">
        <v>132</v>
      </c>
      <c r="C35" s="77" t="s">
        <v>133</v>
      </c>
      <c r="D35" s="77"/>
      <c r="E35" s="77" t="s">
        <v>134</v>
      </c>
      <c r="F35" s="77"/>
      <c r="G35" s="81" t="s">
        <v>135</v>
      </c>
      <c r="H35" s="81" t="s">
        <v>136</v>
      </c>
      <c r="I35" s="77" t="s">
        <v>137</v>
      </c>
      <c r="J35" s="78"/>
    </row>
    <row r="36" spans="2:10" ht="30.75" thickBot="1" x14ac:dyDescent="0.3">
      <c r="B36" s="80"/>
      <c r="C36" s="43" t="s">
        <v>138</v>
      </c>
      <c r="D36" s="43" t="s">
        <v>139</v>
      </c>
      <c r="E36" s="43" t="s">
        <v>138</v>
      </c>
      <c r="F36" s="43" t="s">
        <v>139</v>
      </c>
      <c r="G36" s="82"/>
      <c r="H36" s="82"/>
      <c r="I36" s="44" t="s">
        <v>140</v>
      </c>
      <c r="J36" s="45" t="s">
        <v>141</v>
      </c>
    </row>
    <row r="37" spans="2:10" x14ac:dyDescent="0.25">
      <c r="B37" s="46" t="s">
        <v>142</v>
      </c>
      <c r="C37" s="47">
        <v>6100</v>
      </c>
      <c r="D37" s="48">
        <v>1</v>
      </c>
      <c r="E37" s="47">
        <v>700</v>
      </c>
      <c r="F37" s="48">
        <v>1</v>
      </c>
      <c r="G37" s="47">
        <f>+F37*E37+D37*C37</f>
        <v>6800</v>
      </c>
      <c r="H37" s="49">
        <v>3000</v>
      </c>
      <c r="I37" s="49">
        <f>+H37/G37</f>
        <v>0.44117647058823528</v>
      </c>
      <c r="J37" s="49">
        <f>+I37*F37</f>
        <v>0.44117647058823528</v>
      </c>
    </row>
    <row r="38" spans="2:10" x14ac:dyDescent="0.25">
      <c r="B38" s="50" t="s">
        <v>143</v>
      </c>
      <c r="C38" s="37">
        <f>+C37</f>
        <v>6100</v>
      </c>
      <c r="D38" s="51">
        <v>1</v>
      </c>
      <c r="E38" s="37">
        <f>+E37</f>
        <v>700</v>
      </c>
      <c r="F38" s="51">
        <v>0.6</v>
      </c>
      <c r="G38" s="37">
        <f>+F38*E38+D38*C38</f>
        <v>6520</v>
      </c>
      <c r="H38" s="52">
        <v>22000</v>
      </c>
      <c r="I38" s="52">
        <f>+H38/G38</f>
        <v>3.3742331288343559</v>
      </c>
      <c r="J38" s="52">
        <f>+I38*F38</f>
        <v>2.0245398773006134</v>
      </c>
    </row>
    <row r="39" spans="2:10" x14ac:dyDescent="0.25">
      <c r="B39" s="50" t="s">
        <v>114</v>
      </c>
      <c r="C39" s="83" t="s">
        <v>144</v>
      </c>
      <c r="D39" s="84"/>
      <c r="E39" s="84"/>
      <c r="F39" s="84"/>
      <c r="G39" s="84"/>
      <c r="H39" s="84"/>
      <c r="I39" s="84"/>
      <c r="J39" s="85"/>
    </row>
    <row r="40" spans="2:10" x14ac:dyDescent="0.25">
      <c r="B40" s="50" t="s">
        <v>145</v>
      </c>
      <c r="C40" s="37">
        <f>+C38</f>
        <v>6100</v>
      </c>
      <c r="D40" s="51">
        <v>1</v>
      </c>
      <c r="E40" s="37">
        <f>+E38</f>
        <v>700</v>
      </c>
      <c r="F40" s="51">
        <f>+F37</f>
        <v>1</v>
      </c>
      <c r="G40" s="37">
        <f>+F40*E40+D40*C40</f>
        <v>6800</v>
      </c>
      <c r="H40" s="52">
        <v>8900</v>
      </c>
      <c r="I40" s="52">
        <f>+H40/G40</f>
        <v>1.3088235294117647</v>
      </c>
      <c r="J40" s="52">
        <f>+I40*F40</f>
        <v>1.3088235294117647</v>
      </c>
    </row>
    <row r="41" spans="2:10" x14ac:dyDescent="0.25">
      <c r="B41" s="50" t="s">
        <v>146</v>
      </c>
      <c r="C41" s="37">
        <f>+C40</f>
        <v>6100</v>
      </c>
      <c r="D41" s="51">
        <v>1</v>
      </c>
      <c r="E41" s="37">
        <f>+E40</f>
        <v>700</v>
      </c>
      <c r="F41" s="51">
        <f>+F38</f>
        <v>0.6</v>
      </c>
      <c r="G41" s="37">
        <f>+F41*E41+D41*C41</f>
        <v>6520</v>
      </c>
      <c r="H41" s="52">
        <f>+H40</f>
        <v>8900</v>
      </c>
      <c r="I41" s="52">
        <f>+H41/G41</f>
        <v>1.3650306748466257</v>
      </c>
      <c r="J41" s="52">
        <f>+I41*F41</f>
        <v>0.81901840490797539</v>
      </c>
    </row>
    <row r="42" spans="2:10" x14ac:dyDescent="0.25">
      <c r="B42" s="86" t="s">
        <v>147</v>
      </c>
      <c r="C42" s="87"/>
      <c r="D42" s="87"/>
      <c r="E42" s="87"/>
      <c r="F42" s="87"/>
      <c r="G42" s="87"/>
      <c r="H42" s="88"/>
      <c r="I42" s="53">
        <f>+I41+I38+I37</f>
        <v>5.180440274269217</v>
      </c>
      <c r="J42" s="53">
        <f>+J41+J38+J37</f>
        <v>3.2847347527968243</v>
      </c>
    </row>
    <row r="45" spans="2:10" ht="15.75" thickBot="1" x14ac:dyDescent="0.3"/>
    <row r="46" spans="2:10" x14ac:dyDescent="0.25">
      <c r="B46" t="s">
        <v>157</v>
      </c>
      <c r="I46" s="77" t="s">
        <v>137</v>
      </c>
      <c r="J46" s="78"/>
    </row>
    <row r="47" spans="2:10" ht="30.75" thickBot="1" x14ac:dyDescent="0.3">
      <c r="I47" s="44" t="s">
        <v>140</v>
      </c>
      <c r="J47" s="45" t="s">
        <v>141</v>
      </c>
    </row>
    <row r="48" spans="2:10" x14ac:dyDescent="0.25">
      <c r="H48" s="37" t="s">
        <v>131</v>
      </c>
      <c r="I48" s="52">
        <f>+I25</f>
        <v>5.2050505050505045</v>
      </c>
      <c r="J48" s="52">
        <f>+J25</f>
        <v>5.2050505050505045</v>
      </c>
    </row>
    <row r="49" spans="2:10" x14ac:dyDescent="0.25">
      <c r="H49" s="37" t="s">
        <v>149</v>
      </c>
      <c r="I49" s="52">
        <f>+I26</f>
        <v>3.1983122362869194</v>
      </c>
      <c r="J49" s="52">
        <f>+I49</f>
        <v>3.1983122362869194</v>
      </c>
    </row>
    <row r="50" spans="2:10" x14ac:dyDescent="0.25">
      <c r="H50" s="37" t="s">
        <v>156</v>
      </c>
      <c r="I50" s="52">
        <f>+I42</f>
        <v>5.180440274269217</v>
      </c>
      <c r="J50" s="52">
        <f>+J42</f>
        <v>3.2847347527968243</v>
      </c>
    </row>
    <row r="51" spans="2:10" x14ac:dyDescent="0.25">
      <c r="H51" s="37" t="s">
        <v>151</v>
      </c>
      <c r="I51" s="53">
        <f>+I49+I48+I50</f>
        <v>13.583803015606641</v>
      </c>
      <c r="J51" s="53">
        <f>+J49+J48+J50</f>
        <v>11.688097494134249</v>
      </c>
    </row>
    <row r="53" spans="2:10" x14ac:dyDescent="0.25">
      <c r="B53" s="54" t="s">
        <v>158</v>
      </c>
    </row>
    <row r="54" spans="2:10" x14ac:dyDescent="0.25">
      <c r="F54" t="s">
        <v>159</v>
      </c>
      <c r="G54">
        <v>6100</v>
      </c>
      <c r="H54" t="s">
        <v>160</v>
      </c>
      <c r="I54" s="53">
        <f>+I51*G54</f>
        <v>82861.19839520051</v>
      </c>
    </row>
    <row r="55" spans="2:10" x14ac:dyDescent="0.25">
      <c r="F55" t="s">
        <v>161</v>
      </c>
      <c r="G55">
        <v>700</v>
      </c>
      <c r="H55" t="s">
        <v>162</v>
      </c>
      <c r="J55" s="55">
        <f>+G55*J51</f>
        <v>8181.668245893974</v>
      </c>
    </row>
  </sheetData>
  <mergeCells count="26">
    <mergeCell ref="C39:J39"/>
    <mergeCell ref="B42:H42"/>
    <mergeCell ref="I46:J46"/>
    <mergeCell ref="C18:J18"/>
    <mergeCell ref="B21:H21"/>
    <mergeCell ref="I23:J23"/>
    <mergeCell ref="B35:B36"/>
    <mergeCell ref="C35:D35"/>
    <mergeCell ref="E35:F35"/>
    <mergeCell ref="G35:G36"/>
    <mergeCell ref="H35:H36"/>
    <mergeCell ref="I35:J35"/>
    <mergeCell ref="C8:J8"/>
    <mergeCell ref="B11:H11"/>
    <mergeCell ref="B14:B15"/>
    <mergeCell ref="C14:D14"/>
    <mergeCell ref="E14:F14"/>
    <mergeCell ref="G14:G15"/>
    <mergeCell ref="H14:H15"/>
    <mergeCell ref="I14:J14"/>
    <mergeCell ref="I4:J4"/>
    <mergeCell ref="B4:B5"/>
    <mergeCell ref="C4:D4"/>
    <mergeCell ref="E4:F4"/>
    <mergeCell ref="G4:G5"/>
    <mergeCell ref="H4:H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FFDEC-C88A-4FF7-8C86-B68AECA132EE}">
  <sheetPr>
    <tabColor rgb="FF00B050"/>
  </sheetPr>
  <dimension ref="B3:P72"/>
  <sheetViews>
    <sheetView showGridLines="0" workbookViewId="0">
      <selection activeCell="C70" sqref="C70"/>
    </sheetView>
  </sheetViews>
  <sheetFormatPr baseColWidth="10" defaultRowHeight="15" x14ac:dyDescent="0.25"/>
  <cols>
    <col min="3" max="3" width="32" bestFit="1" customWidth="1"/>
    <col min="4" max="4" width="16.5703125" customWidth="1"/>
    <col min="5" max="5" width="20.7109375" customWidth="1"/>
    <col min="6" max="6" width="22.85546875" bestFit="1" customWidth="1"/>
    <col min="7" max="7" width="15.7109375" customWidth="1"/>
    <col min="9" max="9" width="15.28515625" bestFit="1" customWidth="1"/>
    <col min="10" max="10" width="14.7109375" bestFit="1" customWidth="1"/>
    <col min="11" max="11" width="29.42578125" customWidth="1"/>
    <col min="12" max="12" width="17.42578125" bestFit="1" customWidth="1"/>
  </cols>
  <sheetData>
    <row r="3" spans="2:7" x14ac:dyDescent="0.25">
      <c r="B3" t="s">
        <v>164</v>
      </c>
    </row>
    <row r="5" spans="2:7" x14ac:dyDescent="0.25">
      <c r="C5" s="33"/>
      <c r="D5" s="89" t="s">
        <v>81</v>
      </c>
      <c r="E5" s="89"/>
      <c r="F5" s="89" t="s">
        <v>82</v>
      </c>
      <c r="G5" s="89"/>
    </row>
    <row r="6" spans="2:7" x14ac:dyDescent="0.25">
      <c r="C6" s="34" t="s">
        <v>83</v>
      </c>
      <c r="D6" s="34">
        <v>900</v>
      </c>
      <c r="E6" s="35" t="s">
        <v>51</v>
      </c>
      <c r="F6" s="34">
        <v>100</v>
      </c>
      <c r="G6" s="35" t="s">
        <v>51</v>
      </c>
    </row>
    <row r="7" spans="2:7" x14ac:dyDescent="0.25">
      <c r="C7" s="34" t="s">
        <v>84</v>
      </c>
      <c r="D7" s="34">
        <v>10</v>
      </c>
      <c r="E7" s="35" t="s">
        <v>85</v>
      </c>
      <c r="F7" s="34">
        <v>5</v>
      </c>
      <c r="G7" s="35" t="s">
        <v>85</v>
      </c>
    </row>
    <row r="8" spans="2:7" x14ac:dyDescent="0.25">
      <c r="C8" s="34" t="s">
        <v>86</v>
      </c>
      <c r="D8" s="34">
        <v>2</v>
      </c>
      <c r="E8" s="35" t="str">
        <f>+E7</f>
        <v xml:space="preserve"> $/unidad</v>
      </c>
      <c r="F8" s="34">
        <v>4</v>
      </c>
      <c r="G8" s="35" t="str">
        <f>+G7</f>
        <v xml:space="preserve"> $/unidad</v>
      </c>
    </row>
    <row r="10" spans="2:7" x14ac:dyDescent="0.25">
      <c r="B10" t="s">
        <v>87</v>
      </c>
    </row>
    <row r="12" spans="2:7" ht="29.25" customHeight="1" x14ac:dyDescent="0.25">
      <c r="C12" s="36" t="s">
        <v>88</v>
      </c>
      <c r="D12" s="36" t="s">
        <v>89</v>
      </c>
      <c r="E12" s="36" t="s">
        <v>90</v>
      </c>
      <c r="F12" s="36" t="s">
        <v>91</v>
      </c>
    </row>
    <row r="13" spans="2:7" x14ac:dyDescent="0.25">
      <c r="C13" s="37" t="s">
        <v>92</v>
      </c>
      <c r="D13" s="37">
        <v>3000</v>
      </c>
      <c r="E13" s="37">
        <v>300</v>
      </c>
      <c r="F13" s="37">
        <v>180</v>
      </c>
    </row>
    <row r="14" spans="2:7" x14ac:dyDescent="0.25">
      <c r="C14" s="37" t="s">
        <v>93</v>
      </c>
      <c r="D14" s="37">
        <v>1500</v>
      </c>
      <c r="E14" s="37">
        <v>100</v>
      </c>
      <c r="F14" s="37">
        <v>90</v>
      </c>
    </row>
    <row r="15" spans="2:7" x14ac:dyDescent="0.25">
      <c r="C15" s="37" t="s">
        <v>94</v>
      </c>
      <c r="D15" s="37">
        <v>600</v>
      </c>
      <c r="E15" s="37"/>
      <c r="F15" s="37"/>
    </row>
    <row r="16" spans="2:7" x14ac:dyDescent="0.25">
      <c r="C16" s="37" t="s">
        <v>95</v>
      </c>
      <c r="D16" s="37">
        <v>1000</v>
      </c>
      <c r="E16" s="37"/>
      <c r="F16" s="37"/>
    </row>
    <row r="17" spans="2:16" x14ac:dyDescent="0.25">
      <c r="C17" s="38" t="s">
        <v>96</v>
      </c>
      <c r="D17" s="38">
        <f>SUM(D13:D16)</f>
        <v>6100</v>
      </c>
      <c r="E17" s="38">
        <f>SUM(E13:E16)</f>
        <v>400</v>
      </c>
      <c r="F17" s="38">
        <f t="shared" ref="F17" si="0">SUM(F13:F16)</f>
        <v>270</v>
      </c>
    </row>
    <row r="19" spans="2:16" x14ac:dyDescent="0.25">
      <c r="B19" t="s">
        <v>97</v>
      </c>
    </row>
    <row r="21" spans="2:16" x14ac:dyDescent="0.25">
      <c r="C21" s="36" t="s">
        <v>88</v>
      </c>
      <c r="D21" s="33" t="str">
        <f>+D5</f>
        <v>A</v>
      </c>
      <c r="E21" s="33" t="str">
        <f>+F5</f>
        <v>Z</v>
      </c>
    </row>
    <row r="22" spans="2:16" x14ac:dyDescent="0.25">
      <c r="C22" s="37" t="s">
        <v>92</v>
      </c>
      <c r="D22" s="34">
        <v>0.32</v>
      </c>
      <c r="E22" s="34">
        <v>0.1</v>
      </c>
    </row>
    <row r="23" spans="2:16" x14ac:dyDescent="0.25">
      <c r="C23" s="37" t="s">
        <v>93</v>
      </c>
      <c r="D23" s="34">
        <v>0.08</v>
      </c>
      <c r="E23" s="34">
        <v>0.3</v>
      </c>
    </row>
    <row r="25" spans="2:16" s="28" customFormat="1" x14ac:dyDescent="0.25">
      <c r="B25" s="28" t="s">
        <v>98</v>
      </c>
      <c r="K25" s="28" t="s">
        <v>99</v>
      </c>
    </row>
    <row r="27" spans="2:16" x14ac:dyDescent="0.25">
      <c r="B27" t="s">
        <v>100</v>
      </c>
      <c r="K27" t="s">
        <v>101</v>
      </c>
    </row>
    <row r="29" spans="2:16" x14ac:dyDescent="0.25">
      <c r="C29" s="38" t="str">
        <f>+C13</f>
        <v xml:space="preserve">A) Fabricación 1 </v>
      </c>
      <c r="D29" s="38" t="str">
        <f>+C14</f>
        <v>B) Fabricación 2</v>
      </c>
      <c r="E29" s="38" t="str">
        <f>+C15</f>
        <v>C) Mantención</v>
      </c>
      <c r="F29" s="38" t="str">
        <f>+C16</f>
        <v>D) Adminst.y Vtas.</v>
      </c>
      <c r="L29" t="str">
        <f>+C13</f>
        <v xml:space="preserve">A) Fabricación 1 </v>
      </c>
      <c r="M29" t="str">
        <f>+C14</f>
        <v>B) Fabricación 2</v>
      </c>
      <c r="N29" t="str">
        <f>+C15</f>
        <v>C) Mantención</v>
      </c>
      <c r="O29" t="str">
        <f>+C16</f>
        <v>D) Adminst.y Vtas.</v>
      </c>
      <c r="P29" t="str">
        <f>+C17</f>
        <v>Totales</v>
      </c>
    </row>
    <row r="30" spans="2:16" ht="30" customHeight="1" x14ac:dyDescent="0.25">
      <c r="C30" s="39" t="s">
        <v>102</v>
      </c>
      <c r="D30" s="39" t="s">
        <v>102</v>
      </c>
      <c r="E30" s="39" t="s">
        <v>103</v>
      </c>
      <c r="F30" s="39" t="s">
        <v>104</v>
      </c>
      <c r="K30" s="40" t="str">
        <f>+D12</f>
        <v>Costos Indirectos</v>
      </c>
      <c r="L30">
        <f>+D13</f>
        <v>3000</v>
      </c>
      <c r="M30">
        <f>+D14</f>
        <v>1500</v>
      </c>
      <c r="N30">
        <f>+D15</f>
        <v>600</v>
      </c>
      <c r="O30">
        <f>+D16</f>
        <v>1000</v>
      </c>
      <c r="P30">
        <f>+D17</f>
        <v>6100</v>
      </c>
    </row>
    <row r="31" spans="2:16" ht="30" customHeight="1" x14ac:dyDescent="0.25">
      <c r="C31" s="39" t="s">
        <v>105</v>
      </c>
      <c r="D31" s="39" t="s">
        <v>105</v>
      </c>
      <c r="E31" s="39"/>
      <c r="F31" s="39" t="s">
        <v>106</v>
      </c>
      <c r="K31" s="40" t="str">
        <f>+E12</f>
        <v>Horas de Mano de Obra Directa</v>
      </c>
      <c r="L31">
        <f>+E13</f>
        <v>300</v>
      </c>
      <c r="M31">
        <f>+E14</f>
        <v>100</v>
      </c>
      <c r="P31">
        <f>+M31+L31</f>
        <v>400</v>
      </c>
    </row>
    <row r="33" spans="2:14" x14ac:dyDescent="0.25">
      <c r="B33" t="s">
        <v>107</v>
      </c>
      <c r="K33" t="s">
        <v>108</v>
      </c>
    </row>
    <row r="35" spans="2:14" x14ac:dyDescent="0.25">
      <c r="C35" s="38" t="s">
        <v>165</v>
      </c>
      <c r="D35" s="38" t="str">
        <f>+D5</f>
        <v>A</v>
      </c>
      <c r="E35" s="38" t="str">
        <f>+F5</f>
        <v>Z</v>
      </c>
      <c r="K35" s="40" t="s">
        <v>109</v>
      </c>
      <c r="L35">
        <f>+P30/P31</f>
        <v>15.25</v>
      </c>
    </row>
    <row r="36" spans="2:14" x14ac:dyDescent="0.25">
      <c r="C36" s="37" t="s">
        <v>110</v>
      </c>
      <c r="D36" s="37">
        <v>0.3</v>
      </c>
      <c r="E36" s="37">
        <v>0.2</v>
      </c>
    </row>
    <row r="37" spans="2:14" x14ac:dyDescent="0.25">
      <c r="C37" s="37" t="s">
        <v>111</v>
      </c>
      <c r="D37" s="37">
        <v>10</v>
      </c>
      <c r="E37" s="37">
        <v>40</v>
      </c>
    </row>
    <row r="38" spans="2:14" x14ac:dyDescent="0.25">
      <c r="C38" s="37" t="s">
        <v>112</v>
      </c>
      <c r="D38" s="37">
        <v>20</v>
      </c>
      <c r="E38" s="37">
        <v>30</v>
      </c>
      <c r="L38" t="str">
        <f>+D35</f>
        <v>A</v>
      </c>
      <c r="M38" t="str">
        <f>+E35</f>
        <v>Z</v>
      </c>
      <c r="N38" t="s">
        <v>96</v>
      </c>
    </row>
    <row r="39" spans="2:14" x14ac:dyDescent="0.25">
      <c r="K39" t="str">
        <f>+K31</f>
        <v>Horas de Mano de Obra Directa</v>
      </c>
      <c r="L39">
        <f>+L31</f>
        <v>300</v>
      </c>
      <c r="M39">
        <f>+M31</f>
        <v>100</v>
      </c>
    </row>
    <row r="40" spans="2:14" x14ac:dyDescent="0.25">
      <c r="B40" t="s">
        <v>113</v>
      </c>
      <c r="K40" t="str">
        <f>+K35</f>
        <v>Cuota de Costos Indirectos</v>
      </c>
      <c r="L40">
        <f>+L35</f>
        <v>15.25</v>
      </c>
      <c r="M40">
        <f>+L35</f>
        <v>15.25</v>
      </c>
    </row>
    <row r="41" spans="2:14" x14ac:dyDescent="0.25">
      <c r="K41" t="s">
        <v>114</v>
      </c>
    </row>
    <row r="42" spans="2:14" x14ac:dyDescent="0.25">
      <c r="C42" s="38" t="s">
        <v>166</v>
      </c>
      <c r="D42" s="37"/>
      <c r="L42">
        <f>+L40*L39</f>
        <v>4575</v>
      </c>
      <c r="M42">
        <f>+M40*M39</f>
        <v>1525</v>
      </c>
      <c r="N42">
        <f>+L42+M42</f>
        <v>6100</v>
      </c>
    </row>
    <row r="43" spans="2:14" x14ac:dyDescent="0.25">
      <c r="C43" s="37" t="s">
        <v>115</v>
      </c>
      <c r="D43" s="37">
        <v>1600</v>
      </c>
    </row>
    <row r="44" spans="2:14" x14ac:dyDescent="0.25">
      <c r="C44" s="37" t="str">
        <f>+C31</f>
        <v>Gestión de Pedidos</v>
      </c>
      <c r="D44" s="37">
        <v>3500</v>
      </c>
    </row>
    <row r="45" spans="2:14" x14ac:dyDescent="0.25">
      <c r="C45" s="37" t="str">
        <f>+F30</f>
        <v>Gestión de clientes</v>
      </c>
      <c r="D45" s="37">
        <v>1000</v>
      </c>
    </row>
    <row r="46" spans="2:14" x14ac:dyDescent="0.25">
      <c r="C46" s="38" t="s">
        <v>116</v>
      </c>
      <c r="D46" s="38">
        <f ca="1">SUM(D43:D46)</f>
        <v>6100</v>
      </c>
    </row>
    <row r="47" spans="2:14" x14ac:dyDescent="0.25">
      <c r="K47" t="s">
        <v>117</v>
      </c>
    </row>
    <row r="48" spans="2:14" x14ac:dyDescent="0.25">
      <c r="B48" t="s">
        <v>118</v>
      </c>
    </row>
    <row r="49" spans="3:14" x14ac:dyDescent="0.25">
      <c r="K49" s="28"/>
      <c r="L49" s="28" t="str">
        <f>+L38</f>
        <v>A</v>
      </c>
      <c r="M49" s="28" t="str">
        <f>+M38</f>
        <v>Z</v>
      </c>
      <c r="N49" s="28" t="s">
        <v>96</v>
      </c>
    </row>
    <row r="50" spans="3:14" x14ac:dyDescent="0.25">
      <c r="C50" s="28" t="s">
        <v>119</v>
      </c>
      <c r="D50" s="28" t="s">
        <v>120</v>
      </c>
      <c r="E50" s="28" t="s">
        <v>121</v>
      </c>
      <c r="F50" s="28" t="s">
        <v>122</v>
      </c>
      <c r="G50" s="28" t="s">
        <v>123</v>
      </c>
      <c r="K50" t="s">
        <v>124</v>
      </c>
      <c r="L50">
        <f>+D6*D7</f>
        <v>9000</v>
      </c>
      <c r="M50">
        <f>+F6*F7</f>
        <v>500</v>
      </c>
      <c r="N50">
        <f>+M50+L50</f>
        <v>9500</v>
      </c>
    </row>
    <row r="51" spans="3:14" x14ac:dyDescent="0.25">
      <c r="C51" t="str">
        <f>+C43</f>
        <v>Actividades de maquinaria</v>
      </c>
      <c r="D51" t="str">
        <f>+C36</f>
        <v>Hs de Máq. por Un.</v>
      </c>
      <c r="E51">
        <f>+D36*D6+E36*F6</f>
        <v>290</v>
      </c>
      <c r="F51">
        <f>+D43</f>
        <v>1600</v>
      </c>
      <c r="G51" s="17">
        <f>+F51/E51</f>
        <v>5.5172413793103452</v>
      </c>
      <c r="K51" t="s">
        <v>125</v>
      </c>
      <c r="L51">
        <f>+D6*D8</f>
        <v>1800</v>
      </c>
      <c r="M51">
        <f>+F6*F8</f>
        <v>400</v>
      </c>
      <c r="N51">
        <f t="shared" ref="N51:N53" si="1">+M51+L51</f>
        <v>2200</v>
      </c>
    </row>
    <row r="52" spans="3:14" x14ac:dyDescent="0.25">
      <c r="C52" t="str">
        <f>+C44</f>
        <v>Gestión de Pedidos</v>
      </c>
      <c r="D52" t="str">
        <f>+C37</f>
        <v>N° pedidos</v>
      </c>
      <c r="E52">
        <f>+D37+E37</f>
        <v>50</v>
      </c>
      <c r="F52">
        <f>+D44</f>
        <v>3500</v>
      </c>
      <c r="G52" s="17">
        <f t="shared" ref="G52:G53" si="2">+F52/E52</f>
        <v>70</v>
      </c>
      <c r="K52" t="s">
        <v>126</v>
      </c>
      <c r="L52" s="41">
        <f>+L42</f>
        <v>4575</v>
      </c>
      <c r="M52" s="41">
        <f>+M42</f>
        <v>1525</v>
      </c>
      <c r="N52">
        <f t="shared" si="1"/>
        <v>6100</v>
      </c>
    </row>
    <row r="53" spans="3:14" x14ac:dyDescent="0.25">
      <c r="C53" t="str">
        <f>+C45</f>
        <v>Gestión de clientes</v>
      </c>
      <c r="D53" t="str">
        <f>+C38</f>
        <v>N° clientes</v>
      </c>
      <c r="E53">
        <f>+D38+E38</f>
        <v>50</v>
      </c>
      <c r="F53">
        <f>+D45</f>
        <v>1000</v>
      </c>
      <c r="G53" s="17">
        <f t="shared" si="2"/>
        <v>20</v>
      </c>
      <c r="K53" s="28" t="s">
        <v>122</v>
      </c>
      <c r="L53" s="56">
        <f>SUM(L50:L52)</f>
        <v>15375</v>
      </c>
      <c r="M53" s="56">
        <f>SUM(M50:M52)</f>
        <v>2425</v>
      </c>
      <c r="N53" s="28">
        <f t="shared" si="1"/>
        <v>17800</v>
      </c>
    </row>
    <row r="54" spans="3:14" x14ac:dyDescent="0.25">
      <c r="K54" t="s">
        <v>127</v>
      </c>
      <c r="L54">
        <f>+D6</f>
        <v>900</v>
      </c>
      <c r="M54">
        <f>+F6</f>
        <v>100</v>
      </c>
    </row>
    <row r="55" spans="3:14" x14ac:dyDescent="0.25">
      <c r="C55" s="28" t="str">
        <f>+C50</f>
        <v>Actividad</v>
      </c>
      <c r="D55" s="28" t="str">
        <f>+D35</f>
        <v>A</v>
      </c>
      <c r="E55" s="28" t="str">
        <f>+E35</f>
        <v>Z</v>
      </c>
      <c r="F55" s="28" t="s">
        <v>116</v>
      </c>
      <c r="K55" s="28" t="s">
        <v>123</v>
      </c>
      <c r="L55" s="57">
        <f>+L53/L54</f>
        <v>17.083333333333332</v>
      </c>
      <c r="M55" s="57">
        <f>+M53/M54</f>
        <v>24.25</v>
      </c>
    </row>
    <row r="56" spans="3:14" x14ac:dyDescent="0.25">
      <c r="D56" s="28" t="s">
        <v>128</v>
      </c>
      <c r="E56" s="28" t="str">
        <f>+D56</f>
        <v>C.Unit.*Cant Un</v>
      </c>
    </row>
    <row r="57" spans="3:14" x14ac:dyDescent="0.25">
      <c r="C57" t="str">
        <f>+C51</f>
        <v>Actividades de maquinaria</v>
      </c>
      <c r="D57" s="41">
        <f>+G51*D36*D6</f>
        <v>1489.655172413793</v>
      </c>
      <c r="E57" s="41">
        <f>+G51*F6*E36</f>
        <v>110.34482758620692</v>
      </c>
      <c r="F57">
        <f>+E57+D57</f>
        <v>1600</v>
      </c>
    </row>
    <row r="58" spans="3:14" x14ac:dyDescent="0.25">
      <c r="C58" t="str">
        <f>+C52</f>
        <v>Gestión de Pedidos</v>
      </c>
      <c r="D58">
        <f>+G52*D37</f>
        <v>700</v>
      </c>
      <c r="E58">
        <f>+G52*E37</f>
        <v>2800</v>
      </c>
      <c r="F58">
        <f t="shared" ref="F58:F59" si="3">+E58+D58</f>
        <v>3500</v>
      </c>
    </row>
    <row r="59" spans="3:14" x14ac:dyDescent="0.25">
      <c r="C59" t="str">
        <f>+C53</f>
        <v>Gestión de clientes</v>
      </c>
      <c r="D59">
        <f>+G53*D38</f>
        <v>400</v>
      </c>
      <c r="E59">
        <f>+G53*E38</f>
        <v>600</v>
      </c>
      <c r="F59">
        <f t="shared" si="3"/>
        <v>1000</v>
      </c>
    </row>
    <row r="60" spans="3:14" x14ac:dyDescent="0.25">
      <c r="C60" s="28" t="s">
        <v>129</v>
      </c>
      <c r="D60" s="56">
        <f>SUM(D57:D59)</f>
        <v>2589.655172413793</v>
      </c>
      <c r="E60" s="56">
        <f>SUM(E57:E59)</f>
        <v>3510.344827586207</v>
      </c>
      <c r="F60" s="56">
        <f>SUM(D60:E60)</f>
        <v>6100</v>
      </c>
    </row>
    <row r="61" spans="3:14" x14ac:dyDescent="0.25">
      <c r="C61" s="28" t="s">
        <v>130</v>
      </c>
      <c r="D61" s="28"/>
      <c r="E61" s="28"/>
      <c r="F61" s="56">
        <f ca="1">SUM(F60:F61)</f>
        <v>6100</v>
      </c>
    </row>
    <row r="64" spans="3:14" x14ac:dyDescent="0.25">
      <c r="C64" t="s">
        <v>117</v>
      </c>
    </row>
    <row r="66" spans="3:6" x14ac:dyDescent="0.25">
      <c r="D66" s="28" t="str">
        <f>+D55</f>
        <v>A</v>
      </c>
      <c r="E66" s="28" t="str">
        <f>+E55</f>
        <v>Z</v>
      </c>
      <c r="F66" s="28" t="s">
        <v>96</v>
      </c>
    </row>
    <row r="67" spans="3:6" x14ac:dyDescent="0.25">
      <c r="C67" t="s">
        <v>124</v>
      </c>
      <c r="D67">
        <f>+D7*D6</f>
        <v>9000</v>
      </c>
      <c r="E67">
        <f>+F6*F7</f>
        <v>500</v>
      </c>
      <c r="F67">
        <f>+E67+D67</f>
        <v>9500</v>
      </c>
    </row>
    <row r="68" spans="3:6" x14ac:dyDescent="0.25">
      <c r="C68" t="s">
        <v>125</v>
      </c>
      <c r="D68">
        <f>+D8*D6</f>
        <v>1800</v>
      </c>
      <c r="E68">
        <f>+F8*F6</f>
        <v>400</v>
      </c>
      <c r="F68">
        <f t="shared" ref="F68:F70" si="4">+E68+D68</f>
        <v>2200</v>
      </c>
    </row>
    <row r="69" spans="3:6" x14ac:dyDescent="0.25">
      <c r="C69" t="s">
        <v>126</v>
      </c>
      <c r="D69" s="41">
        <f>+D60</f>
        <v>2589.655172413793</v>
      </c>
      <c r="E69" s="41">
        <f>+E60</f>
        <v>3510.344827586207</v>
      </c>
      <c r="F69">
        <f t="shared" si="4"/>
        <v>6100</v>
      </c>
    </row>
    <row r="70" spans="3:6" x14ac:dyDescent="0.25">
      <c r="C70" s="28" t="s">
        <v>122</v>
      </c>
      <c r="D70" s="56">
        <f>SUM(D67:D69)</f>
        <v>13389.655172413793</v>
      </c>
      <c r="E70" s="56">
        <f>SUM(E67:E69)</f>
        <v>4410.3448275862065</v>
      </c>
      <c r="F70" s="28">
        <f t="shared" si="4"/>
        <v>17800</v>
      </c>
    </row>
    <row r="71" spans="3:6" x14ac:dyDescent="0.25">
      <c r="C71" t="s">
        <v>127</v>
      </c>
      <c r="D71">
        <f>+D6</f>
        <v>900</v>
      </c>
      <c r="E71">
        <f>+F6</f>
        <v>100</v>
      </c>
    </row>
    <row r="72" spans="3:6" x14ac:dyDescent="0.25">
      <c r="C72" s="28" t="s">
        <v>123</v>
      </c>
      <c r="D72" s="57">
        <f>+D70/D71</f>
        <v>14.877394636015326</v>
      </c>
      <c r="E72" s="57">
        <f>+E70/E71</f>
        <v>44.103448275862064</v>
      </c>
    </row>
  </sheetData>
  <mergeCells count="2">
    <mergeCell ref="D5:E5"/>
    <mergeCell ref="F5:G5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B2:K44"/>
  <sheetViews>
    <sheetView showGridLines="0" topLeftCell="A3" workbookViewId="0">
      <selection activeCell="G76" sqref="G76"/>
    </sheetView>
  </sheetViews>
  <sheetFormatPr baseColWidth="10" defaultRowHeight="15" outlineLevelRow="1" x14ac:dyDescent="0.25"/>
  <sheetData>
    <row r="2" spans="2:3" s="26" customFormat="1" x14ac:dyDescent="0.25">
      <c r="B2" s="27" t="s">
        <v>73</v>
      </c>
    </row>
    <row r="3" spans="2:3" x14ac:dyDescent="0.25">
      <c r="B3" t="s">
        <v>38</v>
      </c>
    </row>
    <row r="5" spans="2:3" x14ac:dyDescent="0.25">
      <c r="B5" t="s">
        <v>39</v>
      </c>
    </row>
    <row r="7" spans="2:3" x14ac:dyDescent="0.25">
      <c r="B7" t="s">
        <v>40</v>
      </c>
    </row>
    <row r="9" spans="2:3" x14ac:dyDescent="0.25">
      <c r="B9" t="s">
        <v>37</v>
      </c>
    </row>
    <row r="13" spans="2:3" s="26" customFormat="1" x14ac:dyDescent="0.25">
      <c r="B13" s="27" t="s">
        <v>42</v>
      </c>
    </row>
    <row r="14" spans="2:3" outlineLevel="1" x14ac:dyDescent="0.25"/>
    <row r="15" spans="2:3" outlineLevel="1" x14ac:dyDescent="0.25">
      <c r="B15" s="30" t="s">
        <v>41</v>
      </c>
      <c r="C15" s="31">
        <f>235000/(645-152-352)</f>
        <v>1666.6666666666667</v>
      </c>
    </row>
    <row r="16" spans="2:3" outlineLevel="1" x14ac:dyDescent="0.25"/>
    <row r="39" spans="2:11" x14ac:dyDescent="0.25">
      <c r="B39" s="60" t="s">
        <v>173</v>
      </c>
      <c r="C39" s="60" t="s">
        <v>174</v>
      </c>
      <c r="F39" s="60" t="s">
        <v>175</v>
      </c>
    </row>
    <row r="40" spans="2:11" x14ac:dyDescent="0.25">
      <c r="B40" s="60" t="s">
        <v>176</v>
      </c>
      <c r="C40" s="68" t="s">
        <v>177</v>
      </c>
      <c r="F40" s="60" t="s">
        <v>178</v>
      </c>
    </row>
    <row r="41" spans="2:11" x14ac:dyDescent="0.25">
      <c r="B41" s="60" t="s">
        <v>179</v>
      </c>
      <c r="C41" s="68" t="s">
        <v>180</v>
      </c>
      <c r="F41" s="60" t="s">
        <v>181</v>
      </c>
      <c r="K41" s="60" t="s">
        <v>182</v>
      </c>
    </row>
    <row r="42" spans="2:11" x14ac:dyDescent="0.25">
      <c r="B42" s="60" t="s">
        <v>183</v>
      </c>
      <c r="C42" s="68" t="s">
        <v>184</v>
      </c>
      <c r="F42" s="60" t="s">
        <v>185</v>
      </c>
    </row>
    <row r="43" spans="2:11" x14ac:dyDescent="0.25">
      <c r="B43" s="60" t="s">
        <v>186</v>
      </c>
      <c r="C43" s="69">
        <f>152+352</f>
        <v>504</v>
      </c>
      <c r="F43" s="60" t="s">
        <v>187</v>
      </c>
    </row>
    <row r="44" spans="2:11" x14ac:dyDescent="0.25">
      <c r="F44" s="60" t="s">
        <v>188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F03D-BE85-4729-9F61-C9964A8EF50F}">
  <sheetPr>
    <tabColor rgb="FF00B050"/>
  </sheetPr>
  <dimension ref="A3:K21"/>
  <sheetViews>
    <sheetView workbookViewId="0">
      <selection activeCell="D21" sqref="D21"/>
    </sheetView>
  </sheetViews>
  <sheetFormatPr baseColWidth="10" defaultRowHeight="15" x14ac:dyDescent="0.25"/>
  <cols>
    <col min="2" max="2" width="15.85546875" customWidth="1"/>
  </cols>
  <sheetData>
    <row r="3" spans="1:11" x14ac:dyDescent="0.25">
      <c r="A3" s="26"/>
      <c r="B3" s="27" t="s">
        <v>73</v>
      </c>
      <c r="C3" s="26"/>
      <c r="D3" s="26"/>
      <c r="E3" s="26"/>
      <c r="F3" s="26"/>
      <c r="G3" s="26"/>
      <c r="H3" s="26"/>
      <c r="I3" s="26"/>
      <c r="J3" s="26"/>
      <c r="K3" s="26"/>
    </row>
    <row r="4" spans="1:11" x14ac:dyDescent="0.25">
      <c r="A4" s="70" t="s">
        <v>194</v>
      </c>
      <c r="B4" s="70"/>
      <c r="C4" s="70"/>
      <c r="D4" s="70"/>
      <c r="E4" s="70"/>
      <c r="F4" s="70"/>
      <c r="G4" s="70"/>
      <c r="H4" s="70"/>
      <c r="I4" s="70"/>
      <c r="J4" s="70"/>
      <c r="K4" s="70"/>
    </row>
    <row r="5" spans="1:11" x14ac:dyDescent="0.25">
      <c r="A5" s="70" t="s">
        <v>195</v>
      </c>
      <c r="B5" s="70"/>
      <c r="C5" s="70"/>
      <c r="D5" s="70"/>
      <c r="E5" s="70"/>
      <c r="F5" s="70"/>
      <c r="G5" s="70"/>
      <c r="H5" s="70"/>
      <c r="I5" s="70"/>
      <c r="J5" s="70"/>
      <c r="K5" s="70"/>
    </row>
    <row r="6" spans="1:11" x14ac:dyDescent="0.25">
      <c r="A6" s="70" t="s">
        <v>196</v>
      </c>
      <c r="B6" s="70"/>
      <c r="C6" s="70"/>
      <c r="D6" s="70"/>
      <c r="E6" s="70"/>
      <c r="F6" s="70"/>
      <c r="G6" s="70"/>
      <c r="H6" s="70"/>
      <c r="I6" s="70"/>
      <c r="J6" s="70"/>
      <c r="K6" s="70"/>
    </row>
    <row r="7" spans="1:11" x14ac:dyDescent="0.25">
      <c r="A7" s="70" t="s">
        <v>197</v>
      </c>
      <c r="B7" s="70"/>
      <c r="C7" s="70"/>
      <c r="D7" s="70"/>
      <c r="E7" s="70"/>
      <c r="F7" s="70"/>
      <c r="G7" s="70"/>
      <c r="H7" s="70"/>
      <c r="I7" s="70"/>
      <c r="J7" s="70"/>
      <c r="K7" s="70"/>
    </row>
    <row r="8" spans="1:11" x14ac:dyDescent="0.25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</row>
    <row r="9" spans="1:11" x14ac:dyDescent="0.25">
      <c r="A9" s="70" t="s">
        <v>198</v>
      </c>
      <c r="B9" s="70"/>
      <c r="C9" s="70"/>
      <c r="D9" s="70"/>
      <c r="E9" s="70"/>
      <c r="F9" s="70"/>
      <c r="G9" s="70"/>
      <c r="H9" s="70"/>
      <c r="I9" s="70"/>
      <c r="J9" s="70"/>
      <c r="K9" s="70"/>
    </row>
    <row r="10" spans="1:11" x14ac:dyDescent="0.25">
      <c r="A10" s="70" t="s">
        <v>199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</row>
    <row r="11" spans="1:11" x14ac:dyDescent="0.25">
      <c r="A11" s="70" t="s">
        <v>200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</row>
    <row r="12" spans="1:11" x14ac:dyDescent="0.25">
      <c r="A12" s="70" t="s">
        <v>201</v>
      </c>
      <c r="B12" s="70"/>
      <c r="C12" s="70"/>
      <c r="D12" s="70"/>
      <c r="E12" s="70"/>
      <c r="F12" s="70"/>
      <c r="G12" s="70"/>
      <c r="H12" s="70"/>
      <c r="I12" s="70"/>
      <c r="J12" s="70"/>
      <c r="K12" s="70"/>
    </row>
    <row r="13" spans="1:11" x14ac:dyDescent="0.25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</row>
    <row r="14" spans="1:11" x14ac:dyDescent="0.25">
      <c r="A14" s="26"/>
      <c r="B14" s="27" t="s">
        <v>42</v>
      </c>
      <c r="C14" s="26"/>
      <c r="D14" s="26"/>
      <c r="E14" s="26"/>
      <c r="F14" s="26"/>
      <c r="G14" s="26"/>
      <c r="H14" s="26"/>
      <c r="I14" s="26"/>
      <c r="J14" s="26"/>
      <c r="K14" s="26"/>
    </row>
    <row r="15" spans="1:11" x14ac:dyDescent="0.25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</row>
    <row r="16" spans="1:11" x14ac:dyDescent="0.25">
      <c r="A16" s="70" t="s">
        <v>202</v>
      </c>
      <c r="B16" s="30">
        <f>1000000/(2000-1000)</f>
        <v>1000</v>
      </c>
      <c r="C16" s="31"/>
      <c r="D16" s="70"/>
      <c r="E16" s="70"/>
      <c r="F16" s="70"/>
      <c r="G16" s="70"/>
      <c r="H16" s="70"/>
      <c r="I16" s="70"/>
      <c r="J16" s="70"/>
      <c r="K16" s="70"/>
    </row>
    <row r="17" spans="1:11" x14ac:dyDescent="0.25">
      <c r="A17" s="70"/>
      <c r="B17" s="70"/>
      <c r="C17" s="70"/>
      <c r="D17" s="70"/>
      <c r="E17" s="70"/>
      <c r="F17" s="70"/>
      <c r="G17" s="70"/>
      <c r="H17" s="70"/>
      <c r="I17" s="70"/>
      <c r="J17" s="70"/>
      <c r="K17" s="70"/>
    </row>
    <row r="18" spans="1:11" x14ac:dyDescent="0.25">
      <c r="A18" s="70" t="s">
        <v>203</v>
      </c>
      <c r="B18" s="71">
        <f>+B16*2000</f>
        <v>2000000</v>
      </c>
      <c r="C18" s="70"/>
      <c r="D18" s="70"/>
      <c r="E18" s="70"/>
      <c r="F18" s="70"/>
      <c r="G18" s="70"/>
      <c r="H18" s="70"/>
      <c r="I18" s="70"/>
      <c r="J18" s="70"/>
      <c r="K18" s="70"/>
    </row>
    <row r="19" spans="1:11" x14ac:dyDescent="0.25">
      <c r="A19" s="70"/>
      <c r="B19" s="70"/>
      <c r="C19" s="70"/>
      <c r="D19" s="70"/>
      <c r="E19" s="70"/>
      <c r="F19" s="70"/>
      <c r="G19" s="70"/>
      <c r="H19" s="70"/>
      <c r="I19" s="70"/>
      <c r="J19" s="70"/>
      <c r="K19" s="70"/>
    </row>
    <row r="20" spans="1:11" x14ac:dyDescent="0.25">
      <c r="A20" s="70" t="s">
        <v>204</v>
      </c>
      <c r="B20" s="72">
        <f>1000000/(2500-1000)</f>
        <v>666.66666666666663</v>
      </c>
      <c r="C20" s="70"/>
      <c r="D20" s="70"/>
      <c r="E20" s="70"/>
      <c r="F20" s="70"/>
      <c r="G20" s="70"/>
      <c r="H20" s="70"/>
      <c r="I20" s="70"/>
      <c r="J20" s="70"/>
      <c r="K20" s="70"/>
    </row>
    <row r="21" spans="1:11" x14ac:dyDescent="0.25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13E69-81EC-4F2F-97D5-53381BB5D895}">
  <sheetPr>
    <tabColor rgb="FF00B050"/>
  </sheetPr>
  <dimension ref="A3:L21"/>
  <sheetViews>
    <sheetView workbookViewId="0">
      <selection activeCell="A2" sqref="A2:M23"/>
    </sheetView>
  </sheetViews>
  <sheetFormatPr baseColWidth="10" defaultRowHeight="15" x14ac:dyDescent="0.25"/>
  <cols>
    <col min="3" max="3" width="18.5703125" customWidth="1"/>
  </cols>
  <sheetData>
    <row r="3" spans="1:12" x14ac:dyDescent="0.25">
      <c r="A3" s="26"/>
      <c r="B3" s="27" t="s">
        <v>73</v>
      </c>
      <c r="C3" s="26"/>
      <c r="D3" s="26"/>
      <c r="E3" s="26"/>
      <c r="F3" s="26"/>
      <c r="G3" s="26"/>
      <c r="H3" s="26"/>
      <c r="I3" s="26"/>
      <c r="J3" s="26"/>
      <c r="K3" s="26"/>
      <c r="L3" s="26"/>
    </row>
    <row r="4" spans="1:12" x14ac:dyDescent="0.25">
      <c r="A4" s="70" t="s">
        <v>205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</row>
    <row r="5" spans="1:12" x14ac:dyDescent="0.2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</row>
    <row r="6" spans="1:12" x14ac:dyDescent="0.25">
      <c r="A6" s="70" t="s">
        <v>206</v>
      </c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</row>
    <row r="7" spans="1:12" x14ac:dyDescent="0.25">
      <c r="A7" s="70" t="s">
        <v>207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</row>
    <row r="8" spans="1:12" x14ac:dyDescent="0.25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</row>
    <row r="9" spans="1:12" x14ac:dyDescent="0.25">
      <c r="A9" s="70" t="s">
        <v>198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</row>
    <row r="10" spans="1:12" x14ac:dyDescent="0.25">
      <c r="A10" s="70" t="s">
        <v>208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</row>
    <row r="11" spans="1:12" x14ac:dyDescent="0.25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</row>
    <row r="12" spans="1:12" x14ac:dyDescent="0.25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</row>
    <row r="13" spans="1:12" x14ac:dyDescent="0.25">
      <c r="A13" s="70"/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</row>
    <row r="14" spans="1:12" x14ac:dyDescent="0.25">
      <c r="A14" s="26"/>
      <c r="B14" s="27" t="s">
        <v>42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</row>
    <row r="15" spans="1:12" x14ac:dyDescent="0.25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</row>
    <row r="16" spans="1:12" x14ac:dyDescent="0.25">
      <c r="A16" s="70" t="s">
        <v>209</v>
      </c>
      <c r="B16" s="70"/>
      <c r="C16" s="73">
        <v>160</v>
      </c>
      <c r="D16" s="70"/>
      <c r="E16" s="70"/>
      <c r="F16" s="70"/>
      <c r="G16" s="70"/>
      <c r="H16" s="70"/>
      <c r="I16" s="70"/>
      <c r="J16" s="70"/>
      <c r="K16" s="70"/>
      <c r="L16" s="70"/>
    </row>
    <row r="17" spans="1:12" x14ac:dyDescent="0.25">
      <c r="A17" s="70" t="s">
        <v>210</v>
      </c>
      <c r="B17" s="70"/>
      <c r="C17" s="71">
        <f>120000/1000</f>
        <v>120</v>
      </c>
      <c r="D17" s="70"/>
      <c r="E17" s="70"/>
      <c r="F17" s="70"/>
      <c r="G17" s="70"/>
      <c r="H17" s="70"/>
      <c r="I17" s="70"/>
      <c r="J17" s="70"/>
      <c r="K17" s="70"/>
      <c r="L17" s="70"/>
    </row>
    <row r="18" spans="1:12" x14ac:dyDescent="0.25">
      <c r="A18" s="70"/>
      <c r="B18" s="71"/>
      <c r="C18" s="70"/>
      <c r="D18" s="70"/>
      <c r="E18" s="70"/>
      <c r="F18" s="70"/>
      <c r="G18" s="70"/>
      <c r="H18" s="70"/>
      <c r="I18" s="70"/>
      <c r="J18" s="70"/>
      <c r="K18" s="70"/>
      <c r="L18" s="70"/>
    </row>
    <row r="19" spans="1:12" x14ac:dyDescent="0.25">
      <c r="A19" s="70" t="s">
        <v>211</v>
      </c>
      <c r="B19" s="71"/>
      <c r="C19" s="74">
        <f>+C16-C17</f>
        <v>40</v>
      </c>
      <c r="D19" s="70" t="s">
        <v>212</v>
      </c>
      <c r="E19" s="70"/>
      <c r="F19" s="70"/>
      <c r="G19" s="70"/>
      <c r="H19" s="70"/>
      <c r="I19" s="70"/>
      <c r="J19" s="70"/>
      <c r="K19" s="70"/>
      <c r="L19" s="70"/>
    </row>
    <row r="20" spans="1:12" x14ac:dyDescent="0.25">
      <c r="A20" s="70"/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</row>
    <row r="21" spans="1:12" x14ac:dyDescent="0.25">
      <c r="A21" s="70" t="s">
        <v>213</v>
      </c>
      <c r="B21" s="72"/>
      <c r="C21" s="71">
        <f>+C19*200</f>
        <v>8000</v>
      </c>
      <c r="D21" s="70" t="s">
        <v>214</v>
      </c>
      <c r="E21" s="70"/>
      <c r="F21" s="70"/>
      <c r="G21" s="70"/>
      <c r="H21" s="70"/>
      <c r="I21" s="70"/>
      <c r="J21" s="70"/>
      <c r="K21" s="70"/>
      <c r="L21" s="7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B1:D45"/>
  <sheetViews>
    <sheetView showGridLines="0" tabSelected="1" workbookViewId="0">
      <selection activeCell="H27" sqref="H27"/>
    </sheetView>
  </sheetViews>
  <sheetFormatPr baseColWidth="10" defaultRowHeight="15" outlineLevelRow="1" x14ac:dyDescent="0.25"/>
  <cols>
    <col min="2" max="2" width="56.5703125" bestFit="1" customWidth="1"/>
    <col min="3" max="3" width="13" bestFit="1" customWidth="1"/>
  </cols>
  <sheetData>
    <row r="1" spans="2:4" ht="14.25" customHeight="1" x14ac:dyDescent="0.25"/>
    <row r="2" spans="2:4" s="26" customFormat="1" x14ac:dyDescent="0.25">
      <c r="B2" s="27" t="s">
        <v>73</v>
      </c>
    </row>
    <row r="4" spans="2:4" x14ac:dyDescent="0.25">
      <c r="B4" s="28" t="s">
        <v>74</v>
      </c>
    </row>
    <row r="5" spans="2:4" x14ac:dyDescent="0.25">
      <c r="B5" t="s">
        <v>44</v>
      </c>
      <c r="C5" s="21">
        <v>1000</v>
      </c>
      <c r="D5" t="s">
        <v>53</v>
      </c>
    </row>
    <row r="6" spans="2:4" x14ac:dyDescent="0.25">
      <c r="B6" t="s">
        <v>45</v>
      </c>
      <c r="C6" s="21">
        <v>1500</v>
      </c>
      <c r="D6" t="s">
        <v>53</v>
      </c>
    </row>
    <row r="7" spans="2:4" x14ac:dyDescent="0.25">
      <c r="B7" t="s">
        <v>47</v>
      </c>
      <c r="C7">
        <v>500</v>
      </c>
      <c r="D7" t="s">
        <v>53</v>
      </c>
    </row>
    <row r="8" spans="2:4" x14ac:dyDescent="0.25">
      <c r="B8" t="s">
        <v>48</v>
      </c>
      <c r="C8" s="23">
        <v>2500</v>
      </c>
      <c r="D8" t="s">
        <v>53</v>
      </c>
    </row>
    <row r="9" spans="2:4" x14ac:dyDescent="0.25">
      <c r="B9" t="s">
        <v>46</v>
      </c>
      <c r="C9" s="21">
        <v>5500</v>
      </c>
      <c r="D9" t="s">
        <v>53</v>
      </c>
    </row>
    <row r="11" spans="2:4" x14ac:dyDescent="0.25">
      <c r="B11" t="s">
        <v>49</v>
      </c>
      <c r="C11" s="21">
        <v>6000</v>
      </c>
      <c r="D11" t="s">
        <v>51</v>
      </c>
    </row>
    <row r="12" spans="2:4" x14ac:dyDescent="0.25">
      <c r="B12" t="s">
        <v>50</v>
      </c>
      <c r="C12" s="21">
        <v>5000</v>
      </c>
      <c r="D12" t="s">
        <v>51</v>
      </c>
    </row>
    <row r="13" spans="2:4" x14ac:dyDescent="0.25">
      <c r="B13" t="s">
        <v>52</v>
      </c>
      <c r="C13" s="21">
        <v>7500</v>
      </c>
      <c r="D13" t="s">
        <v>53</v>
      </c>
    </row>
    <row r="14" spans="2:4" x14ac:dyDescent="0.25">
      <c r="B14" t="s">
        <v>54</v>
      </c>
      <c r="C14" s="22">
        <v>1700000</v>
      </c>
    </row>
    <row r="15" spans="2:4" x14ac:dyDescent="0.25">
      <c r="B15" t="s">
        <v>56</v>
      </c>
      <c r="C15" s="22">
        <v>4800000</v>
      </c>
    </row>
    <row r="16" spans="2:4" x14ac:dyDescent="0.25">
      <c r="B16" t="s">
        <v>55</v>
      </c>
    </row>
    <row r="18" spans="2:4" x14ac:dyDescent="0.25">
      <c r="B18" s="28" t="s">
        <v>64</v>
      </c>
    </row>
    <row r="19" spans="2:4" x14ac:dyDescent="0.25">
      <c r="B19" s="28" t="s">
        <v>71</v>
      </c>
    </row>
    <row r="21" spans="2:4" s="26" customFormat="1" x14ac:dyDescent="0.25">
      <c r="B21" s="27" t="s">
        <v>42</v>
      </c>
    </row>
    <row r="23" spans="2:4" outlineLevel="1" x14ac:dyDescent="0.25">
      <c r="B23" s="28" t="s">
        <v>63</v>
      </c>
    </row>
    <row r="24" spans="2:4" outlineLevel="1" x14ac:dyDescent="0.25">
      <c r="B24" s="29" t="s">
        <v>43</v>
      </c>
    </row>
    <row r="25" spans="2:4" outlineLevel="1" x14ac:dyDescent="0.25">
      <c r="B25" t="s">
        <v>57</v>
      </c>
      <c r="C25" s="24">
        <f>+C13*C12</f>
        <v>37500000</v>
      </c>
    </row>
    <row r="26" spans="2:4" outlineLevel="1" x14ac:dyDescent="0.25">
      <c r="B26" t="s">
        <v>58</v>
      </c>
      <c r="C26" s="24">
        <f>+C11*C9</f>
        <v>33000000</v>
      </c>
      <c r="D26" t="s">
        <v>76</v>
      </c>
    </row>
    <row r="27" spans="2:4" outlineLevel="1" x14ac:dyDescent="0.25">
      <c r="B27" t="s">
        <v>59</v>
      </c>
      <c r="C27" s="24">
        <f>+(C11-C12)*C9</f>
        <v>5500000</v>
      </c>
      <c r="D27" t="s">
        <v>78</v>
      </c>
    </row>
    <row r="28" spans="2:4" outlineLevel="1" x14ac:dyDescent="0.25">
      <c r="B28" t="s">
        <v>60</v>
      </c>
      <c r="C28" s="24">
        <f>+C26-C27</f>
        <v>27500000</v>
      </c>
    </row>
    <row r="29" spans="2:4" outlineLevel="1" x14ac:dyDescent="0.25">
      <c r="B29" s="28" t="s">
        <v>61</v>
      </c>
      <c r="C29" s="32">
        <f>+C25-C28</f>
        <v>10000000</v>
      </c>
    </row>
    <row r="30" spans="2:4" outlineLevel="1" x14ac:dyDescent="0.25">
      <c r="B30" t="s">
        <v>62</v>
      </c>
      <c r="C30" s="25">
        <f>+C14+C15</f>
        <v>6500000</v>
      </c>
      <c r="D30" t="s">
        <v>80</v>
      </c>
    </row>
    <row r="31" spans="2:4" outlineLevel="1" x14ac:dyDescent="0.25">
      <c r="B31" s="28" t="s">
        <v>63</v>
      </c>
      <c r="C31" s="32">
        <f>+C29-C30</f>
        <v>3500000</v>
      </c>
    </row>
    <row r="32" spans="2:4" outlineLevel="1" x14ac:dyDescent="0.25"/>
    <row r="33" spans="2:4" outlineLevel="1" x14ac:dyDescent="0.25">
      <c r="B33" s="29" t="s">
        <v>65</v>
      </c>
    </row>
    <row r="34" spans="2:4" outlineLevel="1" x14ac:dyDescent="0.25">
      <c r="B34" t="s">
        <v>57</v>
      </c>
      <c r="C34" s="25">
        <f>+C25</f>
        <v>37500000</v>
      </c>
    </row>
    <row r="35" spans="2:4" outlineLevel="1" x14ac:dyDescent="0.25">
      <c r="B35" t="s">
        <v>66</v>
      </c>
      <c r="C35" s="25">
        <f>+C12*(C7+C5+C6)</f>
        <v>15000000</v>
      </c>
      <c r="D35" t="s">
        <v>163</v>
      </c>
    </row>
    <row r="36" spans="2:4" outlineLevel="1" x14ac:dyDescent="0.25">
      <c r="B36" t="s">
        <v>67</v>
      </c>
      <c r="C36" s="25">
        <f>+C14</f>
        <v>1700000</v>
      </c>
      <c r="D36" t="s">
        <v>77</v>
      </c>
    </row>
    <row r="37" spans="2:4" outlineLevel="1" x14ac:dyDescent="0.25">
      <c r="B37" s="28" t="s">
        <v>68</v>
      </c>
      <c r="C37" s="32">
        <f>+C34-C35-C36</f>
        <v>20800000</v>
      </c>
    </row>
    <row r="38" spans="2:4" outlineLevel="1" x14ac:dyDescent="0.25">
      <c r="B38" t="s">
        <v>70</v>
      </c>
      <c r="C38" s="25">
        <f>+C8*C11</f>
        <v>15000000</v>
      </c>
      <c r="D38" t="s">
        <v>79</v>
      </c>
    </row>
    <row r="39" spans="2:4" outlineLevel="1" x14ac:dyDescent="0.25">
      <c r="B39" t="s">
        <v>69</v>
      </c>
      <c r="C39" s="25">
        <f>+C15</f>
        <v>4800000</v>
      </c>
    </row>
    <row r="40" spans="2:4" outlineLevel="1" x14ac:dyDescent="0.25">
      <c r="B40" s="28" t="s">
        <v>63</v>
      </c>
      <c r="C40" s="32">
        <f>+C37-C39-C38</f>
        <v>1000000</v>
      </c>
    </row>
    <row r="41" spans="2:4" outlineLevel="1" x14ac:dyDescent="0.25"/>
    <row r="42" spans="2:4" outlineLevel="1" x14ac:dyDescent="0.25">
      <c r="B42" s="28" t="s">
        <v>72</v>
      </c>
    </row>
    <row r="43" spans="2:4" outlineLevel="1" x14ac:dyDescent="0.25">
      <c r="B43" s="29" t="s">
        <v>43</v>
      </c>
      <c r="C43" s="22">
        <f>+(C11-C12)*C9</f>
        <v>5500000</v>
      </c>
    </row>
    <row r="44" spans="2:4" outlineLevel="1" x14ac:dyDescent="0.25">
      <c r="B44" s="29" t="s">
        <v>65</v>
      </c>
      <c r="C44" s="22">
        <f>+(C11-C12)*(C5+C6+C7)</f>
        <v>3000000</v>
      </c>
      <c r="D44" t="s">
        <v>75</v>
      </c>
    </row>
    <row r="45" spans="2:4" outlineLevel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Indicadores y ratios 1</vt:lpstr>
      <vt:lpstr>Indicadores y ratios 2</vt:lpstr>
      <vt:lpstr>Indicadores y ratios 3</vt:lpstr>
      <vt:lpstr>Costeo por procesos sin inventa</vt:lpstr>
      <vt:lpstr>Costeo Basado en Actividades</vt:lpstr>
      <vt:lpstr>Costeo variable 1</vt:lpstr>
      <vt:lpstr>Costeo variable 2</vt:lpstr>
      <vt:lpstr>Costeo variable 3</vt:lpstr>
      <vt:lpstr>Costeo absorvente y 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santiago</cp:lastModifiedBy>
  <dcterms:created xsi:type="dcterms:W3CDTF">2020-10-23T23:08:01Z</dcterms:created>
  <dcterms:modified xsi:type="dcterms:W3CDTF">2024-04-04T19:41:50Z</dcterms:modified>
</cp:coreProperties>
</file>