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iago\Documentos\UCC-Santi\4to\Economia\Practico\Ejercicios\Unidad 6\"/>
    </mc:Choice>
  </mc:AlternateContent>
  <xr:revisionPtr revIDLastSave="0" documentId="13_ncr:1_{182ACD10-DF76-4095-AEF3-90E7DF5AA04D}" xr6:coauthVersionLast="47" xr6:coauthVersionMax="47" xr10:uidLastSave="{00000000-0000-0000-0000-000000000000}"/>
  <bookViews>
    <workbookView xWindow="-120" yWindow="-120" windowWidth="29040" windowHeight="15720" firstSheet="6" activeTab="9" xr2:uid="{00000000-000D-0000-FFFF-FFFF00000000}"/>
  </bookViews>
  <sheets>
    <sheet name="Interés Compuesto vs Simple" sheetId="1" r:id="rId1"/>
    <sheet name="Anualidad 1" sheetId="2" r:id="rId2"/>
    <sheet name="Anualidad 2" sheetId="5" r:id="rId3"/>
    <sheet name="Perpetuidad 1" sheetId="6" r:id="rId4"/>
    <sheet name="Perpetuidad 2" sheetId="7" r:id="rId5"/>
    <sheet name="Amortizacion de deuda 1" sheetId="3" r:id="rId6"/>
    <sheet name="Amortizacion de deuda 2" sheetId="8" r:id="rId7"/>
    <sheet name="Amortizacion de deuda 3" sheetId="9" r:id="rId8"/>
    <sheet name="Amortizacion de deuda 4" sheetId="10" r:id="rId9"/>
    <sheet name="VAN - TIR 1" sheetId="4" r:id="rId10"/>
    <sheet name="VAN - TIR 2" sheetId="12" r:id="rId11"/>
    <sheet name="VAN - TIR 3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" l="1"/>
  <c r="D11" i="13" s="1"/>
  <c r="D12" i="13" s="1"/>
  <c r="D13" i="13" s="1"/>
  <c r="D61" i="12"/>
  <c r="D60" i="12"/>
  <c r="D65" i="12" s="1"/>
  <c r="J58" i="12"/>
  <c r="J57" i="12"/>
  <c r="J60" i="12" s="1"/>
  <c r="I57" i="12"/>
  <c r="H57" i="12"/>
  <c r="G57" i="12"/>
  <c r="F57" i="12"/>
  <c r="E57" i="12"/>
  <c r="E60" i="12" s="1"/>
  <c r="J56" i="12"/>
  <c r="I56" i="12"/>
  <c r="I60" i="12" s="1"/>
  <c r="H56" i="12"/>
  <c r="H60" i="12" s="1"/>
  <c r="G56" i="12"/>
  <c r="G60" i="12" s="1"/>
  <c r="F56" i="12"/>
  <c r="F60" i="12" s="1"/>
  <c r="E56" i="12"/>
  <c r="P47" i="12"/>
  <c r="C27" i="12"/>
  <c r="C34" i="12" s="1"/>
  <c r="I25" i="12"/>
  <c r="I21" i="12"/>
  <c r="H21" i="12"/>
  <c r="G21" i="12"/>
  <c r="G19" i="12" s="1"/>
  <c r="G22" i="12" s="1"/>
  <c r="G27" i="12" s="1"/>
  <c r="F21" i="12"/>
  <c r="F19" i="12" s="1"/>
  <c r="F22" i="12" s="1"/>
  <c r="F27" i="12" s="1"/>
  <c r="E21" i="12"/>
  <c r="E19" i="12" s="1"/>
  <c r="E22" i="12" s="1"/>
  <c r="E27" i="12" s="1"/>
  <c r="D21" i="12"/>
  <c r="D19" i="12" s="1"/>
  <c r="D22" i="12" s="1"/>
  <c r="D27" i="12" s="1"/>
  <c r="I19" i="12"/>
  <c r="H19" i="12"/>
  <c r="I18" i="12"/>
  <c r="I22" i="12" s="1"/>
  <c r="I27" i="12" s="1"/>
  <c r="H18" i="12"/>
  <c r="H22" i="12" s="1"/>
  <c r="H27" i="12" s="1"/>
  <c r="G18" i="12"/>
  <c r="F18" i="12"/>
  <c r="E18" i="12"/>
  <c r="D18" i="12"/>
  <c r="C12" i="7"/>
  <c r="C15" i="7" s="1"/>
  <c r="B9" i="6"/>
  <c r="B10" i="5"/>
  <c r="H46" i="4"/>
  <c r="G46" i="4"/>
  <c r="Q44" i="4"/>
  <c r="Q46" i="4" s="1"/>
  <c r="M44" i="4"/>
  <c r="M46" i="4" s="1"/>
  <c r="L44" i="4"/>
  <c r="L46" i="4" s="1"/>
  <c r="R43" i="4"/>
  <c r="Q43" i="4"/>
  <c r="P43" i="4"/>
  <c r="O43" i="4"/>
  <c r="N43" i="4"/>
  <c r="M43" i="4"/>
  <c r="L43" i="4"/>
  <c r="K43" i="4"/>
  <c r="J43" i="4"/>
  <c r="I43" i="4"/>
  <c r="I44" i="4" s="1"/>
  <c r="I46" i="4" s="1"/>
  <c r="H43" i="4"/>
  <c r="G43" i="4"/>
  <c r="R42" i="4"/>
  <c r="R44" i="4" s="1"/>
  <c r="R46" i="4" s="1"/>
  <c r="Q42" i="4"/>
  <c r="P42" i="4"/>
  <c r="P44" i="4" s="1"/>
  <c r="P46" i="4" s="1"/>
  <c r="O42" i="4"/>
  <c r="O44" i="4" s="1"/>
  <c r="O46" i="4" s="1"/>
  <c r="N42" i="4"/>
  <c r="M42" i="4"/>
  <c r="L42" i="4"/>
  <c r="K42" i="4"/>
  <c r="K44" i="4" s="1"/>
  <c r="K46" i="4" s="1"/>
  <c r="J42" i="4"/>
  <c r="J44" i="4" s="1"/>
  <c r="J46" i="4" s="1"/>
  <c r="I42" i="4"/>
  <c r="H42" i="4"/>
  <c r="H44" i="4" s="1"/>
  <c r="G42" i="4"/>
  <c r="G44" i="4" s="1"/>
  <c r="N41" i="4"/>
  <c r="F41" i="4"/>
  <c r="F44" i="4" s="1"/>
  <c r="F46" i="4" s="1"/>
  <c r="Q28" i="4"/>
  <c r="L28" i="4"/>
  <c r="R26" i="4"/>
  <c r="R28" i="4" s="1"/>
  <c r="Q26" i="4"/>
  <c r="J26" i="4"/>
  <c r="J28" i="4" s="1"/>
  <c r="I26" i="4"/>
  <c r="I28" i="4" s="1"/>
  <c r="F26" i="4"/>
  <c r="F28" i="4" s="1"/>
  <c r="R25" i="4"/>
  <c r="Q25" i="4"/>
  <c r="P25" i="4"/>
  <c r="O25" i="4"/>
  <c r="N25" i="4"/>
  <c r="N26" i="4" s="1"/>
  <c r="N28" i="4" s="1"/>
  <c r="M25" i="4"/>
  <c r="L25" i="4"/>
  <c r="K25" i="4"/>
  <c r="J25" i="4"/>
  <c r="I25" i="4"/>
  <c r="H25" i="4"/>
  <c r="G25" i="4"/>
  <c r="R24" i="4"/>
  <c r="Q24" i="4"/>
  <c r="P24" i="4"/>
  <c r="P26" i="4" s="1"/>
  <c r="P28" i="4" s="1"/>
  <c r="O24" i="4"/>
  <c r="O26" i="4" s="1"/>
  <c r="O28" i="4" s="1"/>
  <c r="N24" i="4"/>
  <c r="M24" i="4"/>
  <c r="L24" i="4"/>
  <c r="L26" i="4" s="1"/>
  <c r="K24" i="4"/>
  <c r="J24" i="4"/>
  <c r="I24" i="4"/>
  <c r="H24" i="4"/>
  <c r="H26" i="4" s="1"/>
  <c r="H28" i="4" s="1"/>
  <c r="G24" i="4"/>
  <c r="G26" i="4" s="1"/>
  <c r="G28" i="4" s="1"/>
  <c r="M23" i="4"/>
  <c r="M26" i="4" s="1"/>
  <c r="M28" i="4" s="1"/>
  <c r="I23" i="4"/>
  <c r="F51" i="3"/>
  <c r="L46" i="3"/>
  <c r="L45" i="3"/>
  <c r="L44" i="3"/>
  <c r="L43" i="3"/>
  <c r="L42" i="3"/>
  <c r="L41" i="3"/>
  <c r="L40" i="3"/>
  <c r="L39" i="3"/>
  <c r="L38" i="3"/>
  <c r="L37" i="3"/>
  <c r="L36" i="3"/>
  <c r="L35" i="3"/>
  <c r="B35" i="3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L34" i="3"/>
  <c r="B34" i="3"/>
  <c r="L33" i="3"/>
  <c r="L32" i="3"/>
  <c r="C32" i="3"/>
  <c r="D32" i="3" s="1"/>
  <c r="E32" i="3" s="1"/>
  <c r="B32" i="3"/>
  <c r="B33" i="3" s="1"/>
  <c r="L31" i="3"/>
  <c r="G31" i="3"/>
  <c r="E31" i="3"/>
  <c r="D31" i="3"/>
  <c r="L30" i="3"/>
  <c r="L29" i="3"/>
  <c r="L28" i="3"/>
  <c r="I28" i="3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M27" i="3"/>
  <c r="L27" i="3"/>
  <c r="K27" i="3"/>
  <c r="E26" i="3"/>
  <c r="E28" i="3" s="1"/>
  <c r="C58" i="3" s="1"/>
  <c r="C59" i="3" s="1"/>
  <c r="G44" i="2"/>
  <c r="G43" i="2"/>
  <c r="C31" i="2"/>
  <c r="C32" i="2" s="1"/>
  <c r="G54" i="1"/>
  <c r="C55" i="1" s="1"/>
  <c r="C59" i="1" s="1"/>
  <c r="C60" i="1" s="1"/>
  <c r="D58" i="1" s="1"/>
  <c r="C45" i="1"/>
  <c r="C46" i="1" s="1"/>
  <c r="D44" i="1" s="1"/>
  <c r="F32" i="1"/>
  <c r="E32" i="1"/>
  <c r="D32" i="1"/>
  <c r="C32" i="1"/>
  <c r="F31" i="1"/>
  <c r="E31" i="1"/>
  <c r="D31" i="1"/>
  <c r="C31" i="1"/>
  <c r="G31" i="1" s="1"/>
  <c r="E34" i="12" l="1"/>
  <c r="E28" i="12"/>
  <c r="F34" i="12"/>
  <c r="F28" i="12"/>
  <c r="G65" i="12"/>
  <c r="G61" i="12"/>
  <c r="D34" i="12"/>
  <c r="D28" i="12"/>
  <c r="F61" i="12"/>
  <c r="F65" i="12"/>
  <c r="G28" i="12"/>
  <c r="G34" i="12"/>
  <c r="H36" i="12" s="1"/>
  <c r="H34" i="12"/>
  <c r="H28" i="12"/>
  <c r="H65" i="12"/>
  <c r="H61" i="12"/>
  <c r="J61" i="12"/>
  <c r="J65" i="12"/>
  <c r="I34" i="12"/>
  <c r="I28" i="12"/>
  <c r="I65" i="12"/>
  <c r="I61" i="12"/>
  <c r="D66" i="12"/>
  <c r="E61" i="12"/>
  <c r="E65" i="12"/>
  <c r="D64" i="12"/>
  <c r="D63" i="12"/>
  <c r="C28" i="12"/>
  <c r="D59" i="1"/>
  <c r="D60" i="1"/>
  <c r="E58" i="1" s="1"/>
  <c r="C33" i="2"/>
  <c r="C35" i="2" s="1"/>
  <c r="D31" i="2" s="1"/>
  <c r="D45" i="1"/>
  <c r="D46" i="1" s="1"/>
  <c r="E44" i="1" s="1"/>
  <c r="F47" i="4"/>
  <c r="F29" i="4"/>
  <c r="N44" i="4"/>
  <c r="N46" i="4" s="1"/>
  <c r="G32" i="3"/>
  <c r="C33" i="3" s="1"/>
  <c r="L47" i="3"/>
  <c r="N27" i="3"/>
  <c r="J28" i="3" s="1"/>
  <c r="K26" i="4"/>
  <c r="K28" i="4" s="1"/>
  <c r="C30" i="12" l="1"/>
  <c r="K28" i="3"/>
  <c r="N28" i="3"/>
  <c r="J29" i="3" s="1"/>
  <c r="D32" i="2"/>
  <c r="D33" i="2"/>
  <c r="D35" i="2" s="1"/>
  <c r="E31" i="2" s="1"/>
  <c r="D33" i="3"/>
  <c r="E45" i="1"/>
  <c r="E59" i="1"/>
  <c r="E60" i="1" s="1"/>
  <c r="F58" i="1" s="1"/>
  <c r="F59" i="1" l="1"/>
  <c r="G59" i="1" s="1"/>
  <c r="K29" i="3"/>
  <c r="M29" i="3" s="1"/>
  <c r="N29" i="3"/>
  <c r="J30" i="3" s="1"/>
  <c r="E33" i="3"/>
  <c r="E33" i="2"/>
  <c r="E35" i="2" s="1"/>
  <c r="F31" i="2" s="1"/>
  <c r="E32" i="2"/>
  <c r="M28" i="3"/>
  <c r="E46" i="1"/>
  <c r="F44" i="1" s="1"/>
  <c r="F32" i="2" l="1"/>
  <c r="F33" i="2" s="1"/>
  <c r="F35" i="2" s="1"/>
  <c r="G31" i="2" s="1"/>
  <c r="G33" i="3"/>
  <c r="C34" i="3" s="1"/>
  <c r="F45" i="1"/>
  <c r="G45" i="1" s="1"/>
  <c r="F46" i="1"/>
  <c r="K30" i="3"/>
  <c r="M30" i="3" s="1"/>
  <c r="N30" i="3"/>
  <c r="J31" i="3" s="1"/>
  <c r="F60" i="1"/>
  <c r="G32" i="2" l="1"/>
  <c r="G33" i="2"/>
  <c r="G35" i="2" s="1"/>
  <c r="H31" i="2" s="1"/>
  <c r="D34" i="3"/>
  <c r="K31" i="3"/>
  <c r="N31" i="3"/>
  <c r="J32" i="3" s="1"/>
  <c r="E34" i="3" l="1"/>
  <c r="K32" i="3"/>
  <c r="M32" i="3" s="1"/>
  <c r="N32" i="3"/>
  <c r="J33" i="3" s="1"/>
  <c r="M31" i="3"/>
  <c r="H32" i="2"/>
  <c r="H33" i="2" s="1"/>
  <c r="H35" i="2" s="1"/>
  <c r="G34" i="3" l="1"/>
  <c r="C35" i="3" s="1"/>
  <c r="N33" i="3"/>
  <c r="J34" i="3" s="1"/>
  <c r="K33" i="3"/>
  <c r="M33" i="3" l="1"/>
  <c r="K34" i="3"/>
  <c r="M34" i="3" s="1"/>
  <c r="N34" i="3"/>
  <c r="J35" i="3" s="1"/>
  <c r="D35" i="3"/>
  <c r="N35" i="3" l="1"/>
  <c r="J36" i="3" s="1"/>
  <c r="K35" i="3"/>
  <c r="M35" i="3" s="1"/>
  <c r="E35" i="3"/>
  <c r="G35" i="3" l="1"/>
  <c r="C36" i="3" s="1"/>
  <c r="K36" i="3"/>
  <c r="M36" i="3" s="1"/>
  <c r="N36" i="3"/>
  <c r="J37" i="3" s="1"/>
  <c r="K37" i="3" l="1"/>
  <c r="M37" i="3" s="1"/>
  <c r="N37" i="3"/>
  <c r="J38" i="3" s="1"/>
  <c r="D36" i="3"/>
  <c r="E36" i="3" s="1"/>
  <c r="G36" i="3" s="1"/>
  <c r="C37" i="3" s="1"/>
  <c r="D37" i="3" l="1"/>
  <c r="E37" i="3" s="1"/>
  <c r="G37" i="3" s="1"/>
  <c r="C38" i="3" s="1"/>
  <c r="N38" i="3"/>
  <c r="J39" i="3" s="1"/>
  <c r="K38" i="3"/>
  <c r="M38" i="3" s="1"/>
  <c r="D38" i="3" l="1"/>
  <c r="E38" i="3" s="1"/>
  <c r="G38" i="3"/>
  <c r="C39" i="3" s="1"/>
  <c r="K39" i="3"/>
  <c r="M39" i="3" s="1"/>
  <c r="N39" i="3"/>
  <c r="J40" i="3" s="1"/>
  <c r="D39" i="3" l="1"/>
  <c r="E39" i="3" s="1"/>
  <c r="G39" i="3"/>
  <c r="C40" i="3" s="1"/>
  <c r="K40" i="3"/>
  <c r="M40" i="3" s="1"/>
  <c r="N40" i="3"/>
  <c r="J41" i="3" s="1"/>
  <c r="K41" i="3" l="1"/>
  <c r="M41" i="3" s="1"/>
  <c r="N41" i="3"/>
  <c r="J42" i="3" s="1"/>
  <c r="D40" i="3"/>
  <c r="E40" i="3" s="1"/>
  <c r="G40" i="3" s="1"/>
  <c r="C41" i="3" s="1"/>
  <c r="D41" i="3" l="1"/>
  <c r="E41" i="3" s="1"/>
  <c r="G41" i="3" s="1"/>
  <c r="C42" i="3" s="1"/>
  <c r="N42" i="3"/>
  <c r="J43" i="3" s="1"/>
  <c r="K42" i="3"/>
  <c r="M42" i="3" s="1"/>
  <c r="D42" i="3" l="1"/>
  <c r="E42" i="3" s="1"/>
  <c r="G42" i="3"/>
  <c r="C43" i="3" s="1"/>
  <c r="N43" i="3"/>
  <c r="J44" i="3" s="1"/>
  <c r="K43" i="3"/>
  <c r="M43" i="3" s="1"/>
  <c r="D43" i="3" l="1"/>
  <c r="E43" i="3" s="1"/>
  <c r="G43" i="3"/>
  <c r="C44" i="3" s="1"/>
  <c r="K44" i="3"/>
  <c r="M44" i="3" s="1"/>
  <c r="N44" i="3"/>
  <c r="J45" i="3" s="1"/>
  <c r="K45" i="3" l="1"/>
  <c r="M45" i="3" s="1"/>
  <c r="N45" i="3"/>
  <c r="J46" i="3" s="1"/>
  <c r="D44" i="3"/>
  <c r="E44" i="3" s="1"/>
  <c r="G44" i="3" s="1"/>
  <c r="C45" i="3" s="1"/>
  <c r="D45" i="3" l="1"/>
  <c r="E45" i="3" s="1"/>
  <c r="G45" i="3" s="1"/>
  <c r="C46" i="3" s="1"/>
  <c r="N46" i="3"/>
  <c r="K46" i="3"/>
  <c r="D46" i="3" l="1"/>
  <c r="E46" i="3" s="1"/>
  <c r="G46" i="3"/>
  <c r="C47" i="3" s="1"/>
  <c r="M46" i="3"/>
  <c r="M47" i="3" s="1"/>
  <c r="K47" i="3"/>
  <c r="G59" i="3" l="1"/>
  <c r="G58" i="3"/>
  <c r="D47" i="3"/>
  <c r="E47" i="3" s="1"/>
  <c r="G47" i="3"/>
  <c r="C48" i="3" s="1"/>
  <c r="D48" i="3" l="1"/>
  <c r="E48" i="3" s="1"/>
  <c r="G48" i="3"/>
  <c r="C49" i="3" s="1"/>
  <c r="D49" i="3" l="1"/>
  <c r="E49" i="3" s="1"/>
  <c r="G49" i="3"/>
  <c r="C50" i="3" s="1"/>
  <c r="D50" i="3" l="1"/>
  <c r="E50" i="3" l="1"/>
  <c r="D51" i="3"/>
  <c r="E51" i="3" l="1"/>
  <c r="G50" i="3"/>
</calcChain>
</file>

<file path=xl/sharedStrings.xml><?xml version="1.0" encoding="utf-8"?>
<sst xmlns="http://schemas.openxmlformats.org/spreadsheetml/2006/main" count="231" uniqueCount="148">
  <si>
    <t>A)</t>
  </si>
  <si>
    <t>Monto Inicial</t>
  </si>
  <si>
    <t>Interés</t>
  </si>
  <si>
    <t>Anual</t>
  </si>
  <si>
    <t>Año 1</t>
  </si>
  <si>
    <t>Año 2</t>
  </si>
  <si>
    <t>Año 3</t>
  </si>
  <si>
    <t>Año 4</t>
  </si>
  <si>
    <t>Total</t>
  </si>
  <si>
    <t>Capital Inicio</t>
  </si>
  <si>
    <t>Interes</t>
  </si>
  <si>
    <t>Capital Final</t>
  </si>
  <si>
    <t>El Saldo de la cuenta al final de los 4 años es de 3360</t>
  </si>
  <si>
    <t>2400 + 4 * 240 = 3360</t>
  </si>
  <si>
    <t>B)</t>
  </si>
  <si>
    <t>El saldo de la cuenta al final de los 4 años es de 3513,84</t>
  </si>
  <si>
    <t>C)</t>
  </si>
  <si>
    <t>TEA</t>
  </si>
  <si>
    <t>Anualidad</t>
  </si>
  <si>
    <t>Plazo(n)</t>
  </si>
  <si>
    <t>años</t>
  </si>
  <si>
    <t>Interes(i)</t>
  </si>
  <si>
    <t>Queremos saber el monto presente (P) a invertir</t>
  </si>
  <si>
    <t>Año 5</t>
  </si>
  <si>
    <t>Año 6</t>
  </si>
  <si>
    <t>Capital al Inicio</t>
  </si>
  <si>
    <t>Capital al Final</t>
  </si>
  <si>
    <t>Retiro</t>
  </si>
  <si>
    <t>Saldo</t>
  </si>
  <si>
    <t>-&gt; Esto es porque ya no me interesaría dejarlo</t>
  </si>
  <si>
    <t>P =</t>
  </si>
  <si>
    <t>Sistema Francés</t>
  </si>
  <si>
    <t xml:space="preserve">P </t>
  </si>
  <si>
    <t>Sistema Alemán</t>
  </si>
  <si>
    <t>I</t>
  </si>
  <si>
    <t>N</t>
  </si>
  <si>
    <t>Años</t>
  </si>
  <si>
    <t xml:space="preserve">A= </t>
  </si>
  <si>
    <t>Año</t>
  </si>
  <si>
    <t>Saldo al Inicio</t>
  </si>
  <si>
    <t>Amortización</t>
  </si>
  <si>
    <t>Cuota</t>
  </si>
  <si>
    <t>Saldo al FInal</t>
  </si>
  <si>
    <t>B) y C)</t>
  </si>
  <si>
    <t>Total a Pagar</t>
  </si>
  <si>
    <t xml:space="preserve">De los cuales Interes </t>
  </si>
  <si>
    <t>D)</t>
  </si>
  <si>
    <t>La elección de un sistema u otro depende de varios factores, por un lado el sistema francés nos hace pagar más intereses pero a una cuota inicial mas baja, lo cual puede permitir a nuestro emprendimiento comenzar a funcionar sin ahogarnos. Por otro lado, los Intereses nos sirve para pagar una cantidad de impuestos menor, lo cual también se debe tener en cuenta</t>
  </si>
  <si>
    <t>Plan A</t>
  </si>
  <si>
    <t xml:space="preserve"> Inversion Año 0</t>
  </si>
  <si>
    <t>Inversiones</t>
  </si>
  <si>
    <t>Inversion Año 3</t>
  </si>
  <si>
    <t>Ingresos</t>
  </si>
  <si>
    <t>Inversion Año 7</t>
  </si>
  <si>
    <t>Costos</t>
  </si>
  <si>
    <t>Flujo</t>
  </si>
  <si>
    <t>Valor Presente del Flujo</t>
  </si>
  <si>
    <t>VAN</t>
  </si>
  <si>
    <t>Costo</t>
  </si>
  <si>
    <t>TD</t>
  </si>
  <si>
    <t>Plan B</t>
  </si>
  <si>
    <t>Inversion Año 8</t>
  </si>
  <si>
    <t>Ingreso Final</t>
  </si>
  <si>
    <t>Ejercicio 2: Anualidad</t>
  </si>
  <si>
    <t>Una persona se gana el Quini. Le ofrecen $200 en efectivo o $50 por año durante 5 años. La tasa de descuento es del 10% anual. ¿Qué alternativa le conviene?</t>
  </si>
  <si>
    <t>A=</t>
  </si>
  <si>
    <t>n=</t>
  </si>
  <si>
    <t>i=</t>
  </si>
  <si>
    <t>P=?</t>
  </si>
  <si>
    <t>EFECTIVO</t>
  </si>
  <si>
    <t>RTA</t>
  </si>
  <si>
    <t>CONVIENE EL EFECTIVO YA QUE ES MAYOR AL VP DE LA ANUALIDAD</t>
  </si>
  <si>
    <t>Ejercicio 3: Perpetuidad</t>
  </si>
  <si>
    <t xml:space="preserve">El gobierno le quiere expropiar la casa y le ofrece un pago anual de por vida de $200. La tasa de descuento es del 5% anual.  </t>
  </si>
  <si>
    <t>Determine: el valor presente de los pagos.</t>
  </si>
  <si>
    <t>200/5%</t>
  </si>
  <si>
    <t>Ejercicio 4: Perpetuidad</t>
  </si>
  <si>
    <t>Una persona quiere vender un auto que vale $100. La compradora le pregunta qué valor le gustaría recibir anualmente de ahora hasta el infinito para no pagarle el valor del auto en efectivo. La tasa de descuento es del 5% anual.</t>
  </si>
  <si>
    <t>Determine: ¿Qué valor le debe solicitar anualmente al comprador?</t>
  </si>
  <si>
    <t>VP=</t>
  </si>
  <si>
    <t>r=</t>
  </si>
  <si>
    <t>C=?</t>
  </si>
  <si>
    <t>chequeo</t>
  </si>
  <si>
    <t>Enunciado</t>
  </si>
  <si>
    <t>Usted solicita un credito y se le es otorgado, por un monto de 200000$ una tasa de 60% anual, a pagar en un plazo de 5 años. Determine, aplicando el metodo aleman y el metodo frances, el monto de las cuotas que deberá pagar en cada año</t>
  </si>
  <si>
    <t>Resolución</t>
  </si>
  <si>
    <t>P</t>
  </si>
  <si>
    <t>Usted solicita un credito y se le es otorgado, por un monto de 100000$ una tasa de 2% anual, a pagar en un plazo de 5 años. Determine, aplicando el metodo aleman y el metodo frances, el monto de las cuotas que deberá pagar en cada año</t>
  </si>
  <si>
    <t>Usted se encuentra tramitando un crédito. El banco le ofrece un crédito de $200.000, a pagar en un plazo de 12 meses con una tasa fija del 12% mensual con cuotas mensuales.</t>
  </si>
  <si>
    <t xml:space="preserve">Determine: </t>
  </si>
  <si>
    <t>a) Cuotas, capital a devolver, intereses pagados en cada mes y por el total del préstamo bajo los dos sistemas de Amortización.</t>
  </si>
  <si>
    <t>b) A los 7 meses ud recibe un regalo que le permite adelantar cuotas puras, ¿le conviene cancelar el préstamo o no? Justifique.</t>
  </si>
  <si>
    <t>VAN=</t>
  </si>
  <si>
    <t>La empresa en la que usted trabaja esta evaluando adquirir una máquina que cuesta $2,000.000 para producir un bien que se vende en el mercado a $800 por unidad. La máquina le permitirá elaborar 2000 unidades anuales y la demanda está garantizada. El costo variable de producir cada unidad es de $400, mientras que el costo fijo se estima en $40.000 anuales. La vida útil de la máquina es de 6 años, al cabo de los cuales, tiene un valor residual del 10% del valor de compra.
Calcule el VAN del proyecto, teniendo en cuenta que la tasa de descuento es del 16%.</t>
  </si>
  <si>
    <t>unidades</t>
  </si>
  <si>
    <t>Precio</t>
  </si>
  <si>
    <t>CV</t>
  </si>
  <si>
    <t>año 0</t>
  </si>
  <si>
    <t>año 1</t>
  </si>
  <si>
    <t>año 2</t>
  </si>
  <si>
    <t>año 3</t>
  </si>
  <si>
    <t>año 4</t>
  </si>
  <si>
    <t>año 5</t>
  </si>
  <si>
    <t>año 6</t>
  </si>
  <si>
    <t>Egresos</t>
  </si>
  <si>
    <t>CF</t>
  </si>
  <si>
    <t>Utilidad</t>
  </si>
  <si>
    <t>Inversión</t>
  </si>
  <si>
    <t>VR</t>
  </si>
  <si>
    <t>Io</t>
  </si>
  <si>
    <t>VP</t>
  </si>
  <si>
    <t>tasa:</t>
  </si>
  <si>
    <t>Maquinaria</t>
  </si>
  <si>
    <t>PV</t>
  </si>
  <si>
    <t>Unidades</t>
  </si>
  <si>
    <t>anuales</t>
  </si>
  <si>
    <t xml:space="preserve">n </t>
  </si>
  <si>
    <t>Valor Residual</t>
  </si>
  <si>
    <t>10% val compra</t>
  </si>
  <si>
    <t>van ?</t>
  </si>
  <si>
    <t>Plan a</t>
  </si>
  <si>
    <t>FLUJO</t>
  </si>
  <si>
    <t xml:space="preserve">VAN = </t>
  </si>
  <si>
    <t xml:space="preserve">TIR = </t>
  </si>
  <si>
    <t>VP =</t>
  </si>
  <si>
    <t>Una empresa se plantea la alternativa de presentarse a la licitación por una concesión de un nuevo sistema de transporte público</t>
  </si>
  <si>
    <t>El proyecto requiere la inversión de 100 ómnibus para operar durante 10 años</t>
  </si>
  <si>
    <t>Los ingresos en millones de pesos se estiman en:</t>
  </si>
  <si>
    <t>Año 1=</t>
  </si>
  <si>
    <t>Año 6=</t>
  </si>
  <si>
    <t>Año 2=</t>
  </si>
  <si>
    <t>Año 7=</t>
  </si>
  <si>
    <t>Año 3=</t>
  </si>
  <si>
    <t>Año 8=</t>
  </si>
  <si>
    <t>Año 4=</t>
  </si>
  <si>
    <t>Año 9=</t>
  </si>
  <si>
    <t>Año 5=</t>
  </si>
  <si>
    <t>Año 10=</t>
  </si>
  <si>
    <t>Las inversiones y costos son:</t>
  </si>
  <si>
    <t>Inversión en ómnibus=</t>
  </si>
  <si>
    <t>por unidad</t>
  </si>
  <si>
    <t>Mantenimiento y operación=</t>
  </si>
  <si>
    <t>por unidad-por año</t>
  </si>
  <si>
    <t>Reparaciones extraordinarias=</t>
  </si>
  <si>
    <t>por unidad en el año 5</t>
  </si>
  <si>
    <t>Considere el valor residual en el año 10 de $0</t>
  </si>
  <si>
    <t xml:space="preserve">Tasa de descuento = </t>
  </si>
  <si>
    <t>Determine la VAN y TIR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</si>
</sst>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164" formatCode="d/m"/>
    <numFmt numFmtId="165" formatCode="#,##0\ [$€-1]"/>
    <numFmt numFmtId="166" formatCode="_-* #,##0.00\ [$€-1]_-;\-* #,##0.00\ [$€-1]_-;_-* &quot;-&quot;??\ [$€-1]_-;_-@"/>
    <numFmt numFmtId="167" formatCode="#,##0.00\ [$€-1]"/>
    <numFmt numFmtId="168" formatCode="0.0%"/>
    <numFmt numFmtId="169" formatCode="_-&quot;$&quot;\ * #,##0_-;\-&quot;$&quot;\ * #,##0_-;_-&quot;$&quot;\ * &quot;-&quot;??_-;_-@_-"/>
    <numFmt numFmtId="170" formatCode="_-&quot;$&quot;\ * #,##0.000_-;\-&quot;$&quot;\ * #,##0.000_-;_-&quot;$&quot;\ * &quot;-&quot;??_-;_-@_-"/>
    <numFmt numFmtId="171" formatCode="[$$]#,##0.00"/>
    <numFmt numFmtId="172" formatCode="_-&quot;$&quot;\ * #,##0_-;\-&quot;$&quot;\ * #,##0_-;_-&quot;$&quot;\ * &quot;-&quot;??_-;_-@"/>
  </numFmts>
  <fonts count="2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Inconsolata"/>
    </font>
    <font>
      <sz val="11"/>
      <color rgb="FF11A9CC"/>
      <name val="Arial"/>
      <scheme val="minor"/>
    </font>
    <font>
      <sz val="10"/>
      <color rgb="FF000000"/>
      <name val="Arial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1"/>
      <color theme="0"/>
      <name val="Calibri"/>
    </font>
    <font>
      <b/>
      <sz val="14"/>
      <color theme="1"/>
      <name val="Calibri"/>
    </font>
    <font>
      <sz val="11"/>
      <name val="Arial"/>
    </font>
    <font>
      <sz val="11"/>
      <color theme="1"/>
      <name val="Calibri"/>
    </font>
    <font>
      <sz val="12"/>
      <color rgb="FF000000"/>
      <name val="Arial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9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70C0"/>
      <name val="Arial"/>
      <family val="2"/>
      <scheme val="minor"/>
    </font>
    <font>
      <sz val="14"/>
      <color theme="1"/>
      <name val="Calibri"/>
    </font>
    <font>
      <b/>
      <sz val="11"/>
      <color theme="0"/>
      <name val="Calibri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7" fillId="0" borderId="0"/>
  </cellStyleXfs>
  <cellXfs count="120">
    <xf numFmtId="0" fontId="0" fillId="0" borderId="0" xfId="0" applyFont="1" applyAlignment="1"/>
    <xf numFmtId="0" fontId="1" fillId="0" borderId="1" xfId="0" applyFont="1" applyBorder="1" applyAlignment="1"/>
    <xf numFmtId="9" fontId="1" fillId="0" borderId="1" xfId="0" applyNumberFormat="1" applyFont="1" applyBorder="1" applyAlignment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4" fontId="1" fillId="0" borderId="1" xfId="0" applyNumberFormat="1" applyFont="1" applyBorder="1" applyAlignment="1"/>
    <xf numFmtId="10" fontId="1" fillId="0" borderId="1" xfId="0" applyNumberFormat="1" applyFont="1" applyBorder="1" applyAlignment="1"/>
    <xf numFmtId="166" fontId="1" fillId="2" borderId="0" xfId="0" applyNumberFormat="1" applyFont="1" applyFill="1"/>
    <xf numFmtId="166" fontId="1" fillId="0" borderId="1" xfId="0" applyNumberFormat="1" applyFont="1" applyBorder="1"/>
    <xf numFmtId="166" fontId="1" fillId="0" borderId="1" xfId="0" applyNumberFormat="1" applyFont="1" applyBorder="1" applyAlignment="1"/>
    <xf numFmtId="4" fontId="1" fillId="0" borderId="0" xfId="0" applyNumberFormat="1" applyFont="1"/>
    <xf numFmtId="0" fontId="3" fillId="0" borderId="0" xfId="0" applyFont="1" applyAlignment="1"/>
    <xf numFmtId="167" fontId="1" fillId="0" borderId="1" xfId="0" applyNumberFormat="1" applyFont="1" applyBorder="1" applyAlignment="1"/>
    <xf numFmtId="167" fontId="1" fillId="2" borderId="1" xfId="0" applyNumberFormat="1" applyFont="1" applyFill="1" applyBorder="1"/>
    <xf numFmtId="9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167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/>
    <xf numFmtId="0" fontId="1" fillId="0" borderId="8" xfId="0" applyFont="1" applyBorder="1"/>
    <xf numFmtId="167" fontId="1" fillId="0" borderId="8" xfId="0" applyNumberFormat="1" applyFont="1" applyBorder="1"/>
    <xf numFmtId="0" fontId="4" fillId="0" borderId="9" xfId="0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3" xfId="0" applyNumberFormat="1" applyFont="1" applyBorder="1" applyAlignment="1">
      <alignment horizontal="right"/>
    </xf>
    <xf numFmtId="1" fontId="4" fillId="0" borderId="8" xfId="0" applyNumberFormat="1" applyFont="1" applyBorder="1" applyAlignment="1">
      <alignment horizontal="right"/>
    </xf>
    <xf numFmtId="0" fontId="5" fillId="4" borderId="0" xfId="0" applyFont="1" applyFill="1"/>
    <xf numFmtId="3" fontId="1" fillId="0" borderId="1" xfId="0" applyNumberFormat="1" applyFont="1" applyBorder="1" applyAlignment="1"/>
    <xf numFmtId="3" fontId="1" fillId="0" borderId="0" xfId="0" applyNumberFormat="1" applyFont="1" applyAlignment="1"/>
    <xf numFmtId="0" fontId="1" fillId="0" borderId="1" xfId="0" applyFont="1" applyBorder="1" applyAlignment="1">
      <alignment vertical="center" wrapText="1"/>
    </xf>
    <xf numFmtId="167" fontId="1" fillId="0" borderId="0" xfId="0" applyNumberFormat="1" applyFont="1" applyAlignment="1"/>
    <xf numFmtId="167" fontId="6" fillId="0" borderId="0" xfId="0" applyNumberFormat="1" applyFont="1"/>
    <xf numFmtId="0" fontId="9" fillId="0" borderId="0" xfId="0" applyFont="1"/>
    <xf numFmtId="0" fontId="0" fillId="0" borderId="0" xfId="0"/>
    <xf numFmtId="44" fontId="0" fillId="0" borderId="0" xfId="1" applyFont="1"/>
    <xf numFmtId="168" fontId="0" fillId="0" borderId="0" xfId="2" applyNumberFormat="1" applyFont="1"/>
    <xf numFmtId="0" fontId="11" fillId="0" borderId="0" xfId="0" applyFont="1"/>
    <xf numFmtId="44" fontId="11" fillId="0" borderId="0" xfId="1" applyFont="1"/>
    <xf numFmtId="168" fontId="11" fillId="0" borderId="0" xfId="2" applyNumberFormat="1" applyFont="1"/>
    <xf numFmtId="0" fontId="0" fillId="0" borderId="0" xfId="0" applyAlignment="1">
      <alignment horizontal="left" wrapText="1"/>
    </xf>
    <xf numFmtId="9" fontId="0" fillId="0" borderId="0" xfId="0" applyNumberFormat="1"/>
    <xf numFmtId="0" fontId="0" fillId="6" borderId="0" xfId="0" applyFill="1"/>
    <xf numFmtId="44" fontId="0" fillId="6" borderId="0" xfId="1" applyFont="1" applyFill="1"/>
    <xf numFmtId="0" fontId="12" fillId="7" borderId="0" xfId="0" applyFont="1" applyFill="1"/>
    <xf numFmtId="0" fontId="0" fillId="0" borderId="0" xfId="0"/>
    <xf numFmtId="0" fontId="15" fillId="0" borderId="0" xfId="0" applyFont="1" applyAlignment="1">
      <alignment horizontal="left" wrapText="1"/>
    </xf>
    <xf numFmtId="0" fontId="15" fillId="0" borderId="0" xfId="0" applyFont="1"/>
    <xf numFmtId="0" fontId="10" fillId="5" borderId="0" xfId="3"/>
    <xf numFmtId="0" fontId="16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0" fontId="10" fillId="8" borderId="0" xfId="4" applyAlignment="1">
      <alignment horizontal="left" vertical="center" wrapText="1"/>
    </xf>
    <xf numFmtId="0" fontId="10" fillId="8" borderId="0" xfId="4"/>
    <xf numFmtId="0" fontId="18" fillId="0" borderId="0" xfId="5" applyFont="1" applyAlignment="1">
      <alignment horizontal="left" vertical="center" wrapText="1"/>
    </xf>
    <xf numFmtId="169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8" fillId="0" borderId="0" xfId="1" applyNumberFormat="1" applyFont="1" applyAlignment="1">
      <alignment horizontal="center"/>
    </xf>
    <xf numFmtId="169" fontId="19" fillId="0" borderId="0" xfId="1" applyNumberFormat="1" applyFont="1" applyAlignment="1">
      <alignment horizontal="center"/>
    </xf>
    <xf numFmtId="169" fontId="19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169" fontId="0" fillId="0" borderId="0" xfId="1" applyNumberFormat="1" applyFont="1"/>
    <xf numFmtId="44" fontId="8" fillId="0" borderId="0" xfId="0" applyNumberFormat="1" applyFont="1" applyAlignment="1">
      <alignment horizontal="center"/>
    </xf>
    <xf numFmtId="44" fontId="20" fillId="0" borderId="0" xfId="0" applyNumberFormat="1" applyFont="1" applyAlignment="1">
      <alignment horizontal="center"/>
    </xf>
    <xf numFmtId="44" fontId="8" fillId="0" borderId="0" xfId="1" applyFont="1"/>
    <xf numFmtId="9" fontId="8" fillId="9" borderId="0" xfId="2" applyFont="1" applyFill="1" applyAlignment="1">
      <alignment horizontal="center"/>
    </xf>
    <xf numFmtId="0" fontId="21" fillId="0" borderId="0" xfId="0" applyFont="1"/>
    <xf numFmtId="44" fontId="21" fillId="0" borderId="0" xfId="0" applyNumberFormat="1" applyFont="1" applyAlignment="1">
      <alignment horizontal="center"/>
    </xf>
    <xf numFmtId="44" fontId="0" fillId="9" borderId="0" xfId="1" applyFont="1" applyFill="1"/>
    <xf numFmtId="9" fontId="0" fillId="0" borderId="0" xfId="0" applyNumberFormat="1" applyAlignment="1">
      <alignment horizontal="center"/>
    </xf>
    <xf numFmtId="170" fontId="21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9" fontId="15" fillId="0" borderId="0" xfId="0" applyNumberFormat="1" applyFont="1"/>
    <xf numFmtId="0" fontId="22" fillId="0" borderId="0" xfId="0" applyFont="1"/>
    <xf numFmtId="9" fontId="15" fillId="0" borderId="0" xfId="0" applyNumberFormat="1" applyFont="1" applyAlignment="1">
      <alignment horizontal="center"/>
    </xf>
    <xf numFmtId="171" fontId="5" fillId="4" borderId="0" xfId="0" applyNumberFormat="1" applyFont="1" applyFill="1"/>
    <xf numFmtId="2" fontId="15" fillId="0" borderId="0" xfId="0" applyNumberFormat="1" applyFont="1" applyAlignment="1">
      <alignment horizontal="center"/>
    </xf>
    <xf numFmtId="0" fontId="23" fillId="2" borderId="0" xfId="0" applyFont="1" applyFill="1"/>
    <xf numFmtId="0" fontId="12" fillId="2" borderId="0" xfId="0" applyFont="1" applyFill="1"/>
    <xf numFmtId="0" fontId="24" fillId="0" borderId="0" xfId="0" applyFont="1"/>
    <xf numFmtId="0" fontId="24" fillId="0" borderId="0" xfId="0" applyFont="1" applyAlignment="1">
      <alignment horizontal="center"/>
    </xf>
    <xf numFmtId="172" fontId="24" fillId="0" borderId="0" xfId="0" applyNumberFormat="1" applyFont="1"/>
    <xf numFmtId="9" fontId="24" fillId="0" borderId="0" xfId="0" applyNumberFormat="1" applyFont="1"/>
    <xf numFmtId="0" fontId="1" fillId="2" borderId="0" xfId="0" applyFont="1" applyFill="1" applyAlignment="1"/>
    <xf numFmtId="10" fontId="1" fillId="0" borderId="2" xfId="0" applyNumberFormat="1" applyFont="1" applyBorder="1"/>
    <xf numFmtId="0" fontId="2" fillId="0" borderId="4" xfId="0" applyFont="1" applyBorder="1"/>
    <xf numFmtId="165" fontId="1" fillId="0" borderId="2" xfId="0" applyNumberFormat="1" applyFont="1" applyBorder="1"/>
    <xf numFmtId="0" fontId="2" fillId="0" borderId="3" xfId="0" applyFont="1" applyBorder="1"/>
    <xf numFmtId="0" fontId="1" fillId="0" borderId="2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left" wrapText="1"/>
    </xf>
    <xf numFmtId="0" fontId="1" fillId="0" borderId="14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6" xfId="0" applyFont="1" applyBorder="1"/>
    <xf numFmtId="0" fontId="13" fillId="3" borderId="0" xfId="0" applyFont="1" applyFill="1" applyAlignment="1">
      <alignment horizontal="left" vertical="center" wrapText="1"/>
    </xf>
    <xf numFmtId="0" fontId="14" fillId="0" borderId="0" xfId="0" applyFont="1"/>
    <xf numFmtId="0" fontId="0" fillId="0" borderId="0" xfId="0"/>
    <xf numFmtId="0" fontId="16" fillId="0" borderId="0" xfId="0" applyFont="1" applyAlignment="1">
      <alignment vertical="center" wrapText="1" readingOrder="1"/>
    </xf>
    <xf numFmtId="0" fontId="3" fillId="0" borderId="2" xfId="0" applyFont="1" applyBorder="1" applyAlignment="1">
      <alignment horizontal="center"/>
    </xf>
    <xf numFmtId="0" fontId="18" fillId="0" borderId="0" xfId="5" applyFont="1" applyAlignment="1">
      <alignment horizontal="left" vertical="center" wrapText="1"/>
    </xf>
  </cellXfs>
  <cellStyles count="6">
    <cellStyle name="Énfasis2" xfId="3" builtinId="33"/>
    <cellStyle name="Énfasis5" xfId="4" builtinId="45"/>
    <cellStyle name="Moneda" xfId="1" builtinId="4"/>
    <cellStyle name="Normal" xfId="0" builtinId="0"/>
    <cellStyle name="Normal 3" xfId="5" xr:uid="{497B755B-429D-464F-9175-142059FE3358}"/>
    <cellStyle name="Porcentaje" xfId="2" builtinId="5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133349</xdr:colOff>
      <xdr:row>3</xdr:row>
      <xdr:rowOff>0</xdr:rowOff>
    </xdr:from>
    <xdr:ext cx="10582275" cy="3028950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49" y="600075"/>
          <a:ext cx="10582275" cy="30289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28575</xdr:rowOff>
    </xdr:from>
    <xdr:ext cx="11077575" cy="281940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876300</xdr:colOff>
      <xdr:row>36</xdr:row>
      <xdr:rowOff>19050</xdr:rowOff>
    </xdr:from>
    <xdr:ext cx="2790825" cy="156210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180975</xdr:rowOff>
    </xdr:from>
    <xdr:ext cx="10715625" cy="313372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1562100" cy="1047750"/>
    <xdr:pic>
      <xdr:nvPicPr>
        <xdr:cNvPr id="3" name="image7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304800</xdr:colOff>
      <xdr:row>5</xdr:row>
      <xdr:rowOff>0</xdr:rowOff>
    </xdr:from>
    <xdr:to>
      <xdr:col>19</xdr:col>
      <xdr:colOff>9525</xdr:colOff>
      <xdr:row>11</xdr:row>
      <xdr:rowOff>47625</xdr:rowOff>
    </xdr:to>
    <xdr:pic>
      <xdr:nvPicPr>
        <xdr:cNvPr id="2" name="image6.png">
          <a:extLst>
            <a:ext uri="{FF2B5EF4-FFF2-40B4-BE49-F238E27FC236}">
              <a16:creationId xmlns:a16="http://schemas.microsoft.com/office/drawing/2014/main" id="{A544E46A-7C4C-4484-8796-6D4F45AB561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809625"/>
          <a:ext cx="19907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14</xdr:row>
      <xdr:rowOff>9525</xdr:rowOff>
    </xdr:from>
    <xdr:to>
      <xdr:col>22</xdr:col>
      <xdr:colOff>239812</xdr:colOff>
      <xdr:row>47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203A8E-7CAC-4366-9F1B-282EC8F3D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0775"/>
          <a:ext cx="17003812" cy="5419725"/>
        </a:xfrm>
        <a:prstGeom prst="rect">
          <a:avLst/>
        </a:prstGeom>
      </xdr:spPr>
    </xdr:pic>
    <xdr:clientData/>
  </xdr:twoCellAnchor>
  <xdr:oneCellAnchor>
    <xdr:from>
      <xdr:col>0</xdr:col>
      <xdr:colOff>476250</xdr:colOff>
      <xdr:row>48</xdr:row>
      <xdr:rowOff>47625</xdr:rowOff>
    </xdr:from>
    <xdr:ext cx="2219325" cy="1581150"/>
    <xdr:pic>
      <xdr:nvPicPr>
        <xdr:cNvPr id="4" name="image8.png" title="Imagen">
          <a:extLst>
            <a:ext uri="{FF2B5EF4-FFF2-40B4-BE49-F238E27FC236}">
              <a16:creationId xmlns:a16="http://schemas.microsoft.com/office/drawing/2014/main" id="{CECC9A9D-8F7E-4447-B8E4-B39E57CB0D5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6250" y="7962900"/>
          <a:ext cx="2219325" cy="15811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95250</xdr:colOff>
      <xdr:row>6</xdr:row>
      <xdr:rowOff>114300</xdr:rowOff>
    </xdr:from>
    <xdr:ext cx="2705100" cy="1076325"/>
    <xdr:pic>
      <xdr:nvPicPr>
        <xdr:cNvPr id="2" name="image6.png">
          <a:extLst>
            <a:ext uri="{FF2B5EF4-FFF2-40B4-BE49-F238E27FC236}">
              <a16:creationId xmlns:a16="http://schemas.microsoft.com/office/drawing/2014/main" id="{E31147B5-248A-478C-9275-8A6FA683E7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49250" y="685800"/>
          <a:ext cx="2705100" cy="10763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114300</xdr:colOff>
      <xdr:row>12</xdr:row>
      <xdr:rowOff>133350</xdr:rowOff>
    </xdr:from>
    <xdr:to>
      <xdr:col>12</xdr:col>
      <xdr:colOff>28575</xdr:colOff>
      <xdr:row>21</xdr:row>
      <xdr:rowOff>16002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F6BE44-9DF9-49D6-9528-C6BA5CD2AF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23" t="3718" r="3007" b="29340"/>
        <a:stretch/>
      </xdr:blipFill>
      <xdr:spPr>
        <a:xfrm>
          <a:off x="876300" y="1847850"/>
          <a:ext cx="8296275" cy="133997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21</xdr:row>
      <xdr:rowOff>85725</xdr:rowOff>
    </xdr:from>
    <xdr:to>
      <xdr:col>19</xdr:col>
      <xdr:colOff>366572</xdr:colOff>
      <xdr:row>39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705DBA-0FA3-4CBD-AE6E-D3D363649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" y="3514725"/>
          <a:ext cx="14044472" cy="2924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123825</xdr:rowOff>
    </xdr:from>
    <xdr:to>
      <xdr:col>18</xdr:col>
      <xdr:colOff>586014</xdr:colOff>
      <xdr:row>47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D9EAC29-6B30-4C3C-BD8B-E4656AC7A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71750"/>
          <a:ext cx="14302014" cy="5276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7448550" cy="3505200"/>
    <xdr:pic>
      <xdr:nvPicPr>
        <xdr:cNvPr id="2" name="image6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47</xdr:row>
      <xdr:rowOff>200025</xdr:rowOff>
    </xdr:from>
    <xdr:ext cx="8639175" cy="4067175"/>
    <xdr:pic>
      <xdr:nvPicPr>
        <xdr:cNvPr id="3" name="image5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211501</xdr:colOff>
      <xdr:row>29</xdr:row>
      <xdr:rowOff>0</xdr:rowOff>
    </xdr:from>
    <xdr:to>
      <xdr:col>4</xdr:col>
      <xdr:colOff>533401</xdr:colOff>
      <xdr:row>32</xdr:row>
      <xdr:rowOff>27423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8A6FEA-4829-4327-BB7C-420654516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4826" y="6115050"/>
          <a:ext cx="1950675" cy="532248"/>
        </a:xfrm>
        <a:prstGeom prst="rect">
          <a:avLst/>
        </a:prstGeom>
      </xdr:spPr>
    </xdr:pic>
    <xdr:clientData/>
  </xdr:twoCellAnchor>
  <xdr:oneCellAnchor>
    <xdr:from>
      <xdr:col>10</xdr:col>
      <xdr:colOff>325437</xdr:colOff>
      <xdr:row>11</xdr:row>
      <xdr:rowOff>127000</xdr:rowOff>
    </xdr:from>
    <xdr:ext cx="4133850" cy="1343025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FB787ABB-AD68-47DC-B25D-A9DA31DE1D9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59962" y="2546350"/>
          <a:ext cx="4133850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</xdr:colOff>
      <xdr:row>45</xdr:row>
      <xdr:rowOff>57150</xdr:rowOff>
    </xdr:from>
    <xdr:ext cx="2638425" cy="1285875"/>
    <xdr:pic>
      <xdr:nvPicPr>
        <xdr:cNvPr id="4" name="image5.png" title="Imagen">
          <a:extLst>
            <a:ext uri="{FF2B5EF4-FFF2-40B4-BE49-F238E27FC236}">
              <a16:creationId xmlns:a16="http://schemas.microsoft.com/office/drawing/2014/main" id="{E8702622-60C6-4C05-86CA-8D18519EFE4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58250" y="8953500"/>
          <a:ext cx="2638425" cy="1285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FF33"/>
    <outlinePr summaryBelow="0" summaryRight="0"/>
  </sheetPr>
  <dimension ref="A23:R62"/>
  <sheetViews>
    <sheetView workbookViewId="0">
      <selection activeCell="H22" sqref="H22"/>
    </sheetView>
  </sheetViews>
  <sheetFormatPr baseColWidth="10" defaultColWidth="12.5703125" defaultRowHeight="15.75" customHeight="1" x14ac:dyDescent="0.2"/>
  <cols>
    <col min="2" max="2" width="15.28515625" customWidth="1"/>
    <col min="7" max="7" width="14.42578125" customWidth="1"/>
  </cols>
  <sheetData>
    <row r="23" spans="1:18" x14ac:dyDescent="0.2">
      <c r="A23" s="97" t="s">
        <v>0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</row>
    <row r="25" spans="1:18" x14ac:dyDescent="0.2">
      <c r="B25" s="1" t="s">
        <v>1</v>
      </c>
      <c r="C25" s="1">
        <v>2400</v>
      </c>
    </row>
    <row r="26" spans="1:18" x14ac:dyDescent="0.2">
      <c r="B26" s="1" t="s">
        <v>2</v>
      </c>
      <c r="C26" s="2">
        <v>0.1</v>
      </c>
      <c r="D26" s="1" t="s">
        <v>3</v>
      </c>
    </row>
    <row r="29" spans="1:18" x14ac:dyDescent="0.2">
      <c r="B29" s="3"/>
      <c r="C29" s="1" t="s">
        <v>4</v>
      </c>
      <c r="D29" s="1" t="s">
        <v>5</v>
      </c>
      <c r="E29" s="1" t="s">
        <v>6</v>
      </c>
      <c r="F29" s="1" t="s">
        <v>7</v>
      </c>
      <c r="G29" s="1" t="s">
        <v>8</v>
      </c>
    </row>
    <row r="30" spans="1:18" x14ac:dyDescent="0.2">
      <c r="B30" s="1" t="s">
        <v>9</v>
      </c>
      <c r="C30" s="1">
        <v>2400</v>
      </c>
      <c r="D30" s="1">
        <v>2400</v>
      </c>
      <c r="E30" s="1">
        <v>2400</v>
      </c>
      <c r="F30" s="1">
        <v>2400</v>
      </c>
      <c r="G30" s="3"/>
    </row>
    <row r="31" spans="1:18" x14ac:dyDescent="0.2">
      <c r="B31" s="1" t="s">
        <v>10</v>
      </c>
      <c r="C31" s="3">
        <f t="shared" ref="C31:F31" si="0">$C$25*$C$26</f>
        <v>240</v>
      </c>
      <c r="D31" s="3">
        <f t="shared" si="0"/>
        <v>240</v>
      </c>
      <c r="E31" s="3">
        <f t="shared" si="0"/>
        <v>240</v>
      </c>
      <c r="F31" s="3">
        <f t="shared" si="0"/>
        <v>240</v>
      </c>
      <c r="G31" s="4">
        <f>SUM(C31:F31)</f>
        <v>960</v>
      </c>
    </row>
    <row r="32" spans="1:18" x14ac:dyDescent="0.2">
      <c r="B32" s="1" t="s">
        <v>11</v>
      </c>
      <c r="C32" s="3">
        <f t="shared" ref="C32:F32" si="1">C30</f>
        <v>2400</v>
      </c>
      <c r="D32" s="3">
        <f t="shared" si="1"/>
        <v>2400</v>
      </c>
      <c r="E32" s="3">
        <f t="shared" si="1"/>
        <v>2400</v>
      </c>
      <c r="F32" s="4">
        <f t="shared" si="1"/>
        <v>2400</v>
      </c>
      <c r="G32" s="3"/>
    </row>
    <row r="34" spans="1:17" x14ac:dyDescent="0.2">
      <c r="B34" s="102" t="s">
        <v>12</v>
      </c>
      <c r="C34" s="101"/>
      <c r="D34" s="101"/>
      <c r="E34" s="101"/>
      <c r="F34" s="101"/>
      <c r="G34" s="99"/>
    </row>
    <row r="35" spans="1:17" x14ac:dyDescent="0.2">
      <c r="B35" s="103" t="s">
        <v>13</v>
      </c>
      <c r="C35" s="104"/>
      <c r="D35" s="104"/>
      <c r="E35" s="104"/>
      <c r="F35" s="104"/>
      <c r="G35" s="104"/>
    </row>
    <row r="37" spans="1:17" x14ac:dyDescent="0.2">
      <c r="A37" s="97" t="s">
        <v>14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</row>
    <row r="39" spans="1:17" x14ac:dyDescent="0.2">
      <c r="B39" s="1" t="s">
        <v>1</v>
      </c>
      <c r="C39" s="1">
        <v>2400</v>
      </c>
    </row>
    <row r="40" spans="1:17" x14ac:dyDescent="0.2">
      <c r="B40" s="1" t="s">
        <v>2</v>
      </c>
      <c r="C40" s="2">
        <v>0.1</v>
      </c>
      <c r="D40" s="1" t="s">
        <v>3</v>
      </c>
    </row>
    <row r="43" spans="1:17" x14ac:dyDescent="0.2">
      <c r="B43" s="3"/>
      <c r="C43" s="1" t="s">
        <v>4</v>
      </c>
      <c r="D43" s="1" t="s">
        <v>5</v>
      </c>
      <c r="E43" s="1" t="s">
        <v>6</v>
      </c>
      <c r="F43" s="1" t="s">
        <v>7</v>
      </c>
      <c r="G43" s="1" t="s">
        <v>8</v>
      </c>
    </row>
    <row r="44" spans="1:17" x14ac:dyDescent="0.2">
      <c r="B44" s="1" t="s">
        <v>9</v>
      </c>
      <c r="C44" s="1">
        <v>2400</v>
      </c>
      <c r="D44" s="1">
        <f t="shared" ref="D44:F44" si="2">C46</f>
        <v>2640</v>
      </c>
      <c r="E44" s="1">
        <f t="shared" si="2"/>
        <v>2904</v>
      </c>
      <c r="F44" s="1">
        <f t="shared" si="2"/>
        <v>3194.4</v>
      </c>
      <c r="G44" s="3"/>
    </row>
    <row r="45" spans="1:17" x14ac:dyDescent="0.2">
      <c r="B45" s="1" t="s">
        <v>10</v>
      </c>
      <c r="C45" s="3">
        <f>$C$25*$C$26</f>
        <v>240</v>
      </c>
      <c r="D45" s="3">
        <f t="shared" ref="D45:F45" si="3">D44*$C$26</f>
        <v>264</v>
      </c>
      <c r="E45" s="3">
        <f t="shared" si="3"/>
        <v>290.40000000000003</v>
      </c>
      <c r="F45" s="3">
        <f t="shared" si="3"/>
        <v>319.44000000000005</v>
      </c>
      <c r="G45" s="3">
        <f>SUM(C45:F45)</f>
        <v>1113.8400000000001</v>
      </c>
    </row>
    <row r="46" spans="1:17" x14ac:dyDescent="0.2">
      <c r="B46" s="1" t="s">
        <v>11</v>
      </c>
      <c r="C46" s="3">
        <f t="shared" ref="C46:F46" si="4">C44+C45</f>
        <v>2640</v>
      </c>
      <c r="D46" s="3">
        <f t="shared" si="4"/>
        <v>2904</v>
      </c>
      <c r="E46" s="3">
        <f t="shared" si="4"/>
        <v>3194.4</v>
      </c>
      <c r="F46" s="4">
        <f t="shared" si="4"/>
        <v>3513.84</v>
      </c>
      <c r="G46" s="3"/>
    </row>
    <row r="48" spans="1:17" x14ac:dyDescent="0.2">
      <c r="B48" s="103" t="s">
        <v>15</v>
      </c>
      <c r="C48" s="104"/>
      <c r="D48" s="104"/>
      <c r="E48" s="104"/>
      <c r="F48" s="104"/>
      <c r="G48" s="104"/>
    </row>
    <row r="50" spans="1:17" x14ac:dyDescent="0.2">
      <c r="A50" s="97" t="s">
        <v>16</v>
      </c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</row>
    <row r="53" spans="1:17" x14ac:dyDescent="0.2">
      <c r="B53" s="1" t="s">
        <v>1</v>
      </c>
      <c r="C53" s="1">
        <v>2400</v>
      </c>
    </row>
    <row r="54" spans="1:17" x14ac:dyDescent="0.2">
      <c r="B54" s="1" t="s">
        <v>2</v>
      </c>
      <c r="C54" s="2">
        <v>0.1</v>
      </c>
      <c r="D54" s="1" t="s">
        <v>3</v>
      </c>
      <c r="F54" s="6"/>
      <c r="G54" s="7">
        <f>0.1/12</f>
        <v>8.3333333333333332E-3</v>
      </c>
    </row>
    <row r="55" spans="1:17" x14ac:dyDescent="0.2">
      <c r="B55" s="1" t="s">
        <v>17</v>
      </c>
      <c r="C55" s="98">
        <f>((POWER((1+G54),12))-1)</f>
        <v>0.10471306744129683</v>
      </c>
      <c r="D55" s="99"/>
    </row>
    <row r="57" spans="1:17" x14ac:dyDescent="0.2">
      <c r="B57" s="3"/>
      <c r="C57" s="1" t="s">
        <v>4</v>
      </c>
      <c r="D57" s="1" t="s">
        <v>5</v>
      </c>
      <c r="E57" s="1" t="s">
        <v>6</v>
      </c>
      <c r="F57" s="1" t="s">
        <v>7</v>
      </c>
      <c r="G57" s="1" t="s">
        <v>8</v>
      </c>
    </row>
    <row r="58" spans="1:17" x14ac:dyDescent="0.2">
      <c r="B58" s="1" t="s">
        <v>9</v>
      </c>
      <c r="C58" s="8">
        <v>2400</v>
      </c>
      <c r="D58" s="8">
        <f t="shared" ref="D58:F58" si="5">C60</f>
        <v>2651.3113618591124</v>
      </c>
      <c r="E58" s="8">
        <f t="shared" si="5"/>
        <v>2928.9383073013423</v>
      </c>
      <c r="F58" s="8">
        <f t="shared" si="5"/>
        <v>3235.6364218051854</v>
      </c>
      <c r="G58" s="9"/>
    </row>
    <row r="59" spans="1:17" x14ac:dyDescent="0.2">
      <c r="B59" s="1" t="s">
        <v>10</v>
      </c>
      <c r="C59" s="9">
        <f t="shared" ref="C59:F59" si="6">C58*$C$55</f>
        <v>251.31136185911237</v>
      </c>
      <c r="D59" s="9">
        <f t="shared" si="6"/>
        <v>277.62694544222978</v>
      </c>
      <c r="E59" s="9">
        <f t="shared" si="6"/>
        <v>306.69811450384321</v>
      </c>
      <c r="F59" s="9">
        <f t="shared" si="6"/>
        <v>338.81341485200272</v>
      </c>
      <c r="G59" s="9">
        <f>SUM(C59:F59)</f>
        <v>1174.4498366571881</v>
      </c>
    </row>
    <row r="60" spans="1:17" x14ac:dyDescent="0.2">
      <c r="B60" s="1" t="s">
        <v>11</v>
      </c>
      <c r="C60" s="9">
        <f t="shared" ref="C60:F60" si="7">SUM(C58:C59)</f>
        <v>2651.3113618591124</v>
      </c>
      <c r="D60" s="9">
        <f t="shared" si="7"/>
        <v>2928.9383073013423</v>
      </c>
      <c r="E60" s="9">
        <f t="shared" si="7"/>
        <v>3235.6364218051854</v>
      </c>
      <c r="F60" s="9">
        <f t="shared" si="7"/>
        <v>3574.4498366571879</v>
      </c>
      <c r="G60" s="9"/>
    </row>
    <row r="62" spans="1:17" x14ac:dyDescent="0.2">
      <c r="B62" s="100"/>
      <c r="C62" s="101"/>
      <c r="D62" s="101"/>
      <c r="E62" s="101"/>
      <c r="F62" s="101"/>
      <c r="G62" s="99"/>
    </row>
  </sheetData>
  <mergeCells count="8">
    <mergeCell ref="A50:Q50"/>
    <mergeCell ref="C55:D55"/>
    <mergeCell ref="B62:G62"/>
    <mergeCell ref="A23:R23"/>
    <mergeCell ref="B34:G34"/>
    <mergeCell ref="B35:G35"/>
    <mergeCell ref="A37:Q37"/>
    <mergeCell ref="B48:G4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  <outlinePr summaryBelow="0" summaryRight="0"/>
  </sheetPr>
  <dimension ref="A19:R51"/>
  <sheetViews>
    <sheetView tabSelected="1" workbookViewId="0">
      <selection activeCell="Q61" sqref="Q61"/>
    </sheetView>
  </sheetViews>
  <sheetFormatPr baseColWidth="10" defaultColWidth="12.5703125" defaultRowHeight="15.75" customHeight="1" x14ac:dyDescent="0.2"/>
  <cols>
    <col min="2" max="2" width="23.7109375" customWidth="1"/>
    <col min="5" max="5" width="20.28515625" customWidth="1"/>
  </cols>
  <sheetData>
    <row r="19" spans="1:18" ht="12.75" x14ac:dyDescent="0.2">
      <c r="A19" s="97" t="s">
        <v>0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1" spans="1:18" ht="12.75" x14ac:dyDescent="0.2">
      <c r="B21" s="118" t="s">
        <v>48</v>
      </c>
      <c r="C21" s="99"/>
      <c r="E21" s="16"/>
    </row>
    <row r="22" spans="1:18" ht="12.75" x14ac:dyDescent="0.2">
      <c r="B22" s="3"/>
      <c r="C22" s="3"/>
      <c r="E22" s="1" t="s">
        <v>38</v>
      </c>
      <c r="F22" s="1">
        <v>0</v>
      </c>
      <c r="G22" s="1">
        <v>1</v>
      </c>
      <c r="H22" s="1">
        <v>2</v>
      </c>
      <c r="I22" s="1">
        <v>3</v>
      </c>
      <c r="J22" s="1">
        <v>4</v>
      </c>
      <c r="K22" s="1">
        <v>5</v>
      </c>
      <c r="L22" s="1">
        <v>6</v>
      </c>
      <c r="M22" s="1">
        <v>7</v>
      </c>
      <c r="N22" s="1">
        <v>8</v>
      </c>
      <c r="O22" s="1">
        <v>9</v>
      </c>
      <c r="P22" s="1">
        <v>10</v>
      </c>
      <c r="Q22" s="1">
        <v>11</v>
      </c>
      <c r="R22" s="1">
        <v>12</v>
      </c>
    </row>
    <row r="23" spans="1:18" ht="12.75" x14ac:dyDescent="0.2">
      <c r="B23" s="1" t="s">
        <v>49</v>
      </c>
      <c r="C23" s="17">
        <v>25000</v>
      </c>
      <c r="E23" s="1" t="s">
        <v>50</v>
      </c>
      <c r="F23" s="17">
        <v>-25000</v>
      </c>
      <c r="G23" s="17"/>
      <c r="H23" s="23"/>
      <c r="I23" s="23">
        <f>-1*C24</f>
        <v>-5000</v>
      </c>
      <c r="J23" s="23"/>
      <c r="K23" s="23"/>
      <c r="L23" s="23"/>
      <c r="M23" s="23">
        <f>-1*C25</f>
        <v>-8000</v>
      </c>
      <c r="N23" s="23"/>
      <c r="O23" s="23"/>
      <c r="P23" s="23"/>
      <c r="Q23" s="23"/>
      <c r="R23" s="23"/>
    </row>
    <row r="24" spans="1:18" ht="12.75" x14ac:dyDescent="0.2">
      <c r="B24" s="1" t="s">
        <v>51</v>
      </c>
      <c r="C24" s="17">
        <v>5000</v>
      </c>
      <c r="E24" s="1" t="s">
        <v>52</v>
      </c>
      <c r="F24" s="17">
        <v>0</v>
      </c>
      <c r="G24" s="23">
        <f t="shared" ref="G24:R24" si="0">$C$29</f>
        <v>10000</v>
      </c>
      <c r="H24" s="23">
        <f t="shared" si="0"/>
        <v>10000</v>
      </c>
      <c r="I24" s="23">
        <f t="shared" si="0"/>
        <v>10000</v>
      </c>
      <c r="J24" s="23">
        <f t="shared" si="0"/>
        <v>10000</v>
      </c>
      <c r="K24" s="23">
        <f t="shared" si="0"/>
        <v>10000</v>
      </c>
      <c r="L24" s="23">
        <f t="shared" si="0"/>
        <v>10000</v>
      </c>
      <c r="M24" s="23">
        <f t="shared" si="0"/>
        <v>10000</v>
      </c>
      <c r="N24" s="23">
        <f t="shared" si="0"/>
        <v>10000</v>
      </c>
      <c r="O24" s="23">
        <f t="shared" si="0"/>
        <v>10000</v>
      </c>
      <c r="P24" s="23">
        <f t="shared" si="0"/>
        <v>10000</v>
      </c>
      <c r="Q24" s="23">
        <f t="shared" si="0"/>
        <v>10000</v>
      </c>
      <c r="R24" s="23">
        <f t="shared" si="0"/>
        <v>10000</v>
      </c>
    </row>
    <row r="25" spans="1:18" ht="12.75" x14ac:dyDescent="0.2">
      <c r="B25" s="1" t="s">
        <v>53</v>
      </c>
      <c r="C25" s="17">
        <v>8000</v>
      </c>
      <c r="E25" s="1" t="s">
        <v>54</v>
      </c>
      <c r="F25" s="17">
        <v>0</v>
      </c>
      <c r="G25" s="23">
        <f t="shared" ref="G25:R25" si="1">-1*$C$30</f>
        <v>-5000</v>
      </c>
      <c r="H25" s="23">
        <f t="shared" si="1"/>
        <v>-5000</v>
      </c>
      <c r="I25" s="23">
        <f t="shared" si="1"/>
        <v>-5000</v>
      </c>
      <c r="J25" s="23">
        <f t="shared" si="1"/>
        <v>-5000</v>
      </c>
      <c r="K25" s="23">
        <f t="shared" si="1"/>
        <v>-5000</v>
      </c>
      <c r="L25" s="23">
        <f t="shared" si="1"/>
        <v>-5000</v>
      </c>
      <c r="M25" s="23">
        <f t="shared" si="1"/>
        <v>-5000</v>
      </c>
      <c r="N25" s="23">
        <f t="shared" si="1"/>
        <v>-5000</v>
      </c>
      <c r="O25" s="23">
        <f t="shared" si="1"/>
        <v>-5000</v>
      </c>
      <c r="P25" s="23">
        <f t="shared" si="1"/>
        <v>-5000</v>
      </c>
      <c r="Q25" s="23">
        <f t="shared" si="1"/>
        <v>-5000</v>
      </c>
      <c r="R25" s="23">
        <f t="shared" si="1"/>
        <v>-5000</v>
      </c>
    </row>
    <row r="26" spans="1:18" ht="12.75" x14ac:dyDescent="0.2">
      <c r="B26" s="3"/>
      <c r="C26" s="23"/>
      <c r="E26" s="1" t="s">
        <v>55</v>
      </c>
      <c r="F26" s="23">
        <f>F23</f>
        <v>-25000</v>
      </c>
      <c r="G26" s="23">
        <f t="shared" ref="G26:R26" si="2">G23+G24+G25</f>
        <v>5000</v>
      </c>
      <c r="H26" s="23">
        <f t="shared" si="2"/>
        <v>5000</v>
      </c>
      <c r="I26" s="23">
        <f t="shared" si="2"/>
        <v>0</v>
      </c>
      <c r="J26" s="23">
        <f t="shared" si="2"/>
        <v>5000</v>
      </c>
      <c r="K26" s="23">
        <f t="shared" si="2"/>
        <v>5000</v>
      </c>
      <c r="L26" s="23">
        <f t="shared" si="2"/>
        <v>5000</v>
      </c>
      <c r="M26" s="23">
        <f t="shared" si="2"/>
        <v>-3000</v>
      </c>
      <c r="N26" s="23">
        <f t="shared" si="2"/>
        <v>5000</v>
      </c>
      <c r="O26" s="23">
        <f t="shared" si="2"/>
        <v>5000</v>
      </c>
      <c r="P26" s="23">
        <f t="shared" si="2"/>
        <v>5000</v>
      </c>
      <c r="Q26" s="23">
        <f t="shared" si="2"/>
        <v>5000</v>
      </c>
      <c r="R26" s="23">
        <f t="shared" si="2"/>
        <v>5000</v>
      </c>
    </row>
    <row r="27" spans="1:18" ht="12.75" x14ac:dyDescent="0.2">
      <c r="B27" s="1" t="s">
        <v>35</v>
      </c>
      <c r="C27" s="43">
        <v>12</v>
      </c>
      <c r="F27" s="44"/>
    </row>
    <row r="28" spans="1:18" ht="28.5" customHeight="1" x14ac:dyDescent="0.2">
      <c r="B28" s="3"/>
      <c r="C28" s="23"/>
      <c r="E28" s="45" t="s">
        <v>56</v>
      </c>
      <c r="F28" s="23">
        <f t="shared" ref="F28:R28" si="3">F26/(1+$C$32)^F22</f>
        <v>-25000</v>
      </c>
      <c r="G28" s="23">
        <f t="shared" si="3"/>
        <v>4545.454545454545</v>
      </c>
      <c r="H28" s="23">
        <f t="shared" si="3"/>
        <v>4132.2314049586766</v>
      </c>
      <c r="I28" s="23">
        <f t="shared" si="3"/>
        <v>0</v>
      </c>
      <c r="J28" s="23">
        <f t="shared" si="3"/>
        <v>3415.0672768253526</v>
      </c>
      <c r="K28" s="23">
        <f t="shared" si="3"/>
        <v>3104.6066152957746</v>
      </c>
      <c r="L28" s="23">
        <f t="shared" si="3"/>
        <v>2822.3696502688858</v>
      </c>
      <c r="M28" s="23">
        <f t="shared" si="3"/>
        <v>-1539.4743546921193</v>
      </c>
      <c r="N28" s="23">
        <f t="shared" si="3"/>
        <v>2332.5369010486656</v>
      </c>
      <c r="O28" s="23">
        <f t="shared" si="3"/>
        <v>2120.4880918624235</v>
      </c>
      <c r="P28" s="23">
        <f t="shared" si="3"/>
        <v>1927.7164471476574</v>
      </c>
      <c r="Q28" s="23">
        <f t="shared" si="3"/>
        <v>1752.469497406961</v>
      </c>
      <c r="R28" s="23">
        <f t="shared" si="3"/>
        <v>1593.1540885517827</v>
      </c>
    </row>
    <row r="29" spans="1:18" ht="12.75" x14ac:dyDescent="0.2">
      <c r="B29" s="1" t="s">
        <v>52</v>
      </c>
      <c r="C29" s="17">
        <v>10000</v>
      </c>
      <c r="E29" s="1" t="s">
        <v>57</v>
      </c>
      <c r="F29" s="8">
        <f>SUM(F28:R28)</f>
        <v>1206.6201641286038</v>
      </c>
    </row>
    <row r="30" spans="1:18" ht="12.75" x14ac:dyDescent="0.2">
      <c r="B30" s="1" t="s">
        <v>58</v>
      </c>
      <c r="C30" s="17">
        <v>5000</v>
      </c>
      <c r="F30" s="46"/>
    </row>
    <row r="31" spans="1:18" ht="12.75" x14ac:dyDescent="0.2">
      <c r="B31" s="3"/>
      <c r="C31" s="3"/>
    </row>
    <row r="32" spans="1:18" ht="14.25" x14ac:dyDescent="0.2">
      <c r="B32" s="1" t="s">
        <v>59</v>
      </c>
      <c r="C32" s="2">
        <v>0.1</v>
      </c>
      <c r="E32" s="19"/>
      <c r="F32" s="47"/>
      <c r="G32" s="47"/>
      <c r="H32" s="47"/>
      <c r="I32" s="47"/>
      <c r="J32" s="47"/>
      <c r="K32" s="47"/>
      <c r="L32" s="47"/>
    </row>
    <row r="40" spans="2:18" ht="12.75" x14ac:dyDescent="0.2">
      <c r="B40" s="118" t="s">
        <v>60</v>
      </c>
      <c r="C40" s="99"/>
      <c r="E40" s="1" t="s">
        <v>38</v>
      </c>
      <c r="F40" s="1">
        <v>0</v>
      </c>
      <c r="G40" s="1">
        <v>1</v>
      </c>
      <c r="H40" s="1">
        <v>2</v>
      </c>
      <c r="I40" s="1">
        <v>3</v>
      </c>
      <c r="J40" s="1">
        <v>4</v>
      </c>
      <c r="K40" s="1">
        <v>5</v>
      </c>
      <c r="L40" s="1">
        <v>6</v>
      </c>
      <c r="M40" s="1">
        <v>7</v>
      </c>
      <c r="N40" s="1">
        <v>8</v>
      </c>
      <c r="O40" s="1">
        <v>9</v>
      </c>
      <c r="P40" s="1">
        <v>10</v>
      </c>
      <c r="Q40" s="1">
        <v>11</v>
      </c>
      <c r="R40" s="1">
        <v>12</v>
      </c>
    </row>
    <row r="41" spans="2:18" ht="12.75" x14ac:dyDescent="0.2">
      <c r="B41" s="3"/>
      <c r="C41" s="3"/>
      <c r="E41" s="1" t="s">
        <v>50</v>
      </c>
      <c r="F41" s="17">
        <f>C42*-1</f>
        <v>-18000</v>
      </c>
      <c r="G41" s="17"/>
      <c r="H41" s="23"/>
      <c r="I41" s="23"/>
      <c r="J41" s="23"/>
      <c r="K41" s="23"/>
      <c r="L41" s="23"/>
      <c r="M41" s="23"/>
      <c r="N41" s="23">
        <f>-1*C43</f>
        <v>-10000</v>
      </c>
      <c r="O41" s="23"/>
      <c r="P41" s="23"/>
      <c r="Q41" s="23"/>
      <c r="R41" s="23"/>
    </row>
    <row r="42" spans="2:18" ht="12.75" x14ac:dyDescent="0.2">
      <c r="B42" s="1" t="s">
        <v>49</v>
      </c>
      <c r="C42" s="17">
        <v>18000</v>
      </c>
      <c r="E42" s="1" t="s">
        <v>52</v>
      </c>
      <c r="F42" s="17">
        <v>0</v>
      </c>
      <c r="G42" s="23">
        <f t="shared" ref="G42:Q42" si="4">$C$48</f>
        <v>9000</v>
      </c>
      <c r="H42" s="23">
        <f t="shared" si="4"/>
        <v>9000</v>
      </c>
      <c r="I42" s="23">
        <f t="shared" si="4"/>
        <v>9000</v>
      </c>
      <c r="J42" s="23">
        <f t="shared" si="4"/>
        <v>9000</v>
      </c>
      <c r="K42" s="23">
        <f t="shared" si="4"/>
        <v>9000</v>
      </c>
      <c r="L42" s="23">
        <f t="shared" si="4"/>
        <v>9000</v>
      </c>
      <c r="M42" s="23">
        <f t="shared" si="4"/>
        <v>9000</v>
      </c>
      <c r="N42" s="23">
        <f t="shared" si="4"/>
        <v>9000</v>
      </c>
      <c r="O42" s="23">
        <f t="shared" si="4"/>
        <v>9000</v>
      </c>
      <c r="P42" s="23">
        <f t="shared" si="4"/>
        <v>9000</v>
      </c>
      <c r="Q42" s="23">
        <f t="shared" si="4"/>
        <v>9000</v>
      </c>
      <c r="R42" s="23">
        <f>$C$48+C51</f>
        <v>21000</v>
      </c>
    </row>
    <row r="43" spans="2:18" ht="12.75" x14ac:dyDescent="0.2">
      <c r="B43" s="1" t="s">
        <v>61</v>
      </c>
      <c r="C43" s="17">
        <v>10000</v>
      </c>
      <c r="E43" s="1" t="s">
        <v>54</v>
      </c>
      <c r="F43" s="17">
        <v>0</v>
      </c>
      <c r="G43" s="23">
        <f t="shared" ref="G43:R43" si="5">-1*$C$49</f>
        <v>-6000</v>
      </c>
      <c r="H43" s="23">
        <f t="shared" si="5"/>
        <v>-6000</v>
      </c>
      <c r="I43" s="23">
        <f t="shared" si="5"/>
        <v>-6000</v>
      </c>
      <c r="J43" s="23">
        <f t="shared" si="5"/>
        <v>-6000</v>
      </c>
      <c r="K43" s="23">
        <f t="shared" si="5"/>
        <v>-6000</v>
      </c>
      <c r="L43" s="23">
        <f t="shared" si="5"/>
        <v>-6000</v>
      </c>
      <c r="M43" s="23">
        <f t="shared" si="5"/>
        <v>-6000</v>
      </c>
      <c r="N43" s="23">
        <f t="shared" si="5"/>
        <v>-6000</v>
      </c>
      <c r="O43" s="23">
        <f t="shared" si="5"/>
        <v>-6000</v>
      </c>
      <c r="P43" s="23">
        <f t="shared" si="5"/>
        <v>-6000</v>
      </c>
      <c r="Q43" s="23">
        <f t="shared" si="5"/>
        <v>-6000</v>
      </c>
      <c r="R43" s="23">
        <f t="shared" si="5"/>
        <v>-6000</v>
      </c>
    </row>
    <row r="44" spans="2:18" ht="12.75" x14ac:dyDescent="0.2">
      <c r="B44" s="3"/>
      <c r="C44" s="17"/>
      <c r="E44" s="1" t="s">
        <v>55</v>
      </c>
      <c r="F44" s="23">
        <f>F41</f>
        <v>-18000</v>
      </c>
      <c r="G44" s="23">
        <f t="shared" ref="G44:R44" si="6">G41+G42+G43</f>
        <v>3000</v>
      </c>
      <c r="H44" s="23">
        <f t="shared" si="6"/>
        <v>3000</v>
      </c>
      <c r="I44" s="23">
        <f t="shared" si="6"/>
        <v>3000</v>
      </c>
      <c r="J44" s="23">
        <f t="shared" si="6"/>
        <v>3000</v>
      </c>
      <c r="K44" s="23">
        <f t="shared" si="6"/>
        <v>3000</v>
      </c>
      <c r="L44" s="23">
        <f t="shared" si="6"/>
        <v>3000</v>
      </c>
      <c r="M44" s="23">
        <f t="shared" si="6"/>
        <v>3000</v>
      </c>
      <c r="N44" s="23">
        <f t="shared" si="6"/>
        <v>-7000</v>
      </c>
      <c r="O44" s="23">
        <f t="shared" si="6"/>
        <v>3000</v>
      </c>
      <c r="P44" s="23">
        <f t="shared" si="6"/>
        <v>3000</v>
      </c>
      <c r="Q44" s="23">
        <f t="shared" si="6"/>
        <v>3000</v>
      </c>
      <c r="R44" s="23">
        <f t="shared" si="6"/>
        <v>15000</v>
      </c>
    </row>
    <row r="45" spans="2:18" ht="12.75" x14ac:dyDescent="0.2">
      <c r="B45" s="3"/>
      <c r="C45" s="23"/>
      <c r="F45" s="44"/>
    </row>
    <row r="46" spans="2:18" ht="25.5" x14ac:dyDescent="0.2">
      <c r="B46" s="1" t="s">
        <v>35</v>
      </c>
      <c r="C46" s="43">
        <v>12</v>
      </c>
      <c r="E46" s="45" t="s">
        <v>56</v>
      </c>
      <c r="F46" s="23">
        <f t="shared" ref="F46:R46" si="7">F44/(1+$C$32)^F40</f>
        <v>-18000</v>
      </c>
      <c r="G46" s="23">
        <f t="shared" si="7"/>
        <v>2727.272727272727</v>
      </c>
      <c r="H46" s="23">
        <f t="shared" si="7"/>
        <v>2479.3388429752063</v>
      </c>
      <c r="I46" s="23">
        <f t="shared" si="7"/>
        <v>2253.9444027047325</v>
      </c>
      <c r="J46" s="23">
        <f t="shared" si="7"/>
        <v>2049.0403660952115</v>
      </c>
      <c r="K46" s="23">
        <f t="shared" si="7"/>
        <v>1862.7639691774648</v>
      </c>
      <c r="L46" s="23">
        <f t="shared" si="7"/>
        <v>1693.4217901613315</v>
      </c>
      <c r="M46" s="23">
        <f t="shared" si="7"/>
        <v>1539.4743546921193</v>
      </c>
      <c r="N46" s="23">
        <f t="shared" si="7"/>
        <v>-3265.5516614681324</v>
      </c>
      <c r="O46" s="23">
        <f t="shared" si="7"/>
        <v>1272.2928551174539</v>
      </c>
      <c r="P46" s="23">
        <f t="shared" si="7"/>
        <v>1156.6298682885945</v>
      </c>
      <c r="Q46" s="23">
        <f t="shared" si="7"/>
        <v>1051.4816984441766</v>
      </c>
      <c r="R46" s="23">
        <f t="shared" si="7"/>
        <v>4779.4622656553483</v>
      </c>
    </row>
    <row r="47" spans="2:18" ht="12.75" x14ac:dyDescent="0.2">
      <c r="B47" s="3"/>
      <c r="C47" s="23"/>
      <c r="E47" s="1" t="s">
        <v>57</v>
      </c>
      <c r="F47" s="8">
        <f>SUM(F46:R46)</f>
        <v>1599.5714791162354</v>
      </c>
    </row>
    <row r="48" spans="2:18" ht="12.75" x14ac:dyDescent="0.2">
      <c r="B48" s="1" t="s">
        <v>52</v>
      </c>
      <c r="C48" s="17">
        <v>9000</v>
      </c>
    </row>
    <row r="49" spans="2:3" ht="12.75" x14ac:dyDescent="0.2">
      <c r="B49" s="1" t="s">
        <v>58</v>
      </c>
      <c r="C49" s="17">
        <v>6000</v>
      </c>
    </row>
    <row r="50" spans="2:3" ht="12.75" x14ac:dyDescent="0.2">
      <c r="B50" s="3"/>
      <c r="C50" s="3"/>
    </row>
    <row r="51" spans="2:3" ht="12.75" x14ac:dyDescent="0.2">
      <c r="B51" s="1" t="s">
        <v>62</v>
      </c>
      <c r="C51" s="17">
        <v>12000</v>
      </c>
    </row>
  </sheetData>
  <mergeCells count="3">
    <mergeCell ref="A19:Q19"/>
    <mergeCell ref="B21:C21"/>
    <mergeCell ref="B40:C4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85EF-7D04-4B5E-AF77-34A4C722C1CD}">
  <sheetPr>
    <tabColor rgb="FF66FF33"/>
  </sheetPr>
  <dimension ref="A4:S81"/>
  <sheetViews>
    <sheetView workbookViewId="0">
      <selection activeCell="G71" sqref="G71"/>
    </sheetView>
  </sheetViews>
  <sheetFormatPr baseColWidth="10" defaultRowHeight="12.75" x14ac:dyDescent="0.2"/>
  <cols>
    <col min="2" max="2" width="27.7109375" customWidth="1"/>
    <col min="3" max="3" width="17" customWidth="1"/>
    <col min="4" max="4" width="24.42578125" customWidth="1"/>
    <col min="5" max="5" width="18.140625" customWidth="1"/>
    <col min="6" max="7" width="17.28515625" customWidth="1"/>
    <col min="8" max="8" width="24.5703125" customWidth="1"/>
    <col min="9" max="9" width="15.140625" customWidth="1"/>
    <col min="10" max="10" width="24.42578125" customWidth="1"/>
  </cols>
  <sheetData>
    <row r="4" spans="1:19" x14ac:dyDescent="0.2">
      <c r="A4" s="60"/>
      <c r="B4" s="60"/>
      <c r="C4" s="65"/>
      <c r="D4" s="65"/>
      <c r="E4" s="65"/>
      <c r="F4" s="65"/>
      <c r="G4" s="65"/>
      <c r="H4" s="65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19" ht="14.25" x14ac:dyDescent="0.2">
      <c r="A5" s="66" t="s">
        <v>83</v>
      </c>
      <c r="B5" s="66"/>
      <c r="C5" s="66"/>
      <c r="D5" s="66"/>
      <c r="E5" s="66"/>
      <c r="F5" s="66"/>
      <c r="G5" s="66"/>
      <c r="H5" s="66"/>
      <c r="I5" s="66"/>
      <c r="J5" s="66"/>
      <c r="K5" s="67"/>
      <c r="L5" s="67"/>
      <c r="M5" s="67"/>
      <c r="N5" s="67"/>
      <c r="O5" s="67"/>
      <c r="P5" s="67"/>
      <c r="Q5" s="67"/>
      <c r="R5" s="67"/>
      <c r="S5" s="67"/>
    </row>
    <row r="6" spans="1:19" x14ac:dyDescent="0.2">
      <c r="A6" s="60"/>
      <c r="B6" s="60"/>
      <c r="C6" s="65"/>
      <c r="D6" s="65"/>
      <c r="E6" s="65"/>
      <c r="F6" s="65"/>
      <c r="G6" s="65"/>
      <c r="H6" s="65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</row>
    <row r="7" spans="1:19" ht="107.25" customHeight="1" x14ac:dyDescent="0.2">
      <c r="A7" s="119" t="s">
        <v>93</v>
      </c>
      <c r="B7" s="119"/>
      <c r="C7" s="119"/>
      <c r="D7" s="119"/>
      <c r="E7" s="119"/>
      <c r="F7" s="119"/>
      <c r="G7" s="119"/>
      <c r="H7" s="119"/>
      <c r="I7" s="119"/>
      <c r="J7" s="119"/>
      <c r="K7" s="60"/>
      <c r="L7" s="60"/>
      <c r="M7" s="60"/>
      <c r="N7" s="60"/>
      <c r="O7" s="60"/>
      <c r="P7" s="60"/>
      <c r="Q7" s="60"/>
      <c r="R7" s="60"/>
      <c r="S7" s="60"/>
    </row>
    <row r="8" spans="1:19" ht="15" x14ac:dyDescent="0.2">
      <c r="A8" s="68"/>
      <c r="B8" s="68"/>
      <c r="C8" s="68"/>
      <c r="D8" s="68"/>
      <c r="E8" s="68"/>
      <c r="F8" s="68"/>
      <c r="G8" s="68"/>
      <c r="H8" s="68"/>
      <c r="I8" s="68"/>
      <c r="J8" s="68"/>
      <c r="K8" s="60"/>
      <c r="L8" s="60"/>
      <c r="M8" s="60"/>
      <c r="N8" s="60"/>
      <c r="O8" s="60"/>
      <c r="P8" s="60"/>
      <c r="Q8" s="60"/>
      <c r="R8" s="60"/>
      <c r="S8" s="60"/>
    </row>
    <row r="9" spans="1:19" ht="15" x14ac:dyDescent="0.2">
      <c r="A9" s="68"/>
      <c r="B9" s="68"/>
      <c r="C9" s="68"/>
      <c r="D9" s="68"/>
      <c r="E9" s="68"/>
      <c r="F9" s="68"/>
      <c r="G9" s="68"/>
      <c r="H9" s="68"/>
      <c r="I9" s="68"/>
      <c r="J9" s="68"/>
      <c r="K9" s="60"/>
      <c r="L9" s="60"/>
      <c r="M9" s="60"/>
      <c r="N9" s="60"/>
      <c r="O9" s="60"/>
      <c r="P9" s="60"/>
      <c r="Q9" s="60"/>
      <c r="R9" s="60"/>
      <c r="S9" s="60"/>
    </row>
    <row r="10" spans="1:19" ht="14.25" x14ac:dyDescent="0.2">
      <c r="A10" s="66" t="s">
        <v>85</v>
      </c>
      <c r="B10" s="66"/>
      <c r="C10" s="66"/>
      <c r="D10" s="66"/>
      <c r="E10" s="66"/>
      <c r="F10" s="66"/>
      <c r="G10" s="66"/>
      <c r="H10" s="66"/>
      <c r="I10" s="66"/>
      <c r="J10" s="66"/>
      <c r="K10" s="67"/>
      <c r="L10" s="67"/>
      <c r="M10" s="67"/>
      <c r="N10" s="67"/>
      <c r="O10" s="67"/>
      <c r="P10" s="67"/>
      <c r="Q10" s="67"/>
      <c r="R10" s="67"/>
      <c r="S10" s="67"/>
    </row>
    <row r="11" spans="1:19" ht="15" x14ac:dyDescent="0.2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0"/>
      <c r="L11" s="60"/>
      <c r="M11" s="60"/>
      <c r="N11" s="60"/>
      <c r="O11" s="60"/>
      <c r="P11" s="60"/>
      <c r="Q11" s="60"/>
      <c r="R11" s="60"/>
      <c r="S11" s="60"/>
    </row>
    <row r="12" spans="1:19" x14ac:dyDescent="0.2">
      <c r="A12" s="60"/>
      <c r="B12" s="60"/>
      <c r="C12" s="65"/>
      <c r="D12" s="65">
        <v>1</v>
      </c>
      <c r="E12" s="65">
        <v>2</v>
      </c>
      <c r="F12" s="65">
        <v>3</v>
      </c>
      <c r="G12" s="65">
        <v>4</v>
      </c>
      <c r="H12" s="65">
        <v>5</v>
      </c>
      <c r="I12" s="65">
        <v>6</v>
      </c>
      <c r="J12" s="60"/>
      <c r="K12" s="60"/>
      <c r="L12" s="60"/>
      <c r="M12" s="60"/>
      <c r="N12" s="60"/>
      <c r="O12" s="60"/>
      <c r="P12" s="60"/>
      <c r="Q12" s="60"/>
      <c r="R12" s="60"/>
      <c r="S12" s="60"/>
    </row>
    <row r="13" spans="1:19" x14ac:dyDescent="0.2">
      <c r="A13" s="60"/>
      <c r="B13" s="60" t="s">
        <v>94</v>
      </c>
      <c r="C13" s="65"/>
      <c r="D13" s="65">
        <v>2000</v>
      </c>
      <c r="E13" s="65">
        <v>2000</v>
      </c>
      <c r="F13" s="65">
        <v>2000</v>
      </c>
      <c r="G13" s="65">
        <v>2000</v>
      </c>
      <c r="H13" s="65">
        <v>2000</v>
      </c>
      <c r="I13" s="65">
        <v>2000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</row>
    <row r="14" spans="1:19" x14ac:dyDescent="0.2">
      <c r="A14" s="60"/>
      <c r="B14" s="60" t="s">
        <v>95</v>
      </c>
      <c r="C14" s="65"/>
      <c r="D14" s="69">
        <v>800</v>
      </c>
      <c r="E14" s="69">
        <v>800</v>
      </c>
      <c r="F14" s="69">
        <v>800</v>
      </c>
      <c r="G14" s="69">
        <v>800</v>
      </c>
      <c r="H14" s="69">
        <v>800</v>
      </c>
      <c r="I14" s="69">
        <v>800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</row>
    <row r="15" spans="1:19" x14ac:dyDescent="0.2">
      <c r="A15" s="60"/>
      <c r="B15" s="60" t="s">
        <v>96</v>
      </c>
      <c r="C15" s="65"/>
      <c r="D15" s="69">
        <v>400</v>
      </c>
      <c r="E15" s="69">
        <v>400</v>
      </c>
      <c r="F15" s="69">
        <v>400</v>
      </c>
      <c r="G15" s="69">
        <v>400</v>
      </c>
      <c r="H15" s="69">
        <v>400</v>
      </c>
      <c r="I15" s="69">
        <v>400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</row>
    <row r="16" spans="1:19" x14ac:dyDescent="0.2">
      <c r="A16" s="60"/>
      <c r="B16" s="60"/>
      <c r="C16" s="65"/>
      <c r="D16" s="65"/>
      <c r="E16" s="65"/>
      <c r="F16" s="65"/>
      <c r="G16" s="65"/>
      <c r="H16" s="65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</row>
    <row r="17" spans="1:19" x14ac:dyDescent="0.2">
      <c r="A17" s="60"/>
      <c r="B17" s="60"/>
      <c r="C17" s="65" t="s">
        <v>97</v>
      </c>
      <c r="D17" s="65" t="s">
        <v>98</v>
      </c>
      <c r="E17" s="65" t="s">
        <v>99</v>
      </c>
      <c r="F17" s="65" t="s">
        <v>100</v>
      </c>
      <c r="G17" s="65" t="s">
        <v>101</v>
      </c>
      <c r="H17" s="65" t="s">
        <v>102</v>
      </c>
      <c r="I17" s="65" t="s">
        <v>103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</row>
    <row r="18" spans="1:19" x14ac:dyDescent="0.2">
      <c r="A18" s="60"/>
      <c r="B18" s="60" t="s">
        <v>52</v>
      </c>
      <c r="C18" s="65"/>
      <c r="D18" s="70">
        <f>+D13*D14</f>
        <v>1600000</v>
      </c>
      <c r="E18" s="70">
        <f t="shared" ref="E18:I18" si="0">+E13*E14</f>
        <v>1600000</v>
      </c>
      <c r="F18" s="70">
        <f t="shared" si="0"/>
        <v>1600000</v>
      </c>
      <c r="G18" s="70">
        <f t="shared" si="0"/>
        <v>1600000</v>
      </c>
      <c r="H18" s="70">
        <f t="shared" si="0"/>
        <v>1600000</v>
      </c>
      <c r="I18" s="70">
        <f t="shared" si="0"/>
        <v>1600000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</row>
    <row r="19" spans="1:19" ht="14.25" x14ac:dyDescent="0.2">
      <c r="A19" s="60"/>
      <c r="B19" s="60" t="s">
        <v>104</v>
      </c>
      <c r="C19" s="65"/>
      <c r="D19" s="71">
        <f>+D20+D21</f>
        <v>840000</v>
      </c>
      <c r="E19" s="71">
        <f t="shared" ref="E19:I19" si="1">+E20+E21</f>
        <v>840000</v>
      </c>
      <c r="F19" s="71">
        <f t="shared" si="1"/>
        <v>840000</v>
      </c>
      <c r="G19" s="71">
        <f t="shared" si="1"/>
        <v>840000</v>
      </c>
      <c r="H19" s="71">
        <f t="shared" si="1"/>
        <v>840000</v>
      </c>
      <c r="I19" s="71">
        <f t="shared" si="1"/>
        <v>840000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spans="1:19" x14ac:dyDescent="0.2">
      <c r="A20" s="60"/>
      <c r="B20" s="65" t="s">
        <v>105</v>
      </c>
      <c r="C20" s="65"/>
      <c r="D20" s="72">
        <v>40000</v>
      </c>
      <c r="E20" s="72">
        <v>40000</v>
      </c>
      <c r="F20" s="72">
        <v>40000</v>
      </c>
      <c r="G20" s="72">
        <v>40000</v>
      </c>
      <c r="H20" s="72">
        <v>40000</v>
      </c>
      <c r="I20" s="72">
        <v>40000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1:19" x14ac:dyDescent="0.2">
      <c r="A21" s="60"/>
      <c r="B21" s="65" t="s">
        <v>96</v>
      </c>
      <c r="C21" s="65"/>
      <c r="D21" s="73">
        <f>+D13*D15</f>
        <v>800000</v>
      </c>
      <c r="E21" s="73">
        <f t="shared" ref="E21:I21" si="2">+E13*E15</f>
        <v>800000</v>
      </c>
      <c r="F21" s="73">
        <f t="shared" si="2"/>
        <v>800000</v>
      </c>
      <c r="G21" s="73">
        <f t="shared" si="2"/>
        <v>800000</v>
      </c>
      <c r="H21" s="73">
        <f t="shared" si="2"/>
        <v>800000</v>
      </c>
      <c r="I21" s="73">
        <f t="shared" si="2"/>
        <v>800000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 spans="1:19" x14ac:dyDescent="0.2">
      <c r="A22" s="60"/>
      <c r="B22" s="60" t="s">
        <v>106</v>
      </c>
      <c r="C22" s="65"/>
      <c r="D22" s="70">
        <f>+D18-D19</f>
        <v>760000</v>
      </c>
      <c r="E22" s="70">
        <f t="shared" ref="E22:I22" si="3">+E18-E19</f>
        <v>760000</v>
      </c>
      <c r="F22" s="70">
        <f t="shared" si="3"/>
        <v>760000</v>
      </c>
      <c r="G22" s="70">
        <f t="shared" si="3"/>
        <v>760000</v>
      </c>
      <c r="H22" s="70">
        <f t="shared" si="3"/>
        <v>760000</v>
      </c>
      <c r="I22" s="70">
        <f t="shared" si="3"/>
        <v>760000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</row>
    <row r="23" spans="1:19" x14ac:dyDescent="0.2">
      <c r="A23" s="60"/>
      <c r="B23" s="60"/>
      <c r="C23" s="65"/>
      <c r="D23" s="65"/>
      <c r="E23" s="65"/>
      <c r="F23" s="65"/>
      <c r="G23" s="65"/>
      <c r="H23" s="65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</row>
    <row r="24" spans="1:19" ht="14.25" x14ac:dyDescent="0.2">
      <c r="A24" s="60"/>
      <c r="B24" s="60" t="s">
        <v>107</v>
      </c>
      <c r="C24" s="74">
        <v>-2000000</v>
      </c>
      <c r="D24" s="65"/>
      <c r="E24" s="65"/>
      <c r="F24" s="65"/>
      <c r="G24" s="65"/>
      <c r="H24" s="65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</row>
    <row r="25" spans="1:19" x14ac:dyDescent="0.2">
      <c r="A25" s="60"/>
      <c r="B25" s="60" t="s">
        <v>108</v>
      </c>
      <c r="C25" s="65"/>
      <c r="D25" s="65"/>
      <c r="E25" s="65"/>
      <c r="F25" s="65"/>
      <c r="G25" s="65"/>
      <c r="H25" s="65"/>
      <c r="I25" s="75">
        <f>-C24*0.1</f>
        <v>200000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</row>
    <row r="26" spans="1:19" x14ac:dyDescent="0.2">
      <c r="A26" s="60"/>
      <c r="B26" s="60"/>
      <c r="C26" s="65" t="s">
        <v>109</v>
      </c>
      <c r="D26" s="65"/>
      <c r="E26" s="65"/>
      <c r="F26" s="65"/>
      <c r="G26" s="65"/>
      <c r="H26" s="65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</row>
    <row r="27" spans="1:19" ht="14.25" x14ac:dyDescent="0.2">
      <c r="A27" s="60"/>
      <c r="B27" s="60" t="s">
        <v>55</v>
      </c>
      <c r="C27" s="76">
        <f>+SUM(C22:C25)</f>
        <v>-2000000</v>
      </c>
      <c r="D27" s="77">
        <f t="shared" ref="D27:I27" si="4">+SUM(D22:D25)</f>
        <v>760000</v>
      </c>
      <c r="E27" s="77">
        <f t="shared" si="4"/>
        <v>760000</v>
      </c>
      <c r="F27" s="77">
        <f t="shared" si="4"/>
        <v>760000</v>
      </c>
      <c r="G27" s="77">
        <f t="shared" si="4"/>
        <v>760000</v>
      </c>
      <c r="H27" s="77">
        <f t="shared" si="4"/>
        <v>760000</v>
      </c>
      <c r="I27" s="77">
        <f t="shared" si="4"/>
        <v>960000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</row>
    <row r="28" spans="1:19" ht="14.25" x14ac:dyDescent="0.2">
      <c r="A28" s="60"/>
      <c r="B28" s="60" t="s">
        <v>110</v>
      </c>
      <c r="C28" s="78">
        <f t="shared" ref="C28:I28" si="5">+C27/POWER(1+$D$26,C12)</f>
        <v>-2000000</v>
      </c>
      <c r="D28" s="78">
        <f t="shared" si="5"/>
        <v>760000</v>
      </c>
      <c r="E28" s="78">
        <f t="shared" si="5"/>
        <v>760000</v>
      </c>
      <c r="F28" s="78">
        <f t="shared" si="5"/>
        <v>760000</v>
      </c>
      <c r="G28" s="78">
        <f t="shared" si="5"/>
        <v>760000</v>
      </c>
      <c r="H28" s="78">
        <f t="shared" si="5"/>
        <v>760000</v>
      </c>
      <c r="I28" s="78">
        <f t="shared" si="5"/>
        <v>960000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</row>
    <row r="29" spans="1:19" ht="14.25" x14ac:dyDescent="0.2">
      <c r="A29" s="60"/>
      <c r="B29" s="65" t="s">
        <v>111</v>
      </c>
      <c r="C29" s="79">
        <v>0.16</v>
      </c>
      <c r="D29" s="65"/>
      <c r="E29" s="65"/>
      <c r="F29" s="65"/>
      <c r="G29" s="65"/>
      <c r="H29" s="65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</row>
    <row r="30" spans="1:19" ht="14.25" x14ac:dyDescent="0.2">
      <c r="A30" s="60"/>
      <c r="B30" s="80" t="s">
        <v>92</v>
      </c>
      <c r="C30" s="81">
        <f>+C28+SUM(D28:I28)</f>
        <v>2760000</v>
      </c>
      <c r="D30" s="65"/>
      <c r="E30" s="65"/>
      <c r="F30" s="65"/>
      <c r="G30" s="65"/>
      <c r="H30" s="65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</row>
    <row r="31" spans="1:19" x14ac:dyDescent="0.2">
      <c r="A31" s="60"/>
      <c r="B31" s="60"/>
      <c r="C31" s="65"/>
      <c r="D31" s="65"/>
      <c r="E31" s="65"/>
      <c r="F31" s="65"/>
      <c r="G31" s="65"/>
      <c r="H31" s="65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</row>
    <row r="32" spans="1:19" x14ac:dyDescent="0.2">
      <c r="A32" s="60"/>
      <c r="B32" s="60" t="s">
        <v>92</v>
      </c>
      <c r="C32" s="65"/>
      <c r="D32" s="65"/>
      <c r="E32" s="65"/>
      <c r="F32" s="65"/>
      <c r="G32" s="65"/>
      <c r="H32" s="65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</row>
    <row r="33" spans="1:19" x14ac:dyDescent="0.2">
      <c r="A33" s="60"/>
      <c r="B33" s="60"/>
      <c r="C33" s="65"/>
      <c r="D33" s="65"/>
      <c r="E33" s="65"/>
      <c r="F33" s="65"/>
      <c r="G33" s="65"/>
      <c r="H33" s="65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</row>
    <row r="34" spans="1:19" ht="14.25" x14ac:dyDescent="0.2">
      <c r="A34" s="60"/>
      <c r="B34" s="60" t="s">
        <v>110</v>
      </c>
      <c r="C34" s="78">
        <f t="shared" ref="C34:I34" si="6">+C27/POWER(1+$I$32,C12)</f>
        <v>-2000000</v>
      </c>
      <c r="D34" s="82">
        <f>+D27/POWER(1+$I$32,D12)</f>
        <v>760000</v>
      </c>
      <c r="E34" s="82">
        <f t="shared" si="6"/>
        <v>760000</v>
      </c>
      <c r="F34" s="82">
        <f t="shared" si="6"/>
        <v>760000</v>
      </c>
      <c r="G34" s="82">
        <f t="shared" si="6"/>
        <v>760000</v>
      </c>
      <c r="H34" s="82">
        <f t="shared" si="6"/>
        <v>760000</v>
      </c>
      <c r="I34" s="82">
        <f t="shared" si="6"/>
        <v>960000</v>
      </c>
      <c r="J34" s="60"/>
      <c r="K34" s="60"/>
      <c r="L34" s="60"/>
      <c r="M34" s="60"/>
      <c r="N34" s="60"/>
      <c r="O34" s="60"/>
      <c r="P34" s="60"/>
      <c r="Q34" s="60"/>
      <c r="R34" s="60"/>
      <c r="S34" s="60"/>
    </row>
    <row r="35" spans="1:19" ht="14.25" x14ac:dyDescent="0.2">
      <c r="A35" s="60"/>
      <c r="B35" s="60"/>
      <c r="C35" s="65"/>
      <c r="D35" s="65"/>
      <c r="E35" s="65"/>
      <c r="F35" s="65"/>
      <c r="G35" s="65" t="s">
        <v>111</v>
      </c>
      <c r="H35" s="79">
        <v>0.31141990207490816</v>
      </c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</row>
    <row r="36" spans="1:19" ht="14.25" x14ac:dyDescent="0.2">
      <c r="A36" s="60"/>
      <c r="B36" s="60"/>
      <c r="C36" s="83"/>
      <c r="D36" s="65"/>
      <c r="E36" s="65"/>
      <c r="F36" s="65"/>
      <c r="G36" s="80" t="s">
        <v>92</v>
      </c>
      <c r="H36" s="84">
        <f>+C34+SUM(D34:I34)</f>
        <v>2760000</v>
      </c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</row>
    <row r="37" spans="1:19" x14ac:dyDescent="0.2">
      <c r="A37" s="60"/>
      <c r="B37" s="60"/>
      <c r="C37" s="65"/>
      <c r="D37" s="65"/>
      <c r="E37" s="65"/>
      <c r="F37" s="65"/>
      <c r="G37" s="65"/>
      <c r="H37" s="65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</row>
    <row r="38" spans="1:19" x14ac:dyDescent="0.2">
      <c r="A38" s="60"/>
      <c r="B38" s="60"/>
      <c r="C38" s="65"/>
      <c r="D38" s="65"/>
      <c r="E38" s="65"/>
      <c r="F38" s="65"/>
      <c r="G38" s="65"/>
      <c r="H38" s="65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</row>
    <row r="39" spans="1:19" x14ac:dyDescent="0.2">
      <c r="A39" s="60"/>
      <c r="B39" s="60"/>
      <c r="C39" s="65"/>
      <c r="D39" s="65"/>
      <c r="E39" s="65"/>
      <c r="F39" s="65"/>
      <c r="G39" s="65"/>
      <c r="H39" s="65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</row>
    <row r="40" spans="1:19" x14ac:dyDescent="0.2">
      <c r="A40" s="60"/>
      <c r="B40" s="60"/>
      <c r="C40" s="65"/>
      <c r="D40" s="65"/>
      <c r="E40" s="65"/>
      <c r="F40" s="65"/>
      <c r="G40" s="65"/>
      <c r="H40" s="65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</row>
    <row r="41" spans="1:19" x14ac:dyDescent="0.2">
      <c r="A41" s="60"/>
      <c r="B41" s="60"/>
      <c r="C41" s="65"/>
      <c r="D41" s="65"/>
      <c r="E41" s="65"/>
      <c r="F41" s="65"/>
      <c r="G41" s="65"/>
      <c r="H41" s="65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 spans="1:19" x14ac:dyDescent="0.2">
      <c r="A42" s="60"/>
      <c r="B42" s="60"/>
      <c r="C42" s="65"/>
      <c r="D42" s="65"/>
      <c r="E42" s="65"/>
      <c r="F42" s="65"/>
      <c r="G42" s="65"/>
      <c r="H42" s="65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 spans="1:19" x14ac:dyDescent="0.2">
      <c r="A43" s="60"/>
      <c r="B43" s="60"/>
      <c r="C43" s="65"/>
      <c r="D43" s="65"/>
      <c r="E43" s="65"/>
      <c r="F43" s="65"/>
      <c r="G43" s="65"/>
      <c r="H43" s="65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 spans="1:19" x14ac:dyDescent="0.2">
      <c r="A44" s="60"/>
      <c r="B44" s="60"/>
      <c r="C44" s="65"/>
      <c r="D44" s="65"/>
      <c r="E44" s="65"/>
      <c r="F44" s="65"/>
      <c r="G44" s="65"/>
      <c r="H44" s="65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spans="1:19" ht="15" x14ac:dyDescent="0.25">
      <c r="A45" s="60"/>
      <c r="B45" s="62" t="s">
        <v>112</v>
      </c>
      <c r="C45" s="62">
        <v>2000000</v>
      </c>
      <c r="D45" s="85"/>
      <c r="E45" s="85"/>
      <c r="F45" s="85"/>
      <c r="G45" s="85"/>
      <c r="H45" s="85"/>
      <c r="I45" s="85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1:19" ht="15" x14ac:dyDescent="0.25">
      <c r="A46" s="60"/>
      <c r="B46" s="62" t="s">
        <v>113</v>
      </c>
      <c r="C46" s="62">
        <v>800</v>
      </c>
      <c r="D46" s="85"/>
      <c r="E46" s="85"/>
      <c r="F46" s="85"/>
      <c r="G46" s="85"/>
      <c r="H46" s="85"/>
      <c r="I46" s="85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 spans="1:19" ht="15" x14ac:dyDescent="0.25">
      <c r="A47" s="60"/>
      <c r="B47" s="62" t="s">
        <v>114</v>
      </c>
      <c r="C47" s="62">
        <v>2000</v>
      </c>
      <c r="D47" s="85" t="s">
        <v>115</v>
      </c>
      <c r="E47" s="85"/>
      <c r="F47" s="85"/>
      <c r="G47" s="85"/>
      <c r="H47" s="85"/>
      <c r="I47" s="85"/>
      <c r="J47" s="60"/>
      <c r="K47" s="60"/>
      <c r="L47" s="60"/>
      <c r="M47" s="60"/>
      <c r="N47" s="60"/>
      <c r="O47" s="60"/>
      <c r="P47" s="62">
        <f>2000/6</f>
        <v>333.33333333333331</v>
      </c>
      <c r="Q47" s="60"/>
      <c r="R47" s="60"/>
      <c r="S47" s="60"/>
    </row>
    <row r="48" spans="1:19" ht="15" x14ac:dyDescent="0.25">
      <c r="A48" s="60"/>
      <c r="B48" s="62" t="s">
        <v>96</v>
      </c>
      <c r="C48" s="62">
        <v>400</v>
      </c>
      <c r="D48" s="85"/>
      <c r="E48" s="85"/>
      <c r="F48" s="85"/>
      <c r="G48" s="85"/>
      <c r="H48" s="85"/>
      <c r="I48" s="85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spans="1:19" ht="15" x14ac:dyDescent="0.25">
      <c r="A49" s="60"/>
      <c r="B49" s="62" t="s">
        <v>105</v>
      </c>
      <c r="C49" s="62">
        <v>40000</v>
      </c>
      <c r="D49" s="85"/>
      <c r="E49" s="85"/>
      <c r="F49" s="85"/>
      <c r="G49" s="85"/>
      <c r="H49" s="85"/>
      <c r="I49" s="85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spans="1:19" ht="15" x14ac:dyDescent="0.25">
      <c r="A50" s="60"/>
      <c r="B50" s="62" t="s">
        <v>116</v>
      </c>
      <c r="C50" s="62">
        <v>6</v>
      </c>
      <c r="D50" s="85"/>
      <c r="E50" s="85"/>
      <c r="F50" s="85"/>
      <c r="G50" s="85"/>
      <c r="H50" s="85"/>
      <c r="I50" s="85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 spans="1:19" ht="15" x14ac:dyDescent="0.25">
      <c r="A51" s="60"/>
      <c r="B51" s="62" t="s">
        <v>117</v>
      </c>
      <c r="C51" s="62" t="s">
        <v>118</v>
      </c>
      <c r="D51" s="85"/>
      <c r="E51" s="85"/>
      <c r="F51" s="85"/>
      <c r="G51" s="85"/>
      <c r="H51" s="85"/>
      <c r="I51" s="85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19" ht="15" x14ac:dyDescent="0.25">
      <c r="A52" s="60"/>
      <c r="B52" s="62" t="s">
        <v>119</v>
      </c>
      <c r="C52" s="60"/>
      <c r="D52" s="85"/>
      <c r="E52" s="85"/>
      <c r="F52" s="85"/>
      <c r="G52" s="85"/>
      <c r="H52" s="85"/>
      <c r="I52" s="85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spans="1:19" ht="15" x14ac:dyDescent="0.25">
      <c r="A53" s="60"/>
      <c r="B53" s="62" t="s">
        <v>10</v>
      </c>
      <c r="C53" s="86">
        <v>0.16</v>
      </c>
      <c r="D53" s="85"/>
      <c r="E53" s="85"/>
      <c r="F53" s="85"/>
      <c r="G53" s="85"/>
      <c r="H53" s="85"/>
      <c r="I53" s="85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19" ht="15" x14ac:dyDescent="0.25">
      <c r="A54" s="60"/>
      <c r="B54" s="60"/>
      <c r="C54" s="60"/>
      <c r="D54" s="85"/>
      <c r="E54" s="85"/>
      <c r="F54" s="85"/>
      <c r="G54" s="85"/>
      <c r="H54" s="85"/>
      <c r="I54" s="85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spans="1:19" ht="15" x14ac:dyDescent="0.25">
      <c r="A55" s="60"/>
      <c r="B55" s="60"/>
      <c r="C55" s="62" t="s">
        <v>120</v>
      </c>
      <c r="D55" s="85">
        <v>0</v>
      </c>
      <c r="E55" s="85">
        <v>1</v>
      </c>
      <c r="F55" s="85">
        <v>2</v>
      </c>
      <c r="G55" s="85">
        <v>3</v>
      </c>
      <c r="H55" s="85">
        <v>4</v>
      </c>
      <c r="I55" s="85">
        <v>5</v>
      </c>
      <c r="J55" s="85">
        <v>6</v>
      </c>
      <c r="K55" s="60"/>
      <c r="L55" s="60"/>
      <c r="M55" s="60"/>
      <c r="N55" s="60"/>
      <c r="O55" s="60"/>
      <c r="P55" s="60"/>
      <c r="Q55" s="60"/>
      <c r="R55" s="60"/>
      <c r="S55" s="60"/>
    </row>
    <row r="56" spans="1:19" ht="18.75" x14ac:dyDescent="0.3">
      <c r="A56" s="60"/>
      <c r="B56" s="60"/>
      <c r="C56" s="87" t="s">
        <v>52</v>
      </c>
      <c r="D56" s="85"/>
      <c r="E56" s="85">
        <f t="shared" ref="E56:J56" si="7">(800*(2000))</f>
        <v>1600000</v>
      </c>
      <c r="F56" s="85">
        <f t="shared" si="7"/>
        <v>1600000</v>
      </c>
      <c r="G56" s="85">
        <f t="shared" si="7"/>
        <v>1600000</v>
      </c>
      <c r="H56" s="85">
        <f t="shared" si="7"/>
        <v>1600000</v>
      </c>
      <c r="I56" s="85">
        <f t="shared" si="7"/>
        <v>1600000</v>
      </c>
      <c r="J56" s="85">
        <f t="shared" si="7"/>
        <v>1600000</v>
      </c>
      <c r="K56" s="60"/>
      <c r="L56" s="60"/>
      <c r="M56" s="60"/>
      <c r="N56" s="60"/>
      <c r="O56" s="60"/>
      <c r="P56" s="60"/>
      <c r="Q56" s="60"/>
      <c r="R56" s="60"/>
      <c r="S56" s="60"/>
    </row>
    <row r="57" spans="1:19" ht="18.75" x14ac:dyDescent="0.3">
      <c r="A57" s="60"/>
      <c r="B57" s="60"/>
      <c r="C57" s="87" t="s">
        <v>54</v>
      </c>
      <c r="D57" s="85"/>
      <c r="E57" s="85">
        <f t="shared" ref="E57:J57" si="8">-((400*2000))</f>
        <v>-800000</v>
      </c>
      <c r="F57" s="85">
        <f t="shared" si="8"/>
        <v>-800000</v>
      </c>
      <c r="G57" s="85">
        <f t="shared" si="8"/>
        <v>-800000</v>
      </c>
      <c r="H57" s="85">
        <f t="shared" si="8"/>
        <v>-800000</v>
      </c>
      <c r="I57" s="85">
        <f t="shared" si="8"/>
        <v>-800000</v>
      </c>
      <c r="J57" s="85">
        <f t="shared" si="8"/>
        <v>-800000</v>
      </c>
      <c r="K57" s="60"/>
      <c r="L57" s="60"/>
      <c r="M57" s="60"/>
      <c r="N57" s="60"/>
      <c r="O57" s="60"/>
      <c r="P57" s="60"/>
      <c r="Q57" s="60"/>
      <c r="R57" s="60"/>
      <c r="S57" s="60"/>
    </row>
    <row r="58" spans="1:19" ht="18.75" x14ac:dyDescent="0.3">
      <c r="A58" s="60"/>
      <c r="B58" s="60"/>
      <c r="C58" s="87" t="s">
        <v>50</v>
      </c>
      <c r="D58" s="85">
        <v>-2000000</v>
      </c>
      <c r="E58" s="85">
        <v>-40000</v>
      </c>
      <c r="F58" s="85">
        <v>-40000</v>
      </c>
      <c r="G58" s="85">
        <v>-40000</v>
      </c>
      <c r="H58" s="85">
        <v>-40000</v>
      </c>
      <c r="I58" s="85">
        <v>-40000</v>
      </c>
      <c r="J58" s="62">
        <f>-(40000) + (0.1*2000000)</f>
        <v>160000</v>
      </c>
      <c r="K58" s="60"/>
      <c r="L58" s="60"/>
      <c r="M58" s="60"/>
      <c r="N58" s="60"/>
      <c r="O58" s="60"/>
      <c r="P58" s="60"/>
      <c r="Q58" s="60"/>
      <c r="R58" s="60"/>
      <c r="S58" s="60"/>
    </row>
    <row r="59" spans="1:19" ht="15" x14ac:dyDescent="0.25">
      <c r="A59" s="60"/>
      <c r="B59" s="60"/>
      <c r="C59" s="60"/>
      <c r="D59" s="85"/>
      <c r="E59" s="85"/>
      <c r="F59" s="85"/>
      <c r="G59" s="85"/>
      <c r="H59" s="85"/>
      <c r="I59" s="85"/>
      <c r="J59" s="60"/>
      <c r="K59" s="60"/>
      <c r="L59" s="60"/>
      <c r="M59" s="60"/>
      <c r="N59" s="60"/>
      <c r="O59" s="60"/>
      <c r="P59" s="60"/>
      <c r="Q59" s="60"/>
      <c r="R59" s="60"/>
      <c r="S59" s="60"/>
    </row>
    <row r="60" spans="1:19" ht="18.75" x14ac:dyDescent="0.3">
      <c r="A60" s="60"/>
      <c r="B60" s="60"/>
      <c r="C60" s="87" t="s">
        <v>121</v>
      </c>
      <c r="D60" s="85">
        <f t="shared" ref="D60:J60" si="9">SUM(D56:D58)</f>
        <v>-2000000</v>
      </c>
      <c r="E60" s="85">
        <f t="shared" si="9"/>
        <v>760000</v>
      </c>
      <c r="F60" s="85">
        <f t="shared" si="9"/>
        <v>760000</v>
      </c>
      <c r="G60" s="85">
        <f t="shared" si="9"/>
        <v>760000</v>
      </c>
      <c r="H60" s="85">
        <f t="shared" si="9"/>
        <v>760000</v>
      </c>
      <c r="I60" s="85">
        <f t="shared" si="9"/>
        <v>760000</v>
      </c>
      <c r="J60" s="85">
        <f t="shared" si="9"/>
        <v>960000</v>
      </c>
      <c r="K60" s="60"/>
      <c r="L60" s="60"/>
      <c r="M60" s="60"/>
      <c r="N60" s="60"/>
      <c r="O60" s="60"/>
      <c r="P60" s="60"/>
      <c r="Q60" s="60"/>
      <c r="R60" s="60"/>
      <c r="S60" s="60"/>
    </row>
    <row r="61" spans="1:19" ht="18.75" x14ac:dyDescent="0.3">
      <c r="A61" s="60"/>
      <c r="B61" s="60"/>
      <c r="C61" s="87" t="s">
        <v>110</v>
      </c>
      <c r="D61" s="85">
        <f t="shared" ref="D61:J61" si="10">D60/POWER(1+0.16,D55)</f>
        <v>-2000000</v>
      </c>
      <c r="E61" s="85">
        <f t="shared" si="10"/>
        <v>655172.41379310354</v>
      </c>
      <c r="F61" s="85">
        <f t="shared" si="10"/>
        <v>564803.80499405472</v>
      </c>
      <c r="G61" s="85">
        <f t="shared" si="10"/>
        <v>486899.83189142653</v>
      </c>
      <c r="H61" s="85">
        <f t="shared" si="10"/>
        <v>419741.23438916082</v>
      </c>
      <c r="I61" s="85">
        <f t="shared" si="10"/>
        <v>361845.8917147938</v>
      </c>
      <c r="J61" s="85">
        <f t="shared" si="10"/>
        <v>394024.56448071921</v>
      </c>
      <c r="K61" s="60"/>
      <c r="L61" s="60"/>
      <c r="M61" s="60"/>
      <c r="N61" s="60"/>
      <c r="O61" s="60"/>
      <c r="P61" s="60"/>
      <c r="Q61" s="60"/>
      <c r="R61" s="60"/>
      <c r="S61" s="60"/>
    </row>
    <row r="62" spans="1:19" ht="15" x14ac:dyDescent="0.25">
      <c r="A62" s="60"/>
      <c r="B62" s="60"/>
      <c r="C62" s="60"/>
      <c r="D62" s="85"/>
      <c r="E62" s="85"/>
      <c r="F62" s="85"/>
      <c r="G62" s="85"/>
      <c r="H62" s="85"/>
      <c r="I62" s="85"/>
      <c r="J62" s="60"/>
      <c r="K62" s="60"/>
      <c r="L62" s="60"/>
      <c r="M62" s="60"/>
      <c r="N62" s="60"/>
      <c r="O62" s="60"/>
      <c r="P62" s="60"/>
      <c r="Q62" s="60"/>
      <c r="R62" s="60"/>
      <c r="S62" s="60"/>
    </row>
    <row r="63" spans="1:19" ht="15" x14ac:dyDescent="0.25">
      <c r="A63" s="60"/>
      <c r="B63" s="60"/>
      <c r="C63" s="62" t="s">
        <v>122</v>
      </c>
      <c r="D63" s="85">
        <f>SUM(D61:J61)</f>
        <v>882487.74126325862</v>
      </c>
      <c r="E63" s="85"/>
      <c r="F63" s="85"/>
      <c r="G63" s="85"/>
      <c r="H63" s="85"/>
      <c r="I63" s="85"/>
      <c r="J63" s="60"/>
      <c r="K63" s="60"/>
      <c r="L63" s="60"/>
      <c r="M63" s="60"/>
      <c r="N63" s="60"/>
      <c r="O63" s="60"/>
      <c r="P63" s="60"/>
      <c r="Q63" s="60"/>
      <c r="R63" s="60"/>
      <c r="S63" s="60"/>
    </row>
    <row r="64" spans="1:19" ht="15" x14ac:dyDescent="0.25">
      <c r="A64" s="60"/>
      <c r="B64" s="60"/>
      <c r="C64" s="62" t="s">
        <v>123</v>
      </c>
      <c r="D64" s="88">
        <f>IRR(D60:J60)</f>
        <v>0.31141990761692062</v>
      </c>
      <c r="E64" s="85"/>
      <c r="F64" s="85"/>
      <c r="G64" s="85"/>
      <c r="H64" s="85"/>
      <c r="I64" s="85"/>
      <c r="J64" s="60"/>
      <c r="K64" s="60"/>
      <c r="L64" s="60"/>
      <c r="M64" s="60"/>
      <c r="N64" s="60"/>
      <c r="O64" s="60"/>
      <c r="P64" s="60"/>
      <c r="Q64" s="60"/>
      <c r="R64" s="60"/>
      <c r="S64" s="60"/>
    </row>
    <row r="65" spans="1:19" ht="17.25" x14ac:dyDescent="0.4">
      <c r="A65" s="60"/>
      <c r="B65" s="60"/>
      <c r="C65" s="62" t="s">
        <v>124</v>
      </c>
      <c r="D65" s="89">
        <f>D60/POWER(1+$D$55,D55)</f>
        <v>-2000000</v>
      </c>
      <c r="E65" s="89">
        <f>E60/POWER(1+$D$55,E55)</f>
        <v>760000</v>
      </c>
      <c r="F65" s="89">
        <f t="shared" ref="F65:J65" si="11">F60/POWER(1+$D$55,F55)</f>
        <v>760000</v>
      </c>
      <c r="G65" s="89">
        <f t="shared" si="11"/>
        <v>760000</v>
      </c>
      <c r="H65" s="89">
        <f t="shared" si="11"/>
        <v>760000</v>
      </c>
      <c r="I65" s="89">
        <f t="shared" si="11"/>
        <v>760000</v>
      </c>
      <c r="J65" s="89">
        <f t="shared" si="11"/>
        <v>960000</v>
      </c>
      <c r="K65" s="60"/>
      <c r="L65" s="60"/>
      <c r="M65" s="60"/>
      <c r="N65" s="60"/>
      <c r="O65" s="60"/>
      <c r="P65" s="60"/>
      <c r="Q65" s="60"/>
      <c r="R65" s="60"/>
      <c r="S65" s="60"/>
    </row>
    <row r="66" spans="1:19" ht="15" x14ac:dyDescent="0.25">
      <c r="A66" s="60"/>
      <c r="B66" s="60"/>
      <c r="C66" s="62" t="s">
        <v>122</v>
      </c>
      <c r="D66" s="90">
        <f>SUM(D65:J65)</f>
        <v>2760000</v>
      </c>
      <c r="E66" s="85"/>
      <c r="F66" s="85"/>
      <c r="G66" s="85"/>
      <c r="H66" s="85"/>
      <c r="I66" s="85"/>
      <c r="J66" s="60"/>
      <c r="K66" s="60"/>
      <c r="L66" s="60"/>
      <c r="M66" s="60"/>
      <c r="N66" s="60"/>
      <c r="O66" s="60"/>
      <c r="P66" s="60"/>
      <c r="Q66" s="60"/>
      <c r="R66" s="60"/>
      <c r="S66" s="60"/>
    </row>
    <row r="67" spans="1:19" ht="15" x14ac:dyDescent="0.25">
      <c r="A67" s="60"/>
      <c r="B67" s="60"/>
      <c r="C67" s="60"/>
      <c r="D67" s="85"/>
      <c r="E67" s="85"/>
      <c r="F67" s="85"/>
      <c r="G67" s="85"/>
      <c r="H67" s="85"/>
      <c r="I67" s="85"/>
      <c r="J67" s="60"/>
      <c r="K67" s="60"/>
      <c r="L67" s="60"/>
      <c r="M67" s="60"/>
      <c r="N67" s="60"/>
      <c r="O67" s="60"/>
      <c r="P67" s="60"/>
      <c r="Q67" s="60"/>
      <c r="R67" s="60"/>
      <c r="S67" s="60"/>
    </row>
    <row r="68" spans="1:19" ht="15" x14ac:dyDescent="0.25">
      <c r="A68" s="60"/>
      <c r="B68" s="60"/>
      <c r="C68" s="60"/>
      <c r="D68" s="85"/>
      <c r="E68" s="85"/>
      <c r="F68" s="85"/>
      <c r="G68" s="85"/>
      <c r="H68" s="85"/>
      <c r="I68" s="85"/>
      <c r="J68" s="60"/>
      <c r="K68" s="60"/>
      <c r="L68" s="60"/>
      <c r="M68" s="60"/>
      <c r="N68" s="60"/>
      <c r="O68" s="60"/>
      <c r="P68" s="60"/>
      <c r="Q68" s="60"/>
      <c r="R68" s="60"/>
      <c r="S68" s="60"/>
    </row>
    <row r="69" spans="1:19" x14ac:dyDescent="0.2">
      <c r="A69" s="60"/>
      <c r="B69" s="60"/>
      <c r="C69" s="65"/>
      <c r="D69" s="65"/>
      <c r="E69" s="65"/>
      <c r="F69" s="65"/>
      <c r="G69" s="65"/>
      <c r="H69" s="65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</row>
    <row r="70" spans="1:19" x14ac:dyDescent="0.2">
      <c r="A70" s="60"/>
      <c r="B70" s="60"/>
      <c r="C70" s="65"/>
      <c r="D70" s="65"/>
      <c r="E70" s="65"/>
      <c r="F70" s="65"/>
      <c r="G70" s="65"/>
      <c r="H70" s="65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</row>
    <row r="71" spans="1:19" x14ac:dyDescent="0.2">
      <c r="A71" s="60"/>
      <c r="B71" s="60"/>
      <c r="C71" s="65"/>
      <c r="D71" s="65"/>
      <c r="E71" s="65"/>
      <c r="F71" s="65"/>
      <c r="G71" s="65"/>
      <c r="H71" s="65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</row>
    <row r="72" spans="1:19" x14ac:dyDescent="0.2">
      <c r="A72" s="60"/>
      <c r="B72" s="60"/>
      <c r="C72" s="65"/>
      <c r="D72" s="65"/>
      <c r="E72" s="65"/>
      <c r="F72" s="65"/>
      <c r="G72" s="65"/>
      <c r="H72" s="65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</row>
    <row r="73" spans="1:19" x14ac:dyDescent="0.2">
      <c r="A73" s="60"/>
      <c r="B73" s="60"/>
      <c r="C73" s="65"/>
      <c r="D73" s="65"/>
      <c r="E73" s="65"/>
      <c r="F73" s="65"/>
      <c r="G73" s="65"/>
      <c r="H73" s="65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</row>
    <row r="74" spans="1:19" x14ac:dyDescent="0.2">
      <c r="A74" s="60"/>
      <c r="B74" s="60"/>
      <c r="C74" s="65"/>
      <c r="D74" s="65"/>
      <c r="E74" s="65"/>
      <c r="F74" s="65"/>
      <c r="G74" s="65"/>
      <c r="H74" s="65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</row>
    <row r="75" spans="1:19" x14ac:dyDescent="0.2">
      <c r="A75" s="60"/>
      <c r="B75" s="60"/>
      <c r="C75" s="65"/>
      <c r="D75" s="65"/>
      <c r="E75" s="65"/>
      <c r="F75" s="65"/>
      <c r="G75" s="65"/>
      <c r="H75" s="65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</row>
    <row r="76" spans="1:19" x14ac:dyDescent="0.2">
      <c r="A76" s="60"/>
      <c r="B76" s="60"/>
      <c r="C76" s="65"/>
      <c r="D76" s="65"/>
      <c r="E76" s="65"/>
      <c r="F76" s="65"/>
      <c r="G76" s="65"/>
      <c r="H76" s="65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19" x14ac:dyDescent="0.2">
      <c r="A77" s="60"/>
      <c r="B77" s="60"/>
      <c r="C77" s="65"/>
      <c r="D77" s="65"/>
      <c r="E77" s="65"/>
      <c r="F77" s="65"/>
      <c r="G77" s="65"/>
      <c r="H77" s="65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19" x14ac:dyDescent="0.2">
      <c r="A78" s="60"/>
      <c r="B78" s="60"/>
      <c r="C78" s="65"/>
      <c r="D78" s="65"/>
      <c r="E78" s="65"/>
      <c r="F78" s="65"/>
      <c r="G78" s="65"/>
      <c r="H78" s="65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</row>
    <row r="79" spans="1:19" x14ac:dyDescent="0.2">
      <c r="A79" s="60"/>
      <c r="B79" s="60"/>
      <c r="C79" s="65"/>
      <c r="D79" s="65"/>
      <c r="E79" s="65"/>
      <c r="F79" s="65"/>
      <c r="G79" s="65"/>
      <c r="H79" s="65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</row>
    <row r="80" spans="1:19" x14ac:dyDescent="0.2">
      <c r="A80" s="60"/>
      <c r="B80" s="60"/>
      <c r="C80" s="65"/>
      <c r="D80" s="65"/>
      <c r="E80" s="65"/>
      <c r="F80" s="65"/>
      <c r="G80" s="65"/>
      <c r="H80" s="65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</row>
    <row r="81" spans="1:19" x14ac:dyDescent="0.2">
      <c r="A81" s="60"/>
      <c r="B81" s="60"/>
      <c r="C81" s="65"/>
      <c r="D81" s="65"/>
      <c r="E81" s="65"/>
      <c r="F81" s="65"/>
      <c r="G81" s="65"/>
      <c r="H81" s="65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</row>
  </sheetData>
  <mergeCells count="1">
    <mergeCell ref="A7:J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3722-76D5-4710-A45A-09A19347A059}">
  <sheetPr>
    <tabColor rgb="FFFF0000"/>
  </sheetPr>
  <dimension ref="A3:L24"/>
  <sheetViews>
    <sheetView workbookViewId="0">
      <selection activeCell="J32" sqref="J32"/>
    </sheetView>
  </sheetViews>
  <sheetFormatPr baseColWidth="10" defaultRowHeight="12.75" x14ac:dyDescent="0.2"/>
  <cols>
    <col min="1" max="1" width="13.5703125" customWidth="1"/>
    <col min="2" max="2" width="14.42578125" customWidth="1"/>
    <col min="3" max="3" width="12.7109375" customWidth="1"/>
    <col min="4" max="4" width="13.28515625" customWidth="1"/>
    <col min="5" max="5" width="34" customWidth="1"/>
    <col min="7" max="7" width="16.140625" customWidth="1"/>
  </cols>
  <sheetData>
    <row r="3" spans="1:12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12" ht="15" x14ac:dyDescent="0.25">
      <c r="A4" s="91" t="s">
        <v>83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2" x14ac:dyDescent="0.2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</row>
    <row r="6" spans="1:12" ht="24.75" customHeight="1" x14ac:dyDescent="0.25">
      <c r="A6" s="93" t="s">
        <v>125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</row>
    <row r="7" spans="1:12" ht="18" customHeight="1" x14ac:dyDescent="0.25">
      <c r="A7" s="93" t="s">
        <v>126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1:12" ht="24.75" customHeight="1" x14ac:dyDescent="0.25">
      <c r="A8" s="93" t="s">
        <v>127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</row>
    <row r="9" spans="1:12" ht="15.75" x14ac:dyDescent="0.25">
      <c r="A9" s="94" t="s">
        <v>128</v>
      </c>
      <c r="B9" s="94">
        <v>3</v>
      </c>
      <c r="C9" s="94" t="s">
        <v>129</v>
      </c>
      <c r="D9" s="94">
        <v>4.2</v>
      </c>
      <c r="E9" s="93"/>
      <c r="F9" s="93"/>
      <c r="G9" s="93"/>
      <c r="H9" s="93"/>
      <c r="I9" s="93"/>
      <c r="J9" s="93"/>
      <c r="K9" s="93"/>
      <c r="L9" s="93"/>
    </row>
    <row r="10" spans="1:12" ht="15.75" x14ac:dyDescent="0.25">
      <c r="A10" s="94" t="s">
        <v>130</v>
      </c>
      <c r="B10" s="94">
        <v>3.45</v>
      </c>
      <c r="C10" s="94" t="s">
        <v>131</v>
      </c>
      <c r="D10" s="94">
        <f t="shared" ref="D10:D13" si="0">+D9</f>
        <v>4.2</v>
      </c>
      <c r="E10" s="93"/>
      <c r="F10" s="93"/>
      <c r="G10" s="93"/>
      <c r="H10" s="93"/>
      <c r="I10" s="93"/>
      <c r="J10" s="93"/>
      <c r="K10" s="93"/>
      <c r="L10" s="93"/>
    </row>
    <row r="11" spans="1:12" ht="15.75" x14ac:dyDescent="0.25">
      <c r="A11" s="94" t="s">
        <v>132</v>
      </c>
      <c r="B11" s="94">
        <v>4.5</v>
      </c>
      <c r="C11" s="94" t="s">
        <v>133</v>
      </c>
      <c r="D11" s="94">
        <f t="shared" si="0"/>
        <v>4.2</v>
      </c>
      <c r="E11" s="93"/>
      <c r="F11" s="93"/>
      <c r="G11" s="93"/>
      <c r="H11" s="93"/>
      <c r="I11" s="93"/>
      <c r="J11" s="93"/>
      <c r="K11" s="93"/>
      <c r="L11" s="93"/>
    </row>
    <row r="12" spans="1:12" ht="15.75" x14ac:dyDescent="0.25">
      <c r="A12" s="94" t="s">
        <v>134</v>
      </c>
      <c r="B12" s="94">
        <v>4.8</v>
      </c>
      <c r="C12" s="94" t="s">
        <v>135</v>
      </c>
      <c r="D12" s="94">
        <f t="shared" si="0"/>
        <v>4.2</v>
      </c>
      <c r="E12" s="93"/>
      <c r="F12" s="93"/>
      <c r="G12" s="93"/>
      <c r="H12" s="93"/>
      <c r="I12" s="93"/>
      <c r="J12" s="93"/>
      <c r="K12" s="93"/>
      <c r="L12" s="93"/>
    </row>
    <row r="13" spans="1:12" ht="15.75" x14ac:dyDescent="0.25">
      <c r="A13" s="94" t="s">
        <v>136</v>
      </c>
      <c r="B13" s="94">
        <v>4.05</v>
      </c>
      <c r="C13" s="94" t="s">
        <v>137</v>
      </c>
      <c r="D13" s="94">
        <f t="shared" si="0"/>
        <v>4.2</v>
      </c>
      <c r="E13" s="93"/>
      <c r="F13" s="93"/>
      <c r="G13" s="93"/>
      <c r="H13" s="93"/>
      <c r="I13" s="93"/>
      <c r="J13" s="93"/>
      <c r="K13" s="93"/>
      <c r="L13" s="93"/>
    </row>
    <row r="14" spans="1:12" ht="15.75" x14ac:dyDescent="0.25">
      <c r="A14" s="93" t="s">
        <v>138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</row>
    <row r="15" spans="1:12" ht="15.75" x14ac:dyDescent="0.25">
      <c r="A15" s="93"/>
      <c r="B15" s="93"/>
      <c r="C15" s="93"/>
      <c r="D15" s="93"/>
      <c r="E15" s="93" t="s">
        <v>139</v>
      </c>
      <c r="F15" s="95">
        <v>100000</v>
      </c>
      <c r="G15" s="93" t="s">
        <v>140</v>
      </c>
      <c r="H15" s="93"/>
      <c r="I15" s="93"/>
      <c r="J15" s="93"/>
      <c r="K15" s="93"/>
      <c r="L15" s="93"/>
    </row>
    <row r="16" spans="1:12" ht="15.75" x14ac:dyDescent="0.25">
      <c r="A16" s="93"/>
      <c r="B16" s="93"/>
      <c r="C16" s="93"/>
      <c r="D16" s="93"/>
      <c r="E16" s="93" t="s">
        <v>141</v>
      </c>
      <c r="F16" s="95">
        <v>15000</v>
      </c>
      <c r="G16" s="93" t="s">
        <v>142</v>
      </c>
      <c r="H16" s="93"/>
      <c r="I16" s="93"/>
      <c r="J16" s="93"/>
      <c r="K16" s="93"/>
      <c r="L16" s="93"/>
    </row>
    <row r="17" spans="1:12" ht="15.75" x14ac:dyDescent="0.25">
      <c r="A17" s="93"/>
      <c r="B17" s="93"/>
      <c r="C17" s="93"/>
      <c r="D17" s="93"/>
      <c r="E17" s="93" t="s">
        <v>143</v>
      </c>
      <c r="F17" s="95">
        <v>15000</v>
      </c>
      <c r="G17" s="93" t="s">
        <v>144</v>
      </c>
      <c r="H17" s="93"/>
      <c r="I17" s="93"/>
      <c r="J17" s="93"/>
      <c r="K17" s="93"/>
      <c r="L17" s="93"/>
    </row>
    <row r="18" spans="1:12" ht="15.75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1:12" ht="15.75" x14ac:dyDescent="0.25">
      <c r="A19" s="93" t="s">
        <v>145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ht="15.75" x14ac:dyDescent="0.25">
      <c r="A20" s="93" t="s">
        <v>146</v>
      </c>
      <c r="B20" s="93"/>
      <c r="C20" s="93"/>
      <c r="D20" s="96">
        <v>0.12</v>
      </c>
      <c r="E20" s="93"/>
      <c r="F20" s="93"/>
      <c r="G20" s="93"/>
      <c r="H20" s="93"/>
      <c r="I20" s="93"/>
      <c r="J20" s="93"/>
      <c r="K20" s="93"/>
      <c r="L20" s="93"/>
    </row>
    <row r="21" spans="1:12" ht="15.75" x14ac:dyDescent="0.25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</row>
    <row r="22" spans="1:12" ht="15.75" x14ac:dyDescent="0.25">
      <c r="A22" s="93" t="s">
        <v>147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</row>
    <row r="23" spans="1:12" x14ac:dyDescent="0.2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</row>
    <row r="24" spans="1:12" ht="15" x14ac:dyDescent="0.25">
      <c r="A24" s="91" t="s">
        <v>85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  <outlinePr summaryBelow="0" summaryRight="0"/>
  </sheetPr>
  <dimension ref="A21:Q44"/>
  <sheetViews>
    <sheetView workbookViewId="0">
      <selection activeCell="D54" sqref="D54"/>
    </sheetView>
  </sheetViews>
  <sheetFormatPr baseColWidth="10" defaultColWidth="12.5703125" defaultRowHeight="15.75" customHeight="1" x14ac:dyDescent="0.2"/>
  <cols>
    <col min="9" max="9" width="19.7109375" customWidth="1"/>
  </cols>
  <sheetData>
    <row r="21" spans="1:17" x14ac:dyDescent="0.2">
      <c r="A21" s="97" t="s">
        <v>0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3" spans="1:17" x14ac:dyDescent="0.2">
      <c r="B23" s="1" t="s">
        <v>18</v>
      </c>
      <c r="C23" s="10">
        <v>30000</v>
      </c>
      <c r="D23" s="3"/>
    </row>
    <row r="24" spans="1:17" x14ac:dyDescent="0.2">
      <c r="B24" s="1" t="s">
        <v>19</v>
      </c>
      <c r="C24" s="1">
        <v>6</v>
      </c>
      <c r="D24" s="1" t="s">
        <v>20</v>
      </c>
    </row>
    <row r="25" spans="1:17" x14ac:dyDescent="0.2">
      <c r="B25" s="1" t="s">
        <v>21</v>
      </c>
      <c r="C25" s="11">
        <v>0.114</v>
      </c>
      <c r="D25" s="1" t="s">
        <v>3</v>
      </c>
    </row>
    <row r="27" spans="1:17" x14ac:dyDescent="0.2">
      <c r="B27" s="103" t="s">
        <v>22</v>
      </c>
      <c r="C27" s="104"/>
      <c r="D27" s="104"/>
      <c r="E27" s="104"/>
      <c r="F27" s="104"/>
    </row>
    <row r="30" spans="1:17" x14ac:dyDescent="0.2">
      <c r="B30" s="3"/>
      <c r="C30" s="1" t="s">
        <v>4</v>
      </c>
      <c r="D30" s="1" t="s">
        <v>5</v>
      </c>
      <c r="E30" s="1" t="s">
        <v>6</v>
      </c>
      <c r="F30" s="1" t="s">
        <v>7</v>
      </c>
      <c r="G30" s="1" t="s">
        <v>23</v>
      </c>
      <c r="H30" s="1" t="s">
        <v>24</v>
      </c>
    </row>
    <row r="31" spans="1:17" x14ac:dyDescent="0.2">
      <c r="B31" s="1" t="s">
        <v>25</v>
      </c>
      <c r="C31" s="12">
        <f>$C$23*((1+$C$25)^$C$24-1)/(((1+$C$25)^$C$24)*$C$25)</f>
        <v>125466.98849091753</v>
      </c>
      <c r="D31" s="13">
        <f t="shared" ref="D31:H31" si="0">C35</f>
        <v>109770.22517888213</v>
      </c>
      <c r="E31" s="13">
        <f t="shared" si="0"/>
        <v>92284.030849274699</v>
      </c>
      <c r="F31" s="13">
        <f t="shared" si="0"/>
        <v>72804.410366092023</v>
      </c>
      <c r="G31" s="13">
        <f t="shared" si="0"/>
        <v>51104.113147826516</v>
      </c>
      <c r="H31" s="13">
        <f t="shared" si="0"/>
        <v>26929.982046678735</v>
      </c>
    </row>
    <row r="32" spans="1:17" x14ac:dyDescent="0.2">
      <c r="B32" s="1" t="s">
        <v>10</v>
      </c>
      <c r="C32" s="13">
        <f t="shared" ref="C32:H32" si="1">C31*$C$25</f>
        <v>14303.2366879646</v>
      </c>
      <c r="D32" s="13">
        <f t="shared" si="1"/>
        <v>12513.805670392563</v>
      </c>
      <c r="E32" s="13">
        <f t="shared" si="1"/>
        <v>10520.379516817316</v>
      </c>
      <c r="F32" s="13">
        <f t="shared" si="1"/>
        <v>8299.7027817344915</v>
      </c>
      <c r="G32" s="13">
        <f t="shared" si="1"/>
        <v>5825.8688988522226</v>
      </c>
      <c r="H32" s="13">
        <f t="shared" si="1"/>
        <v>3070.0179533213759</v>
      </c>
    </row>
    <row r="33" spans="2:11" x14ac:dyDescent="0.2">
      <c r="B33" s="1" t="s">
        <v>26</v>
      </c>
      <c r="C33" s="13">
        <f t="shared" ref="C33:H33" si="2">C31+C32</f>
        <v>139770.22517888213</v>
      </c>
      <c r="D33" s="13">
        <f t="shared" si="2"/>
        <v>122284.0308492747</v>
      </c>
      <c r="E33" s="13">
        <f t="shared" si="2"/>
        <v>102804.41036609202</v>
      </c>
      <c r="F33" s="13">
        <f t="shared" si="2"/>
        <v>81104.113147826516</v>
      </c>
      <c r="G33" s="13">
        <f t="shared" si="2"/>
        <v>56929.982046678735</v>
      </c>
      <c r="H33" s="13">
        <f t="shared" si="2"/>
        <v>30000.000000000109</v>
      </c>
    </row>
    <row r="34" spans="2:11" x14ac:dyDescent="0.2">
      <c r="B34" s="1" t="s">
        <v>27</v>
      </c>
      <c r="C34" s="14">
        <v>30000</v>
      </c>
      <c r="D34" s="14">
        <v>30000</v>
      </c>
      <c r="E34" s="14">
        <v>30000</v>
      </c>
      <c r="F34" s="14">
        <v>30000</v>
      </c>
      <c r="G34" s="14">
        <v>30000</v>
      </c>
      <c r="H34" s="14">
        <v>30000</v>
      </c>
    </row>
    <row r="35" spans="2:11" x14ac:dyDescent="0.2">
      <c r="B35" s="1" t="s">
        <v>28</v>
      </c>
      <c r="C35" s="13">
        <f t="shared" ref="C35:H35" si="3">C33-C34</f>
        <v>109770.22517888213</v>
      </c>
      <c r="D35" s="13">
        <f t="shared" si="3"/>
        <v>92284.030849274699</v>
      </c>
      <c r="E35" s="13">
        <f t="shared" si="3"/>
        <v>72804.410366092023</v>
      </c>
      <c r="F35" s="13">
        <f t="shared" si="3"/>
        <v>51104.113147826516</v>
      </c>
      <c r="G35" s="13">
        <f t="shared" si="3"/>
        <v>26929.982046678735</v>
      </c>
      <c r="H35" s="13">
        <f t="shared" si="3"/>
        <v>1.0913936421275139E-10</v>
      </c>
      <c r="I35" s="103" t="s">
        <v>29</v>
      </c>
      <c r="J35" s="104"/>
      <c r="K35" s="104"/>
    </row>
    <row r="43" spans="2:11" x14ac:dyDescent="0.2">
      <c r="F43" s="5" t="s">
        <v>30</v>
      </c>
      <c r="G43" s="15">
        <f>$C$23*((1+$C$25)^$C$24-1)/(((1+$C$25)^$C$24)*$C$25)</f>
        <v>125466.98849091753</v>
      </c>
    </row>
    <row r="44" spans="2:11" x14ac:dyDescent="0.2">
      <c r="G44" s="15">
        <f>30000*((1+0.114)^6-1)/(((1+0.114)^6)*0.114)</f>
        <v>125466.98849091753</v>
      </c>
    </row>
  </sheetData>
  <mergeCells count="3">
    <mergeCell ref="A21:Q21"/>
    <mergeCell ref="B27:F27"/>
    <mergeCell ref="I35:K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3E6C-520A-47F2-A891-17517FB88561}">
  <sheetPr>
    <tabColor rgb="FF66FF33"/>
  </sheetPr>
  <dimension ref="A3:J14"/>
  <sheetViews>
    <sheetView workbookViewId="0">
      <selection activeCell="C15" sqref="C15"/>
    </sheetView>
  </sheetViews>
  <sheetFormatPr baseColWidth="10" defaultRowHeight="12.75" x14ac:dyDescent="0.2"/>
  <cols>
    <col min="1" max="1" width="19.42578125" customWidth="1"/>
    <col min="2" max="2" width="15.85546875" customWidth="1"/>
  </cols>
  <sheetData>
    <row r="3" spans="1:10" ht="15" x14ac:dyDescent="0.25">
      <c r="A3" s="48" t="s">
        <v>63</v>
      </c>
      <c r="B3" s="48"/>
      <c r="C3" s="48"/>
      <c r="D3" s="48"/>
      <c r="E3" s="48"/>
      <c r="F3" s="48"/>
      <c r="G3" s="48"/>
      <c r="H3" s="48"/>
      <c r="I3" s="48"/>
      <c r="J3" s="49"/>
    </row>
    <row r="4" spans="1:10" x14ac:dyDescent="0.2">
      <c r="A4" s="105" t="s">
        <v>64</v>
      </c>
      <c r="B4" s="105"/>
      <c r="C4" s="105"/>
      <c r="D4" s="105"/>
      <c r="E4" s="105"/>
      <c r="F4" s="105"/>
      <c r="G4" s="105"/>
      <c r="H4" s="105"/>
      <c r="I4" s="105"/>
      <c r="J4" s="49"/>
    </row>
    <row r="5" spans="1:10" ht="29.25" customHeight="1" x14ac:dyDescent="0.2">
      <c r="A5" s="105"/>
      <c r="B5" s="105"/>
      <c r="C5" s="105"/>
      <c r="D5" s="105"/>
      <c r="E5" s="105"/>
      <c r="F5" s="105"/>
      <c r="G5" s="105"/>
      <c r="H5" s="105"/>
      <c r="I5" s="105"/>
      <c r="J5" s="49"/>
    </row>
    <row r="6" spans="1:10" x14ac:dyDescent="0.2">
      <c r="A6" s="49"/>
      <c r="B6" s="49"/>
      <c r="C6" s="49"/>
      <c r="D6" s="49"/>
      <c r="E6" s="49"/>
      <c r="F6" s="49"/>
      <c r="G6" s="49"/>
      <c r="H6" s="49"/>
      <c r="I6" s="49"/>
      <c r="J6" s="49"/>
    </row>
    <row r="7" spans="1:10" x14ac:dyDescent="0.2">
      <c r="A7" s="49" t="s">
        <v>65</v>
      </c>
      <c r="B7" s="50">
        <v>50</v>
      </c>
      <c r="C7" s="49"/>
      <c r="D7" s="49"/>
      <c r="E7" s="49"/>
      <c r="F7" s="49"/>
      <c r="G7" s="49"/>
      <c r="H7" s="49"/>
      <c r="I7" s="49"/>
      <c r="J7" s="49"/>
    </row>
    <row r="8" spans="1:10" x14ac:dyDescent="0.2">
      <c r="A8" s="49" t="s">
        <v>66</v>
      </c>
      <c r="B8" s="49">
        <v>5</v>
      </c>
      <c r="C8" s="49"/>
      <c r="D8" s="49"/>
      <c r="E8" s="49"/>
      <c r="F8" s="49"/>
      <c r="G8" s="49"/>
      <c r="H8" s="49"/>
      <c r="I8" s="49"/>
      <c r="J8" s="49"/>
    </row>
    <row r="9" spans="1:10" x14ac:dyDescent="0.2">
      <c r="A9" s="49" t="s">
        <v>67</v>
      </c>
      <c r="B9" s="51">
        <v>0.1</v>
      </c>
      <c r="C9" s="49"/>
      <c r="D9" s="49"/>
      <c r="E9" s="49"/>
      <c r="F9" s="49"/>
      <c r="G9" s="49"/>
      <c r="H9" s="49"/>
      <c r="I9" s="49"/>
      <c r="J9" s="49"/>
    </row>
    <row r="10" spans="1:10" x14ac:dyDescent="0.2">
      <c r="A10" s="49" t="s">
        <v>68</v>
      </c>
      <c r="B10" s="50">
        <f>+((1+B9)^B8-1)/((1+B9)^B8*B9)*B7</f>
        <v>189.53933847042254</v>
      </c>
      <c r="C10" s="49"/>
      <c r="D10" s="49"/>
      <c r="E10" s="49"/>
      <c r="F10" s="49"/>
      <c r="G10" s="49"/>
      <c r="H10" s="49"/>
      <c r="I10" s="49"/>
      <c r="J10" s="49"/>
    </row>
    <row r="11" spans="1:10" ht="18" x14ac:dyDescent="0.25">
      <c r="A11" s="49"/>
      <c r="B11" s="49"/>
      <c r="C11" s="49"/>
      <c r="D11" s="49"/>
      <c r="E11" s="52"/>
      <c r="F11" s="53"/>
      <c r="G11" s="49"/>
      <c r="H11" s="49"/>
      <c r="I11" s="49"/>
      <c r="J11" s="49"/>
    </row>
    <row r="12" spans="1:10" ht="18" x14ac:dyDescent="0.25">
      <c r="A12" s="49" t="s">
        <v>69</v>
      </c>
      <c r="B12" s="50">
        <v>200</v>
      </c>
      <c r="C12" s="49"/>
      <c r="D12" s="49"/>
      <c r="E12" s="52"/>
      <c r="F12" s="52"/>
      <c r="G12" s="49"/>
      <c r="H12" s="49"/>
      <c r="I12" s="49"/>
      <c r="J12" s="49"/>
    </row>
    <row r="13" spans="1:10" ht="18" x14ac:dyDescent="0.25">
      <c r="A13" s="49"/>
      <c r="B13" s="49"/>
      <c r="C13" s="49"/>
      <c r="D13" s="49"/>
      <c r="E13" s="52"/>
      <c r="F13" s="54"/>
      <c r="G13" s="49"/>
      <c r="H13" s="49"/>
      <c r="I13" s="49"/>
      <c r="J13" s="49"/>
    </row>
    <row r="14" spans="1:10" ht="18" x14ac:dyDescent="0.25">
      <c r="A14" s="49" t="s">
        <v>70</v>
      </c>
      <c r="B14" s="49" t="s">
        <v>71</v>
      </c>
      <c r="C14" s="49"/>
      <c r="D14" s="49"/>
      <c r="E14" s="52"/>
      <c r="F14" s="53"/>
      <c r="G14" s="49"/>
      <c r="H14" s="49"/>
      <c r="I14" s="49"/>
      <c r="J14" s="49"/>
    </row>
  </sheetData>
  <mergeCells count="1">
    <mergeCell ref="A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67F9-EBD6-43E8-A952-3F3F0FE9BEF7}">
  <sheetPr>
    <tabColor rgb="FF66FF33"/>
  </sheetPr>
  <dimension ref="A4:I10"/>
  <sheetViews>
    <sheetView workbookViewId="0">
      <selection activeCell="D9" sqref="D9"/>
    </sheetView>
  </sheetViews>
  <sheetFormatPr baseColWidth="10" defaultRowHeight="12.75" x14ac:dyDescent="0.2"/>
  <cols>
    <col min="1" max="1" width="17.5703125" customWidth="1"/>
    <col min="2" max="2" width="19" customWidth="1"/>
  </cols>
  <sheetData>
    <row r="4" spans="1:9" ht="15" x14ac:dyDescent="0.25">
      <c r="A4" s="48" t="s">
        <v>72</v>
      </c>
      <c r="B4" s="49"/>
      <c r="C4" s="49"/>
      <c r="D4" s="49"/>
      <c r="E4" s="49"/>
      <c r="F4" s="49"/>
      <c r="G4" s="49"/>
      <c r="H4" s="49"/>
      <c r="I4" s="49"/>
    </row>
    <row r="5" spans="1:9" ht="21" customHeight="1" x14ac:dyDescent="0.2">
      <c r="A5" s="49" t="s">
        <v>73</v>
      </c>
      <c r="B5" s="50"/>
      <c r="C5" s="49"/>
      <c r="D5" s="49"/>
      <c r="E5" s="49"/>
      <c r="F5" s="49"/>
      <c r="G5" s="49"/>
      <c r="H5" s="49"/>
      <c r="I5" s="49"/>
    </row>
    <row r="6" spans="1:9" ht="18" customHeight="1" x14ac:dyDescent="0.2">
      <c r="A6" s="49" t="s">
        <v>74</v>
      </c>
      <c r="B6" s="49"/>
      <c r="C6" s="49"/>
      <c r="D6" s="49"/>
      <c r="E6" s="49"/>
      <c r="F6" s="49"/>
      <c r="G6" s="49"/>
      <c r="H6" s="49"/>
      <c r="I6" s="49"/>
    </row>
    <row r="7" spans="1:9" x14ac:dyDescent="0.2">
      <c r="A7" s="49"/>
      <c r="B7" s="51"/>
      <c r="C7" s="49"/>
      <c r="D7" s="49"/>
      <c r="E7" s="49"/>
      <c r="F7" s="49"/>
      <c r="G7" s="49"/>
      <c r="H7" s="49"/>
      <c r="I7" s="49"/>
    </row>
    <row r="8" spans="1:9" x14ac:dyDescent="0.2">
      <c r="A8" s="49"/>
      <c r="B8" s="50" t="s">
        <v>75</v>
      </c>
      <c r="C8" s="49"/>
      <c r="D8" s="49"/>
      <c r="E8" s="49"/>
      <c r="F8" s="49"/>
      <c r="G8" s="49"/>
      <c r="H8" s="49"/>
      <c r="I8" s="49"/>
    </row>
    <row r="9" spans="1:9" ht="18" x14ac:dyDescent="0.25">
      <c r="A9" s="49" t="s">
        <v>70</v>
      </c>
      <c r="B9" s="50">
        <f>200/5%</f>
        <v>4000</v>
      </c>
      <c r="C9" s="49"/>
      <c r="D9" s="49"/>
      <c r="E9" s="52"/>
      <c r="F9" s="53"/>
      <c r="G9" s="49"/>
      <c r="H9" s="49"/>
      <c r="I9" s="49"/>
    </row>
    <row r="10" spans="1:9" ht="18" x14ac:dyDescent="0.25">
      <c r="A10" s="49"/>
      <c r="B10" s="50"/>
      <c r="C10" s="49"/>
      <c r="D10" s="49"/>
      <c r="E10" s="52"/>
      <c r="F10" s="52"/>
      <c r="G10" s="49"/>
      <c r="H10" s="49"/>
      <c r="I10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C0E0-A74F-4111-8447-DA2F196717B0}">
  <sheetPr>
    <tabColor rgb="FF66FF33"/>
  </sheetPr>
  <dimension ref="A4:I15"/>
  <sheetViews>
    <sheetView workbookViewId="0">
      <selection activeCell="F20" sqref="F20"/>
    </sheetView>
  </sheetViews>
  <sheetFormatPr baseColWidth="10" defaultRowHeight="12.75" x14ac:dyDescent="0.2"/>
  <cols>
    <col min="1" max="1" width="16" customWidth="1"/>
    <col min="2" max="2" width="15.42578125" customWidth="1"/>
    <col min="3" max="3" width="14.140625" customWidth="1"/>
  </cols>
  <sheetData>
    <row r="4" spans="1:9" ht="15" x14ac:dyDescent="0.25">
      <c r="A4" s="48" t="s">
        <v>76</v>
      </c>
      <c r="B4" s="48"/>
      <c r="C4" s="48"/>
      <c r="D4" s="48"/>
      <c r="E4" s="48"/>
      <c r="F4" s="48"/>
      <c r="G4" s="48"/>
      <c r="H4" s="48"/>
      <c r="I4" s="48"/>
    </row>
    <row r="5" spans="1:9" x14ac:dyDescent="0.2">
      <c r="A5" s="105" t="s">
        <v>77</v>
      </c>
      <c r="B5" s="105"/>
      <c r="C5" s="105"/>
      <c r="D5" s="105"/>
      <c r="E5" s="105"/>
      <c r="F5" s="105"/>
      <c r="G5" s="105"/>
      <c r="H5" s="105"/>
      <c r="I5" s="105"/>
    </row>
    <row r="6" spans="1:9" x14ac:dyDescent="0.2">
      <c r="A6" s="105"/>
      <c r="B6" s="105"/>
      <c r="C6" s="105"/>
      <c r="D6" s="105"/>
      <c r="E6" s="105"/>
      <c r="F6" s="105"/>
      <c r="G6" s="105"/>
      <c r="H6" s="105"/>
      <c r="I6" s="105"/>
    </row>
    <row r="7" spans="1:9" ht="17.25" customHeight="1" x14ac:dyDescent="0.2">
      <c r="A7" s="105"/>
      <c r="B7" s="105"/>
      <c r="C7" s="105"/>
      <c r="D7" s="105"/>
      <c r="E7" s="105"/>
      <c r="F7" s="105"/>
      <c r="G7" s="105"/>
      <c r="H7" s="105"/>
      <c r="I7" s="105"/>
    </row>
    <row r="8" spans="1:9" ht="27" customHeight="1" x14ac:dyDescent="0.2">
      <c r="A8" s="49" t="s">
        <v>78</v>
      </c>
      <c r="B8" s="49"/>
      <c r="C8" s="49"/>
      <c r="D8" s="49"/>
      <c r="E8" s="49"/>
      <c r="F8" s="49"/>
      <c r="G8" s="49"/>
      <c r="H8" s="49"/>
      <c r="I8" s="49"/>
    </row>
    <row r="9" spans="1:9" ht="18" x14ac:dyDescent="0.25">
      <c r="A9" s="49"/>
      <c r="B9" s="49"/>
      <c r="C9" s="49"/>
      <c r="D9" s="49"/>
      <c r="E9" s="52"/>
      <c r="F9" s="54"/>
      <c r="G9" s="49"/>
      <c r="H9" s="49"/>
      <c r="I9" s="49"/>
    </row>
    <row r="10" spans="1:9" ht="18" x14ac:dyDescent="0.25">
      <c r="A10" s="49" t="s">
        <v>70</v>
      </c>
      <c r="B10" s="49" t="s">
        <v>79</v>
      </c>
      <c r="C10" s="50">
        <v>100</v>
      </c>
      <c r="D10" s="49"/>
      <c r="E10" s="52"/>
      <c r="F10" s="53"/>
      <c r="G10" s="49"/>
      <c r="H10" s="49"/>
      <c r="I10" s="49"/>
    </row>
    <row r="11" spans="1:9" x14ac:dyDescent="0.2">
      <c r="A11" s="49"/>
      <c r="B11" s="49" t="s">
        <v>80</v>
      </c>
      <c r="C11" s="56">
        <v>0.05</v>
      </c>
      <c r="D11" s="49"/>
      <c r="E11" s="49"/>
      <c r="F11" s="49"/>
      <c r="G11" s="49"/>
      <c r="H11" s="49"/>
      <c r="I11" s="49"/>
    </row>
    <row r="12" spans="1:9" x14ac:dyDescent="0.2">
      <c r="A12" s="49"/>
      <c r="B12" s="57" t="s">
        <v>81</v>
      </c>
      <c r="C12" s="58">
        <f>+C10*C11</f>
        <v>5</v>
      </c>
      <c r="D12" s="49"/>
      <c r="E12" s="49"/>
      <c r="F12" s="49"/>
      <c r="G12" s="49"/>
      <c r="H12" s="49"/>
      <c r="I12" s="49"/>
    </row>
    <row r="13" spans="1:9" x14ac:dyDescent="0.2">
      <c r="A13" s="49"/>
      <c r="B13" s="49"/>
      <c r="C13" s="49"/>
      <c r="D13" s="49"/>
      <c r="E13" s="49"/>
      <c r="F13" s="49"/>
      <c r="G13" s="49"/>
      <c r="H13" s="49"/>
      <c r="I13" s="49"/>
    </row>
    <row r="14" spans="1:9" x14ac:dyDescent="0.2">
      <c r="A14" s="49"/>
      <c r="B14" s="49"/>
      <c r="C14" s="49"/>
      <c r="D14" s="49"/>
      <c r="E14" s="49"/>
      <c r="F14" s="49"/>
      <c r="G14" s="49"/>
      <c r="H14" s="49"/>
      <c r="I14" s="49"/>
    </row>
    <row r="15" spans="1:9" x14ac:dyDescent="0.2">
      <c r="A15" s="49"/>
      <c r="B15" s="49" t="s">
        <v>82</v>
      </c>
      <c r="C15" s="50">
        <f>+C12/C11</f>
        <v>100</v>
      </c>
      <c r="D15" s="49"/>
      <c r="E15" s="49"/>
      <c r="F15" s="49"/>
      <c r="G15" s="49"/>
      <c r="H15" s="49"/>
      <c r="I15" s="49"/>
    </row>
  </sheetData>
  <mergeCells count="1">
    <mergeCell ref="A5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33"/>
    <outlinePr summaryBelow="0" summaryRight="0"/>
  </sheetPr>
  <dimension ref="A20:R71"/>
  <sheetViews>
    <sheetView topLeftCell="A46" workbookViewId="0">
      <selection activeCell="H21" sqref="H21"/>
    </sheetView>
  </sheetViews>
  <sheetFormatPr baseColWidth="10" defaultColWidth="12.5703125" defaultRowHeight="15.75" customHeight="1" x14ac:dyDescent="0.2"/>
  <cols>
    <col min="2" max="2" width="16.7109375" customWidth="1"/>
    <col min="6" max="6" width="17.28515625" customWidth="1"/>
    <col min="9" max="9" width="14.42578125" customWidth="1"/>
    <col min="10" max="10" width="16.5703125" customWidth="1"/>
  </cols>
  <sheetData>
    <row r="20" spans="1:18" ht="12.75" x14ac:dyDescent="0.2">
      <c r="A20" s="97" t="s">
        <v>0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</row>
    <row r="22" spans="1:18" ht="12.75" x14ac:dyDescent="0.2">
      <c r="B22" s="16" t="s">
        <v>31</v>
      </c>
      <c r="D22" s="1" t="s">
        <v>32</v>
      </c>
      <c r="E22" s="17">
        <v>200000</v>
      </c>
      <c r="F22" s="3"/>
      <c r="I22" s="16" t="s">
        <v>33</v>
      </c>
      <c r="J22" s="16"/>
    </row>
    <row r="23" spans="1:18" ht="12.75" x14ac:dyDescent="0.2">
      <c r="D23" s="1" t="s">
        <v>34</v>
      </c>
      <c r="E23" s="2">
        <v>0.12</v>
      </c>
      <c r="F23" s="3"/>
    </row>
    <row r="24" spans="1:18" ht="12.75" x14ac:dyDescent="0.2">
      <c r="D24" s="1" t="s">
        <v>35</v>
      </c>
      <c r="E24" s="1">
        <v>20</v>
      </c>
      <c r="F24" s="1" t="s">
        <v>36</v>
      </c>
    </row>
    <row r="26" spans="1:18" ht="12.75" x14ac:dyDescent="0.2">
      <c r="D26" s="1" t="s">
        <v>37</v>
      </c>
      <c r="E26" s="18">
        <f>(E22)/((((1+E23)^E24)-1)/(((1+E23)^E24)*E23))</f>
        <v>26775.75600793213</v>
      </c>
      <c r="G26" s="19"/>
      <c r="I26" s="20" t="s">
        <v>38</v>
      </c>
      <c r="J26" s="20" t="s">
        <v>39</v>
      </c>
      <c r="K26" s="20" t="s">
        <v>2</v>
      </c>
      <c r="L26" s="20" t="s">
        <v>40</v>
      </c>
      <c r="M26" s="20" t="s">
        <v>41</v>
      </c>
      <c r="N26" s="20" t="s">
        <v>42</v>
      </c>
    </row>
    <row r="27" spans="1:18" ht="12.75" x14ac:dyDescent="0.2">
      <c r="I27" s="20">
        <v>1</v>
      </c>
      <c r="J27" s="21">
        <v>200000</v>
      </c>
      <c r="K27" s="22">
        <f t="shared" ref="K27:K46" si="0">J27*$E$23</f>
        <v>24000</v>
      </c>
      <c r="L27" s="22">
        <f t="shared" ref="L27:L46" si="1">$E$22/$E$24</f>
        <v>10000</v>
      </c>
      <c r="M27" s="22">
        <f t="shared" ref="M27:M46" si="2">K27+L27</f>
        <v>34000</v>
      </c>
      <c r="N27" s="22">
        <f t="shared" ref="N27:N46" si="3">J27-L27</f>
        <v>190000</v>
      </c>
    </row>
    <row r="28" spans="1:18" ht="12.75" x14ac:dyDescent="0.2">
      <c r="D28" s="1" t="s">
        <v>8</v>
      </c>
      <c r="E28" s="23">
        <f>E26*E24</f>
        <v>535515.12015864265</v>
      </c>
      <c r="I28" s="20">
        <f t="shared" ref="I28:I46" si="4">I27+1</f>
        <v>2</v>
      </c>
      <c r="J28" s="22">
        <f t="shared" ref="J28:J46" si="5">N27</f>
        <v>190000</v>
      </c>
      <c r="K28" s="22">
        <f t="shared" si="0"/>
        <v>22800</v>
      </c>
      <c r="L28" s="22">
        <f t="shared" si="1"/>
        <v>10000</v>
      </c>
      <c r="M28" s="22">
        <f t="shared" si="2"/>
        <v>32800</v>
      </c>
      <c r="N28" s="22">
        <f t="shared" si="3"/>
        <v>180000</v>
      </c>
    </row>
    <row r="29" spans="1:18" ht="12.75" x14ac:dyDescent="0.2">
      <c r="I29" s="20">
        <f t="shared" si="4"/>
        <v>3</v>
      </c>
      <c r="J29" s="22">
        <f t="shared" si="5"/>
        <v>180000</v>
      </c>
      <c r="K29" s="22">
        <f t="shared" si="0"/>
        <v>21600</v>
      </c>
      <c r="L29" s="22">
        <f t="shared" si="1"/>
        <v>10000</v>
      </c>
      <c r="M29" s="22">
        <f t="shared" si="2"/>
        <v>31600</v>
      </c>
      <c r="N29" s="22">
        <f t="shared" si="3"/>
        <v>170000</v>
      </c>
    </row>
    <row r="30" spans="1:18" ht="12.75" x14ac:dyDescent="0.2">
      <c r="B30" s="24" t="s">
        <v>38</v>
      </c>
      <c r="C30" s="25" t="s">
        <v>39</v>
      </c>
      <c r="D30" s="25" t="s">
        <v>2</v>
      </c>
      <c r="E30" s="25" t="s">
        <v>40</v>
      </c>
      <c r="F30" s="25" t="s">
        <v>41</v>
      </c>
      <c r="G30" s="25" t="s">
        <v>42</v>
      </c>
      <c r="I30" s="20">
        <f t="shared" si="4"/>
        <v>4</v>
      </c>
      <c r="J30" s="22">
        <f t="shared" si="5"/>
        <v>170000</v>
      </c>
      <c r="K30" s="22">
        <f t="shared" si="0"/>
        <v>20400</v>
      </c>
      <c r="L30" s="22">
        <f t="shared" si="1"/>
        <v>10000</v>
      </c>
      <c r="M30" s="22">
        <f t="shared" si="2"/>
        <v>30400</v>
      </c>
      <c r="N30" s="22">
        <f t="shared" si="3"/>
        <v>160000</v>
      </c>
    </row>
    <row r="31" spans="1:18" ht="12.75" x14ac:dyDescent="0.2">
      <c r="B31" s="26">
        <v>1</v>
      </c>
      <c r="C31" s="27">
        <v>200000</v>
      </c>
      <c r="D31" s="27">
        <f t="shared" ref="D31:D50" si="6">C31*$E$23</f>
        <v>24000</v>
      </c>
      <c r="E31" s="27">
        <f t="shared" ref="E31:E50" si="7">F31-D31</f>
        <v>2775.7599999999984</v>
      </c>
      <c r="F31" s="28">
        <v>26775.759999999998</v>
      </c>
      <c r="G31" s="27">
        <f t="shared" ref="G31:G50" si="8">C31-E31</f>
        <v>197224.24</v>
      </c>
      <c r="I31" s="20">
        <f t="shared" si="4"/>
        <v>5</v>
      </c>
      <c r="J31" s="22">
        <f t="shared" si="5"/>
        <v>160000</v>
      </c>
      <c r="K31" s="22">
        <f t="shared" si="0"/>
        <v>19200</v>
      </c>
      <c r="L31" s="22">
        <f t="shared" si="1"/>
        <v>10000</v>
      </c>
      <c r="M31" s="22">
        <f t="shared" si="2"/>
        <v>29200</v>
      </c>
      <c r="N31" s="22">
        <f t="shared" si="3"/>
        <v>150000</v>
      </c>
    </row>
    <row r="32" spans="1:18" ht="12.75" x14ac:dyDescent="0.2">
      <c r="B32" s="26">
        <f t="shared" ref="B32:B50" si="9">B31+1</f>
        <v>2</v>
      </c>
      <c r="C32" s="27">
        <f t="shared" ref="C32:C50" si="10">G31</f>
        <v>197224.24</v>
      </c>
      <c r="D32" s="27">
        <f t="shared" si="6"/>
        <v>23666.908799999997</v>
      </c>
      <c r="E32" s="27">
        <f t="shared" si="7"/>
        <v>3108.851200000001</v>
      </c>
      <c r="F32" s="28">
        <v>26775.759999999998</v>
      </c>
      <c r="G32" s="27">
        <f t="shared" si="8"/>
        <v>194115.38879999999</v>
      </c>
      <c r="I32" s="20">
        <f t="shared" si="4"/>
        <v>6</v>
      </c>
      <c r="J32" s="22">
        <f t="shared" si="5"/>
        <v>150000</v>
      </c>
      <c r="K32" s="22">
        <f t="shared" si="0"/>
        <v>18000</v>
      </c>
      <c r="L32" s="22">
        <f t="shared" si="1"/>
        <v>10000</v>
      </c>
      <c r="M32" s="22">
        <f t="shared" si="2"/>
        <v>28000</v>
      </c>
      <c r="N32" s="22">
        <f t="shared" si="3"/>
        <v>140000</v>
      </c>
    </row>
    <row r="33" spans="2:14" ht="12.75" x14ac:dyDescent="0.2">
      <c r="B33" s="26">
        <f t="shared" si="9"/>
        <v>3</v>
      </c>
      <c r="C33" s="27">
        <f t="shared" si="10"/>
        <v>194115.38879999999</v>
      </c>
      <c r="D33" s="27">
        <f t="shared" si="6"/>
        <v>23293.846655999998</v>
      </c>
      <c r="E33" s="27">
        <f t="shared" si="7"/>
        <v>3481.9133440000005</v>
      </c>
      <c r="F33" s="28">
        <v>26775.759999999998</v>
      </c>
      <c r="G33" s="27">
        <f t="shared" si="8"/>
        <v>190633.47545599999</v>
      </c>
      <c r="I33" s="20">
        <f t="shared" si="4"/>
        <v>7</v>
      </c>
      <c r="J33" s="22">
        <f t="shared" si="5"/>
        <v>140000</v>
      </c>
      <c r="K33" s="22">
        <f t="shared" si="0"/>
        <v>16800</v>
      </c>
      <c r="L33" s="22">
        <f t="shared" si="1"/>
        <v>10000</v>
      </c>
      <c r="M33" s="22">
        <f t="shared" si="2"/>
        <v>26800</v>
      </c>
      <c r="N33" s="22">
        <f t="shared" si="3"/>
        <v>130000</v>
      </c>
    </row>
    <row r="34" spans="2:14" ht="12.75" x14ac:dyDescent="0.2">
      <c r="B34" s="26">
        <f t="shared" si="9"/>
        <v>4</v>
      </c>
      <c r="C34" s="27">
        <f t="shared" si="10"/>
        <v>190633.47545599999</v>
      </c>
      <c r="D34" s="27">
        <f t="shared" si="6"/>
        <v>22876.017054719996</v>
      </c>
      <c r="E34" s="27">
        <f t="shared" si="7"/>
        <v>3899.7429452800025</v>
      </c>
      <c r="F34" s="28">
        <v>26775.759999999998</v>
      </c>
      <c r="G34" s="27">
        <f t="shared" si="8"/>
        <v>186733.73251071997</v>
      </c>
      <c r="I34" s="20">
        <f t="shared" si="4"/>
        <v>8</v>
      </c>
      <c r="J34" s="22">
        <f t="shared" si="5"/>
        <v>130000</v>
      </c>
      <c r="K34" s="22">
        <f t="shared" si="0"/>
        <v>15600</v>
      </c>
      <c r="L34" s="22">
        <f t="shared" si="1"/>
        <v>10000</v>
      </c>
      <c r="M34" s="22">
        <f t="shared" si="2"/>
        <v>25600</v>
      </c>
      <c r="N34" s="22">
        <f t="shared" si="3"/>
        <v>120000</v>
      </c>
    </row>
    <row r="35" spans="2:14" ht="12.75" x14ac:dyDescent="0.2">
      <c r="B35" s="26">
        <f t="shared" si="9"/>
        <v>5</v>
      </c>
      <c r="C35" s="27">
        <f t="shared" si="10"/>
        <v>186733.73251071997</v>
      </c>
      <c r="D35" s="27">
        <f t="shared" si="6"/>
        <v>22408.047901286394</v>
      </c>
      <c r="E35" s="27">
        <f t="shared" si="7"/>
        <v>4367.7120987136041</v>
      </c>
      <c r="F35" s="28">
        <v>26775.759999999998</v>
      </c>
      <c r="G35" s="27">
        <f t="shared" si="8"/>
        <v>182366.02041200636</v>
      </c>
      <c r="I35" s="20">
        <f t="shared" si="4"/>
        <v>9</v>
      </c>
      <c r="J35" s="22">
        <f t="shared" si="5"/>
        <v>120000</v>
      </c>
      <c r="K35" s="22">
        <f t="shared" si="0"/>
        <v>14400</v>
      </c>
      <c r="L35" s="22">
        <f t="shared" si="1"/>
        <v>10000</v>
      </c>
      <c r="M35" s="22">
        <f t="shared" si="2"/>
        <v>24400</v>
      </c>
      <c r="N35" s="22">
        <f t="shared" si="3"/>
        <v>110000</v>
      </c>
    </row>
    <row r="36" spans="2:14" ht="12.75" x14ac:dyDescent="0.2">
      <c r="B36" s="26">
        <f t="shared" si="9"/>
        <v>6</v>
      </c>
      <c r="C36" s="27">
        <f t="shared" si="10"/>
        <v>182366.02041200636</v>
      </c>
      <c r="D36" s="27">
        <f t="shared" si="6"/>
        <v>21883.922449440761</v>
      </c>
      <c r="E36" s="27">
        <f t="shared" si="7"/>
        <v>4891.8375505592376</v>
      </c>
      <c r="F36" s="28">
        <v>26775.759999999998</v>
      </c>
      <c r="G36" s="27">
        <f t="shared" si="8"/>
        <v>177474.18286144713</v>
      </c>
      <c r="I36" s="20">
        <f t="shared" si="4"/>
        <v>10</v>
      </c>
      <c r="J36" s="22">
        <f t="shared" si="5"/>
        <v>110000</v>
      </c>
      <c r="K36" s="22">
        <f t="shared" si="0"/>
        <v>13200</v>
      </c>
      <c r="L36" s="22">
        <f t="shared" si="1"/>
        <v>10000</v>
      </c>
      <c r="M36" s="22">
        <f t="shared" si="2"/>
        <v>23200</v>
      </c>
      <c r="N36" s="22">
        <f t="shared" si="3"/>
        <v>100000</v>
      </c>
    </row>
    <row r="37" spans="2:14" ht="12.75" x14ac:dyDescent="0.2">
      <c r="B37" s="26">
        <f t="shared" si="9"/>
        <v>7</v>
      </c>
      <c r="C37" s="27">
        <f t="shared" si="10"/>
        <v>177474.18286144713</v>
      </c>
      <c r="D37" s="27">
        <f t="shared" si="6"/>
        <v>21296.901943373654</v>
      </c>
      <c r="E37" s="27">
        <f t="shared" si="7"/>
        <v>5478.8580566263445</v>
      </c>
      <c r="F37" s="28">
        <v>26775.759999999998</v>
      </c>
      <c r="G37" s="27">
        <f t="shared" si="8"/>
        <v>171995.32480482079</v>
      </c>
      <c r="I37" s="20">
        <f t="shared" si="4"/>
        <v>11</v>
      </c>
      <c r="J37" s="22">
        <f t="shared" si="5"/>
        <v>100000</v>
      </c>
      <c r="K37" s="22">
        <f t="shared" si="0"/>
        <v>12000</v>
      </c>
      <c r="L37" s="22">
        <f t="shared" si="1"/>
        <v>10000</v>
      </c>
      <c r="M37" s="22">
        <f t="shared" si="2"/>
        <v>22000</v>
      </c>
      <c r="N37" s="22">
        <f t="shared" si="3"/>
        <v>90000</v>
      </c>
    </row>
    <row r="38" spans="2:14" ht="12.75" x14ac:dyDescent="0.2">
      <c r="B38" s="26">
        <f t="shared" si="9"/>
        <v>8</v>
      </c>
      <c r="C38" s="27">
        <f t="shared" si="10"/>
        <v>171995.32480482079</v>
      </c>
      <c r="D38" s="27">
        <f t="shared" si="6"/>
        <v>20639.438976578494</v>
      </c>
      <c r="E38" s="27">
        <f t="shared" si="7"/>
        <v>6136.3210234215039</v>
      </c>
      <c r="F38" s="28">
        <v>26775.759999999998</v>
      </c>
      <c r="G38" s="27">
        <f t="shared" si="8"/>
        <v>165859.00378139928</v>
      </c>
      <c r="I38" s="20">
        <f t="shared" si="4"/>
        <v>12</v>
      </c>
      <c r="J38" s="22">
        <f t="shared" si="5"/>
        <v>90000</v>
      </c>
      <c r="K38" s="22">
        <f t="shared" si="0"/>
        <v>10800</v>
      </c>
      <c r="L38" s="22">
        <f t="shared" si="1"/>
        <v>10000</v>
      </c>
      <c r="M38" s="22">
        <f t="shared" si="2"/>
        <v>20800</v>
      </c>
      <c r="N38" s="22">
        <f t="shared" si="3"/>
        <v>80000</v>
      </c>
    </row>
    <row r="39" spans="2:14" ht="12.75" x14ac:dyDescent="0.2">
      <c r="B39" s="26">
        <f t="shared" si="9"/>
        <v>9</v>
      </c>
      <c r="C39" s="27">
        <f t="shared" si="10"/>
        <v>165859.00378139928</v>
      </c>
      <c r="D39" s="27">
        <f t="shared" si="6"/>
        <v>19903.080453767914</v>
      </c>
      <c r="E39" s="27">
        <f t="shared" si="7"/>
        <v>6872.6795462320842</v>
      </c>
      <c r="F39" s="28">
        <v>26775.759999999998</v>
      </c>
      <c r="G39" s="27">
        <f t="shared" si="8"/>
        <v>158986.32423516721</v>
      </c>
      <c r="I39" s="20">
        <f t="shared" si="4"/>
        <v>13</v>
      </c>
      <c r="J39" s="22">
        <f t="shared" si="5"/>
        <v>80000</v>
      </c>
      <c r="K39" s="22">
        <f t="shared" si="0"/>
        <v>9600</v>
      </c>
      <c r="L39" s="22">
        <f t="shared" si="1"/>
        <v>10000</v>
      </c>
      <c r="M39" s="22">
        <f t="shared" si="2"/>
        <v>19600</v>
      </c>
      <c r="N39" s="22">
        <f t="shared" si="3"/>
        <v>70000</v>
      </c>
    </row>
    <row r="40" spans="2:14" ht="12.75" x14ac:dyDescent="0.2">
      <c r="B40" s="26">
        <f t="shared" si="9"/>
        <v>10</v>
      </c>
      <c r="C40" s="27">
        <f t="shared" si="10"/>
        <v>158986.32423516721</v>
      </c>
      <c r="D40" s="27">
        <f t="shared" si="6"/>
        <v>19078.358908220063</v>
      </c>
      <c r="E40" s="27">
        <f t="shared" si="7"/>
        <v>7697.4010917799351</v>
      </c>
      <c r="F40" s="28">
        <v>26775.759999999998</v>
      </c>
      <c r="G40" s="27">
        <f t="shared" si="8"/>
        <v>151288.92314338728</v>
      </c>
      <c r="I40" s="20">
        <f t="shared" si="4"/>
        <v>14</v>
      </c>
      <c r="J40" s="22">
        <f t="shared" si="5"/>
        <v>70000</v>
      </c>
      <c r="K40" s="22">
        <f t="shared" si="0"/>
        <v>8400</v>
      </c>
      <c r="L40" s="22">
        <f t="shared" si="1"/>
        <v>10000</v>
      </c>
      <c r="M40" s="22">
        <f t="shared" si="2"/>
        <v>18400</v>
      </c>
      <c r="N40" s="22">
        <f t="shared" si="3"/>
        <v>60000</v>
      </c>
    </row>
    <row r="41" spans="2:14" ht="12.75" x14ac:dyDescent="0.2">
      <c r="B41" s="26">
        <f t="shared" si="9"/>
        <v>11</v>
      </c>
      <c r="C41" s="27">
        <f t="shared" si="10"/>
        <v>151288.92314338728</v>
      </c>
      <c r="D41" s="27">
        <f t="shared" si="6"/>
        <v>18154.670777206473</v>
      </c>
      <c r="E41" s="27">
        <f t="shared" si="7"/>
        <v>8621.0892227935256</v>
      </c>
      <c r="F41" s="28">
        <v>26775.759999999998</v>
      </c>
      <c r="G41" s="27">
        <f t="shared" si="8"/>
        <v>142667.83392059375</v>
      </c>
      <c r="I41" s="20">
        <f t="shared" si="4"/>
        <v>15</v>
      </c>
      <c r="J41" s="22">
        <f t="shared" si="5"/>
        <v>60000</v>
      </c>
      <c r="K41" s="22">
        <f t="shared" si="0"/>
        <v>7200</v>
      </c>
      <c r="L41" s="22">
        <f t="shared" si="1"/>
        <v>10000</v>
      </c>
      <c r="M41" s="22">
        <f t="shared" si="2"/>
        <v>17200</v>
      </c>
      <c r="N41" s="22">
        <f t="shared" si="3"/>
        <v>50000</v>
      </c>
    </row>
    <row r="42" spans="2:14" ht="12.75" x14ac:dyDescent="0.2">
      <c r="B42" s="26">
        <f t="shared" si="9"/>
        <v>12</v>
      </c>
      <c r="C42" s="27">
        <f t="shared" si="10"/>
        <v>142667.83392059375</v>
      </c>
      <c r="D42" s="27">
        <f t="shared" si="6"/>
        <v>17120.140070471251</v>
      </c>
      <c r="E42" s="27">
        <f t="shared" si="7"/>
        <v>9655.6199295287479</v>
      </c>
      <c r="F42" s="28">
        <v>26775.759999999998</v>
      </c>
      <c r="G42" s="27">
        <f t="shared" si="8"/>
        <v>133012.21399106501</v>
      </c>
      <c r="I42" s="20">
        <f t="shared" si="4"/>
        <v>16</v>
      </c>
      <c r="J42" s="22">
        <f t="shared" si="5"/>
        <v>50000</v>
      </c>
      <c r="K42" s="22">
        <f t="shared" si="0"/>
        <v>6000</v>
      </c>
      <c r="L42" s="22">
        <f t="shared" si="1"/>
        <v>10000</v>
      </c>
      <c r="M42" s="22">
        <f t="shared" si="2"/>
        <v>16000</v>
      </c>
      <c r="N42" s="22">
        <f t="shared" si="3"/>
        <v>40000</v>
      </c>
    </row>
    <row r="43" spans="2:14" ht="12.75" x14ac:dyDescent="0.2">
      <c r="B43" s="26">
        <f t="shared" si="9"/>
        <v>13</v>
      </c>
      <c r="C43" s="27">
        <f t="shared" si="10"/>
        <v>133012.21399106501</v>
      </c>
      <c r="D43" s="27">
        <f t="shared" si="6"/>
        <v>15961.465678927801</v>
      </c>
      <c r="E43" s="27">
        <f t="shared" si="7"/>
        <v>10814.294321072197</v>
      </c>
      <c r="F43" s="28">
        <v>26775.759999999998</v>
      </c>
      <c r="G43" s="27">
        <f t="shared" si="8"/>
        <v>122197.91966999281</v>
      </c>
      <c r="I43" s="20">
        <f t="shared" si="4"/>
        <v>17</v>
      </c>
      <c r="J43" s="22">
        <f t="shared" si="5"/>
        <v>40000</v>
      </c>
      <c r="K43" s="22">
        <f t="shared" si="0"/>
        <v>4800</v>
      </c>
      <c r="L43" s="22">
        <f t="shared" si="1"/>
        <v>10000</v>
      </c>
      <c r="M43" s="22">
        <f t="shared" si="2"/>
        <v>14800</v>
      </c>
      <c r="N43" s="22">
        <f t="shared" si="3"/>
        <v>30000</v>
      </c>
    </row>
    <row r="44" spans="2:14" ht="12.75" x14ac:dyDescent="0.2">
      <c r="B44" s="26">
        <f t="shared" si="9"/>
        <v>14</v>
      </c>
      <c r="C44" s="27">
        <f t="shared" si="10"/>
        <v>122197.91966999281</v>
      </c>
      <c r="D44" s="27">
        <f t="shared" si="6"/>
        <v>14663.750360399137</v>
      </c>
      <c r="E44" s="27">
        <f t="shared" si="7"/>
        <v>12112.009639600861</v>
      </c>
      <c r="F44" s="28">
        <v>26775.759999999998</v>
      </c>
      <c r="G44" s="27">
        <f t="shared" si="8"/>
        <v>110085.91003039195</v>
      </c>
      <c r="I44" s="20">
        <f t="shared" si="4"/>
        <v>18</v>
      </c>
      <c r="J44" s="22">
        <f t="shared" si="5"/>
        <v>30000</v>
      </c>
      <c r="K44" s="22">
        <f t="shared" si="0"/>
        <v>3600</v>
      </c>
      <c r="L44" s="22">
        <f t="shared" si="1"/>
        <v>10000</v>
      </c>
      <c r="M44" s="22">
        <f t="shared" si="2"/>
        <v>13600</v>
      </c>
      <c r="N44" s="22">
        <f t="shared" si="3"/>
        <v>20000</v>
      </c>
    </row>
    <row r="45" spans="2:14" ht="12.75" x14ac:dyDescent="0.2">
      <c r="B45" s="26">
        <f t="shared" si="9"/>
        <v>15</v>
      </c>
      <c r="C45" s="27">
        <f t="shared" si="10"/>
        <v>110085.91003039195</v>
      </c>
      <c r="D45" s="27">
        <f t="shared" si="6"/>
        <v>13210.309203647033</v>
      </c>
      <c r="E45" s="27">
        <f t="shared" si="7"/>
        <v>13565.450796352965</v>
      </c>
      <c r="F45" s="28">
        <v>26775.759999999998</v>
      </c>
      <c r="G45" s="27">
        <f t="shared" si="8"/>
        <v>96520.459234038994</v>
      </c>
      <c r="I45" s="20">
        <f t="shared" si="4"/>
        <v>19</v>
      </c>
      <c r="J45" s="22">
        <f t="shared" si="5"/>
        <v>20000</v>
      </c>
      <c r="K45" s="22">
        <f t="shared" si="0"/>
        <v>2400</v>
      </c>
      <c r="L45" s="22">
        <f t="shared" si="1"/>
        <v>10000</v>
      </c>
      <c r="M45" s="22">
        <f t="shared" si="2"/>
        <v>12400</v>
      </c>
      <c r="N45" s="22">
        <f t="shared" si="3"/>
        <v>10000</v>
      </c>
    </row>
    <row r="46" spans="2:14" ht="12.75" x14ac:dyDescent="0.2">
      <c r="B46" s="26">
        <f t="shared" si="9"/>
        <v>16</v>
      </c>
      <c r="C46" s="27">
        <f t="shared" si="10"/>
        <v>96520.459234038994</v>
      </c>
      <c r="D46" s="27">
        <f t="shared" si="6"/>
        <v>11582.45510808468</v>
      </c>
      <c r="E46" s="27">
        <f t="shared" si="7"/>
        <v>15193.304891915319</v>
      </c>
      <c r="F46" s="28">
        <v>26775.759999999998</v>
      </c>
      <c r="G46" s="27">
        <f t="shared" si="8"/>
        <v>81327.154342123671</v>
      </c>
      <c r="I46" s="29">
        <f t="shared" si="4"/>
        <v>20</v>
      </c>
      <c r="J46" s="30">
        <f t="shared" si="5"/>
        <v>10000</v>
      </c>
      <c r="K46" s="30">
        <f t="shared" si="0"/>
        <v>1200</v>
      </c>
      <c r="L46" s="30">
        <f t="shared" si="1"/>
        <v>10000</v>
      </c>
      <c r="M46" s="30">
        <f t="shared" si="2"/>
        <v>11200</v>
      </c>
      <c r="N46" s="30">
        <f t="shared" si="3"/>
        <v>0</v>
      </c>
    </row>
    <row r="47" spans="2:14" ht="12.75" x14ac:dyDescent="0.2">
      <c r="B47" s="26">
        <f t="shared" si="9"/>
        <v>17</v>
      </c>
      <c r="C47" s="27">
        <f t="shared" si="10"/>
        <v>81327.154342123671</v>
      </c>
      <c r="D47" s="27">
        <f t="shared" si="6"/>
        <v>9759.2585210548405</v>
      </c>
      <c r="E47" s="27">
        <f t="shared" si="7"/>
        <v>17016.50147894516</v>
      </c>
      <c r="F47" s="28">
        <v>26775.759999999998</v>
      </c>
      <c r="G47" s="27">
        <f t="shared" si="8"/>
        <v>64310.652863178511</v>
      </c>
      <c r="I47" s="31" t="s">
        <v>8</v>
      </c>
      <c r="J47" s="32"/>
      <c r="K47" s="32">
        <f t="shared" ref="K47:L47" si="11">SUM(K26:K46)</f>
        <v>252000</v>
      </c>
      <c r="L47" s="32">
        <f t="shared" si="11"/>
        <v>200000</v>
      </c>
      <c r="M47" s="33">
        <f>SUM(M27:M46)</f>
        <v>452000</v>
      </c>
      <c r="N47" s="32"/>
    </row>
    <row r="48" spans="2:14" ht="12.75" x14ac:dyDescent="0.2">
      <c r="B48" s="26">
        <f t="shared" si="9"/>
        <v>18</v>
      </c>
      <c r="C48" s="27">
        <f t="shared" si="10"/>
        <v>64310.652863178511</v>
      </c>
      <c r="D48" s="27">
        <f t="shared" si="6"/>
        <v>7717.2783435814208</v>
      </c>
      <c r="E48" s="27">
        <f t="shared" si="7"/>
        <v>19058.481656418578</v>
      </c>
      <c r="F48" s="28">
        <v>26775.759999999998</v>
      </c>
      <c r="G48" s="27">
        <f t="shared" si="8"/>
        <v>45252.171206759929</v>
      </c>
    </row>
    <row r="49" spans="1:18" ht="12.75" x14ac:dyDescent="0.2">
      <c r="B49" s="26">
        <f t="shared" si="9"/>
        <v>19</v>
      </c>
      <c r="C49" s="27">
        <f t="shared" si="10"/>
        <v>45252.171206759929</v>
      </c>
      <c r="D49" s="27">
        <f t="shared" si="6"/>
        <v>5430.2605448111917</v>
      </c>
      <c r="E49" s="27">
        <f t="shared" si="7"/>
        <v>21345.499455188808</v>
      </c>
      <c r="F49" s="28">
        <v>26775.759999999998</v>
      </c>
      <c r="G49" s="27">
        <f t="shared" si="8"/>
        <v>23906.671751571121</v>
      </c>
    </row>
    <row r="50" spans="1:18" ht="12.75" x14ac:dyDescent="0.2">
      <c r="B50" s="34">
        <f t="shared" si="9"/>
        <v>20</v>
      </c>
      <c r="C50" s="35">
        <f t="shared" si="10"/>
        <v>23906.671751571121</v>
      </c>
      <c r="D50" s="35">
        <f t="shared" si="6"/>
        <v>2868.8006101885344</v>
      </c>
      <c r="E50" s="36">
        <f t="shared" si="7"/>
        <v>23906.959389811465</v>
      </c>
      <c r="F50" s="37">
        <v>26775.759999999998</v>
      </c>
      <c r="G50" s="35">
        <f t="shared" si="8"/>
        <v>-0.28763824034467689</v>
      </c>
    </row>
    <row r="51" spans="1:18" ht="12.75" x14ac:dyDescent="0.2">
      <c r="B51" s="38" t="s">
        <v>8</v>
      </c>
      <c r="C51" s="39"/>
      <c r="D51" s="40">
        <f t="shared" ref="D51:E51" si="12">SUM(D30:D50)</f>
        <v>335514.91236175958</v>
      </c>
      <c r="E51" s="41">
        <f t="shared" si="12"/>
        <v>200000.28763824035</v>
      </c>
      <c r="F51" s="41">
        <f>SUM(F31:F50)</f>
        <v>535515.20000000007</v>
      </c>
      <c r="G51" s="39"/>
    </row>
    <row r="53" spans="1:18" ht="12.75" x14ac:dyDescent="0.2">
      <c r="A53" s="97" t="s">
        <v>43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</row>
    <row r="56" spans="1:18" ht="12.75" x14ac:dyDescent="0.2">
      <c r="B56" s="16" t="s">
        <v>31</v>
      </c>
      <c r="F56" s="16" t="s">
        <v>33</v>
      </c>
    </row>
    <row r="58" spans="1:18" ht="12.75" x14ac:dyDescent="0.2">
      <c r="B58" s="1" t="s">
        <v>44</v>
      </c>
      <c r="C58" s="23">
        <f>E28</f>
        <v>535515.12015864265</v>
      </c>
      <c r="F58" s="1" t="s">
        <v>44</v>
      </c>
      <c r="G58" s="23">
        <f>M47</f>
        <v>452000</v>
      </c>
    </row>
    <row r="59" spans="1:18" ht="12.75" x14ac:dyDescent="0.2">
      <c r="B59" s="1" t="s">
        <v>45</v>
      </c>
      <c r="C59" s="23">
        <f>C58-E22</f>
        <v>335515.12015864265</v>
      </c>
      <c r="F59" s="1" t="s">
        <v>45</v>
      </c>
      <c r="G59" s="23">
        <f>M47-L47</f>
        <v>252000</v>
      </c>
    </row>
    <row r="63" spans="1:18" ht="12.75" x14ac:dyDescent="0.2">
      <c r="A63" s="97" t="s">
        <v>46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6" spans="2:13" ht="12.75" x14ac:dyDescent="0.2">
      <c r="B66" s="106" t="s">
        <v>47</v>
      </c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8"/>
    </row>
    <row r="67" spans="2:13" ht="12.75" x14ac:dyDescent="0.2">
      <c r="B67" s="109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10"/>
    </row>
    <row r="68" spans="2:13" ht="12.75" x14ac:dyDescent="0.2">
      <c r="B68" s="111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3"/>
    </row>
    <row r="71" spans="2:13" ht="15.75" customHeight="1" x14ac:dyDescent="0.4">
      <c r="E71" s="42"/>
    </row>
  </sheetData>
  <mergeCells count="4">
    <mergeCell ref="A20:R20"/>
    <mergeCell ref="A53:R53"/>
    <mergeCell ref="A63:Q63"/>
    <mergeCell ref="B66:M6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9E20-7CB3-4016-A024-57FD791090E1}">
  <sheetPr>
    <tabColor rgb="FF66FF33"/>
  </sheetPr>
  <dimension ref="A4:Z181"/>
  <sheetViews>
    <sheetView topLeftCell="A22" workbookViewId="0">
      <selection activeCell="J51" sqref="J51"/>
    </sheetView>
  </sheetViews>
  <sheetFormatPr baseColWidth="10" defaultRowHeight="12.75" x14ac:dyDescent="0.2"/>
  <sheetData>
    <row r="4" spans="1:26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x14ac:dyDescent="0.2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" x14ac:dyDescent="0.25">
      <c r="A6" s="59"/>
      <c r="B6" s="59" t="s">
        <v>83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x14ac:dyDescent="0.2">
      <c r="A8" s="49"/>
      <c r="B8" s="114" t="s">
        <v>84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x14ac:dyDescent="0.2">
      <c r="A9" s="4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5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x14ac:dyDescent="0.2">
      <c r="A10" s="49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" x14ac:dyDescent="0.25">
      <c r="A11" s="49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" x14ac:dyDescent="0.25">
      <c r="A12" s="49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" x14ac:dyDescent="0.25">
      <c r="A13" s="59"/>
      <c r="B13" s="59" t="s">
        <v>85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x14ac:dyDescent="0.2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62" t="s">
        <v>86</v>
      </c>
      <c r="P15" s="62">
        <v>200000</v>
      </c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x14ac:dyDescent="0.2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x14ac:dyDescent="0.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x14ac:dyDescent="0.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x14ac:dyDescent="0.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x14ac:dyDescent="0.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x14ac:dyDescent="0.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x14ac:dyDescent="0.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x14ac:dyDescent="0.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x14ac:dyDescent="0.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x14ac:dyDescent="0.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x14ac:dyDescent="0.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x14ac:dyDescent="0.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x14ac:dyDescent="0.2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x14ac:dyDescent="0.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x14ac:dyDescent="0.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x14ac:dyDescent="0.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x14ac:dyDescent="0.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x14ac:dyDescent="0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x14ac:dyDescent="0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x14ac:dyDescent="0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x14ac:dyDescent="0.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x14ac:dyDescent="0.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x14ac:dyDescent="0.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x14ac:dyDescent="0.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x14ac:dyDescent="0.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x14ac:dyDescent="0.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x14ac:dyDescent="0.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x14ac:dyDescent="0.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x14ac:dyDescent="0.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x14ac:dyDescent="0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x14ac:dyDescent="0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x14ac:dyDescent="0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x14ac:dyDescent="0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x14ac:dyDescent="0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x14ac:dyDescent="0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x14ac:dyDescent="0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x14ac:dyDescent="0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x14ac:dyDescent="0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x14ac:dyDescent="0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x14ac:dyDescent="0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x14ac:dyDescent="0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x14ac:dyDescent="0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x14ac:dyDescent="0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x14ac:dyDescent="0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x14ac:dyDescent="0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x14ac:dyDescent="0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x14ac:dyDescent="0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x14ac:dyDescent="0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x14ac:dyDescent="0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x14ac:dyDescent="0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x14ac:dyDescent="0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x14ac:dyDescent="0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x14ac:dyDescent="0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x14ac:dyDescent="0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x14ac:dyDescent="0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x14ac:dyDescent="0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x14ac:dyDescent="0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x14ac:dyDescent="0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x14ac:dyDescent="0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x14ac:dyDescent="0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x14ac:dyDescent="0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x14ac:dyDescent="0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x14ac:dyDescent="0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x14ac:dyDescent="0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x14ac:dyDescent="0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x14ac:dyDescent="0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x14ac:dyDescent="0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x14ac:dyDescent="0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x14ac:dyDescent="0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x14ac:dyDescent="0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x14ac:dyDescent="0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x14ac:dyDescent="0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x14ac:dyDescent="0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x14ac:dyDescent="0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x14ac:dyDescent="0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x14ac:dyDescent="0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x14ac:dyDescent="0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x14ac:dyDescent="0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x14ac:dyDescent="0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x14ac:dyDescent="0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x14ac:dyDescent="0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x14ac:dyDescent="0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x14ac:dyDescent="0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x14ac:dyDescent="0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x14ac:dyDescent="0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x14ac:dyDescent="0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x14ac:dyDescent="0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x14ac:dyDescent="0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x14ac:dyDescent="0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x14ac:dyDescent="0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x14ac:dyDescent="0.2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x14ac:dyDescent="0.2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</sheetData>
  <mergeCells count="1">
    <mergeCell ref="B8:P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3C60-FA83-4D56-A4B0-F7D166C255FB}">
  <sheetPr>
    <tabColor rgb="FF66FF33"/>
  </sheetPr>
  <dimension ref="A4:V60"/>
  <sheetViews>
    <sheetView topLeftCell="A7" workbookViewId="0">
      <selection activeCell="K47" sqref="K47"/>
    </sheetView>
  </sheetViews>
  <sheetFormatPr baseColWidth="10" defaultRowHeight="12.75" x14ac:dyDescent="0.2"/>
  <sheetData>
    <row r="4" spans="1:22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spans="1:22" x14ac:dyDescent="0.2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</row>
    <row r="6" spans="1:22" ht="15" x14ac:dyDescent="0.25">
      <c r="A6" s="59"/>
      <c r="B6" s="59" t="s">
        <v>83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49"/>
    </row>
    <row r="7" spans="1:22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</row>
    <row r="8" spans="1:22" x14ac:dyDescent="0.2">
      <c r="A8" s="49"/>
      <c r="B8" s="114" t="s">
        <v>87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49"/>
      <c r="R8" s="49"/>
      <c r="S8" s="49"/>
      <c r="T8" s="49"/>
      <c r="U8" s="49"/>
      <c r="V8" s="49"/>
    </row>
    <row r="9" spans="1:22" x14ac:dyDescent="0.2">
      <c r="A9" s="4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5"/>
      <c r="Q9" s="49"/>
      <c r="R9" s="49"/>
      <c r="S9" s="49"/>
      <c r="T9" s="49"/>
      <c r="U9" s="49"/>
      <c r="V9" s="49"/>
    </row>
    <row r="10" spans="1:22" x14ac:dyDescent="0.2">
      <c r="A10" s="49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49"/>
      <c r="R10" s="49"/>
      <c r="S10" s="49"/>
      <c r="T10" s="49"/>
      <c r="U10" s="49"/>
      <c r="V10" s="49"/>
    </row>
    <row r="11" spans="1:22" ht="15" x14ac:dyDescent="0.25">
      <c r="A11" s="49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49"/>
      <c r="R11" s="49"/>
      <c r="S11" s="49"/>
      <c r="T11" s="49"/>
      <c r="U11" s="49"/>
      <c r="V11" s="49"/>
    </row>
    <row r="12" spans="1:22" ht="15" x14ac:dyDescent="0.25">
      <c r="A12" s="49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49"/>
      <c r="R12" s="49"/>
      <c r="S12" s="49"/>
      <c r="T12" s="49"/>
      <c r="U12" s="49"/>
      <c r="V12" s="49"/>
    </row>
    <row r="13" spans="1:22" x14ac:dyDescent="0.2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 spans="1:22" x14ac:dyDescent="0.2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 spans="1:22" x14ac:dyDescent="0.2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</row>
    <row r="16" spans="1:22" x14ac:dyDescent="0.2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7" spans="1:22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x14ac:dyDescent="0.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1:22" x14ac:dyDescent="0.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1:22" x14ac:dyDescent="0.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2" x14ac:dyDescent="0.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2" x14ac:dyDescent="0.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2" x14ac:dyDescent="0.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2" x14ac:dyDescent="0.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2" x14ac:dyDescent="0.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2" x14ac:dyDescent="0.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2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2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2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1:22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 spans="1:22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</row>
    <row r="43" spans="1:22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</row>
    <row r="44" spans="1:22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</row>
    <row r="45" spans="1:22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</row>
    <row r="46" spans="1:22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</row>
    <row r="47" spans="1:22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</row>
    <row r="48" spans="1:22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</row>
    <row r="49" spans="1:22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</row>
    <row r="50" spans="1:22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</row>
    <row r="51" spans="1:22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</row>
    <row r="52" spans="1:22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</row>
    <row r="53" spans="1:22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</row>
    <row r="54" spans="1:22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</row>
    <row r="55" spans="1:22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</row>
    <row r="56" spans="1:22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</row>
    <row r="57" spans="1:22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</row>
    <row r="58" spans="1:22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</row>
    <row r="59" spans="1:22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spans="1:22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</row>
  </sheetData>
  <mergeCells count="1">
    <mergeCell ref="B8:P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95AB-3458-408A-AABD-B17E7EBFE1EC}">
  <sheetPr>
    <tabColor rgb="FF66FF33"/>
  </sheetPr>
  <dimension ref="A3:Q14"/>
  <sheetViews>
    <sheetView topLeftCell="A7" workbookViewId="0">
      <selection activeCell="T23" sqref="T23"/>
    </sheetView>
  </sheetViews>
  <sheetFormatPr baseColWidth="10" defaultRowHeight="12.75" x14ac:dyDescent="0.2"/>
  <cols>
    <col min="3" max="7" width="11.42578125" customWidth="1"/>
  </cols>
  <sheetData>
    <row r="3" spans="1:17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17" ht="14.25" x14ac:dyDescent="0.2">
      <c r="A4" s="63"/>
      <c r="B4" s="63" t="s">
        <v>83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1:17" x14ac:dyDescent="0.2">
      <c r="A5" s="49"/>
      <c r="B5" s="117" t="s">
        <v>88</v>
      </c>
      <c r="C5" s="117"/>
      <c r="D5" s="117"/>
      <c r="E5" s="117"/>
      <c r="F5" s="117"/>
      <c r="G5" s="117"/>
      <c r="H5" s="117"/>
      <c r="I5" s="117"/>
      <c r="J5" s="117"/>
      <c r="K5" s="55"/>
      <c r="L5" s="55"/>
      <c r="M5" s="55"/>
      <c r="N5" s="55"/>
      <c r="O5" s="55"/>
      <c r="P5" s="55"/>
      <c r="Q5" s="49"/>
    </row>
    <row r="6" spans="1:17" x14ac:dyDescent="0.2">
      <c r="A6" s="49"/>
      <c r="B6" s="117"/>
      <c r="C6" s="117"/>
      <c r="D6" s="117"/>
      <c r="E6" s="117"/>
      <c r="F6" s="117"/>
      <c r="G6" s="117"/>
      <c r="H6" s="117"/>
      <c r="I6" s="117"/>
      <c r="J6" s="117"/>
      <c r="K6" s="55"/>
      <c r="L6" s="55"/>
      <c r="M6" s="55"/>
      <c r="N6" s="55"/>
      <c r="O6" s="55"/>
      <c r="P6" s="55"/>
      <c r="Q6" s="49"/>
    </row>
    <row r="7" spans="1:17" ht="15" x14ac:dyDescent="0.2">
      <c r="A7" s="49"/>
      <c r="B7" s="64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49"/>
    </row>
    <row r="8" spans="1:17" ht="15" x14ac:dyDescent="0.2">
      <c r="A8" s="49"/>
      <c r="B8" s="64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49"/>
    </row>
    <row r="9" spans="1:17" ht="15" x14ac:dyDescent="0.2">
      <c r="A9" s="49"/>
      <c r="B9" s="64" t="s">
        <v>89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49"/>
    </row>
    <row r="10" spans="1:17" ht="15" x14ac:dyDescent="0.2">
      <c r="A10" s="49"/>
      <c r="B10" s="64" t="s">
        <v>90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49"/>
    </row>
    <row r="11" spans="1:17" ht="15" x14ac:dyDescent="0.2">
      <c r="A11" s="49"/>
      <c r="B11" s="64" t="s">
        <v>91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49"/>
    </row>
    <row r="12" spans="1:17" x14ac:dyDescent="0.2">
      <c r="A12" s="49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49"/>
    </row>
    <row r="13" spans="1:17" ht="14.25" x14ac:dyDescent="0.2">
      <c r="A13" s="63"/>
      <c r="B13" s="63" t="s">
        <v>85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</row>
    <row r="14" spans="1:17" x14ac:dyDescent="0.2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</row>
  </sheetData>
  <mergeCells count="1">
    <mergeCell ref="B5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Interés Compuesto vs Simple</vt:lpstr>
      <vt:lpstr>Anualidad 1</vt:lpstr>
      <vt:lpstr>Anualidad 2</vt:lpstr>
      <vt:lpstr>Perpetuidad 1</vt:lpstr>
      <vt:lpstr>Perpetuidad 2</vt:lpstr>
      <vt:lpstr>Amortizacion de deuda 1</vt:lpstr>
      <vt:lpstr>Amortizacion de deuda 2</vt:lpstr>
      <vt:lpstr>Amortizacion de deuda 3</vt:lpstr>
      <vt:lpstr>Amortizacion de deuda 4</vt:lpstr>
      <vt:lpstr>VAN - TIR 1</vt:lpstr>
      <vt:lpstr>VAN - TIR 2</vt:lpstr>
      <vt:lpstr>VAN - TIR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</cp:lastModifiedBy>
  <dcterms:modified xsi:type="dcterms:W3CDTF">2024-04-04T20:37:40Z</dcterms:modified>
</cp:coreProperties>
</file>