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Santiago\Documentos\UCC-Santi\4to\Economia\Practico\Ejercicios\Unidad 6\2023\"/>
    </mc:Choice>
  </mc:AlternateContent>
  <xr:revisionPtr revIDLastSave="0" documentId="13_ncr:1_{656EA886-DC2A-4538-BA68-3171797D6D34}" xr6:coauthVersionLast="47" xr6:coauthVersionMax="47" xr10:uidLastSave="{00000000-0000-0000-0000-000000000000}"/>
  <bookViews>
    <workbookView xWindow="28680" yWindow="-120" windowWidth="24240" windowHeight="13020" activeTab="8" xr2:uid="{00000000-000D-0000-FFFF-FFFF00000000}"/>
  </bookViews>
  <sheets>
    <sheet name="Anualidad 1" sheetId="5" r:id="rId1"/>
    <sheet name="Anualidad 2" sheetId="10" r:id="rId2"/>
    <sheet name="Perpetuidad 1" sheetId="11" r:id="rId3"/>
    <sheet name="Perpetuidad 2" sheetId="12" r:id="rId4"/>
    <sheet name="Amort Deuda 1" sheetId="6" r:id="rId5"/>
    <sheet name="Amort Deuda 2" sheetId="15" r:id="rId6"/>
    <sheet name="Amort Deduda 3" sheetId="16" r:id="rId7"/>
    <sheet name="Amort Deuda 4" sheetId="13" r:id="rId8"/>
    <sheet name="Reemplazo equipo" sheetId="9" r:id="rId9"/>
    <sheet name="VAN - TIR 1" sheetId="7" r:id="rId10"/>
    <sheet name="VAN-TIR 2" sheetId="2" r:id="rId11"/>
    <sheet name="VAN-TIR 3" sheetId="14" r:id="rId12"/>
  </sheets>
  <definedNames>
    <definedName name="solver_adj" localSheetId="10" hidden="1">'VAN-TIR 2'!$I$32</definedName>
    <definedName name="solver_cvg" localSheetId="10" hidden="1">0.0001</definedName>
    <definedName name="solver_drv" localSheetId="10" hidden="1">1</definedName>
    <definedName name="solver_eng" localSheetId="10" hidden="1">1</definedName>
    <definedName name="solver_est" localSheetId="10" hidden="1">1</definedName>
    <definedName name="solver_itr" localSheetId="10" hidden="1">2147483647</definedName>
    <definedName name="solver_lhs1" localSheetId="10" hidden="1">'VAN-TIR 2'!$I$33</definedName>
    <definedName name="solver_mip" localSheetId="10" hidden="1">2147483647</definedName>
    <definedName name="solver_mni" localSheetId="10" hidden="1">30</definedName>
    <definedName name="solver_mrt" localSheetId="10" hidden="1">0.075</definedName>
    <definedName name="solver_msl" localSheetId="10" hidden="1">2</definedName>
    <definedName name="solver_neg" localSheetId="10" hidden="1">1</definedName>
    <definedName name="solver_nod" localSheetId="10" hidden="1">2147483647</definedName>
    <definedName name="solver_num" localSheetId="10" hidden="1">1</definedName>
    <definedName name="solver_nwt" localSheetId="10" hidden="1">1</definedName>
    <definedName name="solver_opt" localSheetId="10" hidden="1">'VAN-TIR 2'!$I$33</definedName>
    <definedName name="solver_pre" localSheetId="10" hidden="1">0.000001</definedName>
    <definedName name="solver_rbv" localSheetId="10" hidden="1">1</definedName>
    <definedName name="solver_rel1" localSheetId="10" hidden="1">2</definedName>
    <definedName name="solver_rhs1" localSheetId="10" hidden="1">0</definedName>
    <definedName name="solver_rlx" localSheetId="10" hidden="1">2</definedName>
    <definedName name="solver_rsd" localSheetId="10" hidden="1">0</definedName>
    <definedName name="solver_scl" localSheetId="10" hidden="1">1</definedName>
    <definedName name="solver_sho" localSheetId="10" hidden="1">2</definedName>
    <definedName name="solver_ssz" localSheetId="10" hidden="1">100</definedName>
    <definedName name="solver_tim" localSheetId="10" hidden="1">2147483647</definedName>
    <definedName name="solver_tol" localSheetId="10" hidden="1">0.01</definedName>
    <definedName name="solver_typ" localSheetId="10" hidden="1">1</definedName>
    <definedName name="solver_val" localSheetId="10" hidden="1">0</definedName>
    <definedName name="solver_ver" localSheetId="1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3" i="7" l="1"/>
  <c r="E31" i="2"/>
  <c r="F62" i="2"/>
  <c r="L27" i="13"/>
  <c r="L26" i="13"/>
  <c r="L29" i="6"/>
  <c r="N30" i="6"/>
  <c r="N29" i="6"/>
  <c r="M29" i="6"/>
  <c r="G29" i="6"/>
  <c r="K75" i="6"/>
  <c r="L74" i="6"/>
  <c r="M74" i="6"/>
  <c r="L30" i="6"/>
  <c r="K29" i="6"/>
  <c r="J29" i="6"/>
  <c r="D51" i="6"/>
  <c r="F49" i="6"/>
  <c r="F48" i="6"/>
  <c r="F29" i="6"/>
  <c r="I22" i="6"/>
  <c r="M13" i="5"/>
  <c r="L13" i="5"/>
  <c r="K13" i="5"/>
  <c r="J13" i="5"/>
  <c r="I13" i="5"/>
  <c r="B8" i="10"/>
  <c r="E9" i="14" l="1"/>
  <c r="E10" i="14" s="1"/>
  <c r="E11" i="14" s="1"/>
  <c r="E8" i="14"/>
  <c r="E57" i="2"/>
  <c r="K55" i="2"/>
  <c r="K54" i="2"/>
  <c r="J54" i="2"/>
  <c r="J57" i="2" s="1"/>
  <c r="I54" i="2"/>
  <c r="I57" i="2" s="1"/>
  <c r="H54" i="2"/>
  <c r="H57" i="2" s="1"/>
  <c r="G54" i="2"/>
  <c r="F54" i="2"/>
  <c r="K53" i="2"/>
  <c r="K57" i="2" s="1"/>
  <c r="J53" i="2"/>
  <c r="I53" i="2"/>
  <c r="H53" i="2"/>
  <c r="G53" i="2"/>
  <c r="G57" i="2" s="1"/>
  <c r="F53" i="2"/>
  <c r="F57" i="2" s="1"/>
  <c r="Q44" i="2"/>
  <c r="N40" i="6"/>
  <c r="J93" i="6"/>
  <c r="J92" i="6"/>
  <c r="J91" i="6"/>
  <c r="J90" i="6"/>
  <c r="J89" i="6"/>
  <c r="J88" i="6"/>
  <c r="J87" i="6"/>
  <c r="J86" i="6"/>
  <c r="J85" i="6"/>
  <c r="J84" i="6"/>
  <c r="J83" i="6"/>
  <c r="J82" i="6"/>
  <c r="J81" i="6"/>
  <c r="J80" i="6"/>
  <c r="J79" i="6"/>
  <c r="J78" i="6"/>
  <c r="J77" i="6"/>
  <c r="J76" i="6"/>
  <c r="L75" i="6"/>
  <c r="J75" i="6"/>
  <c r="M75" i="6" s="1"/>
  <c r="J74" i="6"/>
  <c r="J94" i="6" s="1"/>
  <c r="E74" i="6"/>
  <c r="P70" i="6"/>
  <c r="Q69" i="6" s="1"/>
  <c r="R69" i="6" s="1"/>
  <c r="C74" i="6" s="1"/>
  <c r="P69" i="6"/>
  <c r="K90" i="7"/>
  <c r="J90" i="7"/>
  <c r="P89" i="7"/>
  <c r="P90" i="7" s="1"/>
  <c r="O89" i="7"/>
  <c r="O90" i="7" s="1"/>
  <c r="N89" i="7"/>
  <c r="N90" i="7" s="1"/>
  <c r="M89" i="7"/>
  <c r="M90" i="7" s="1"/>
  <c r="L89" i="7"/>
  <c r="L90" i="7" s="1"/>
  <c r="K89" i="7"/>
  <c r="J89" i="7"/>
  <c r="I89" i="7"/>
  <c r="I90" i="7" s="1"/>
  <c r="H89" i="7"/>
  <c r="H90" i="7" s="1"/>
  <c r="G89" i="7"/>
  <c r="G90" i="7" s="1"/>
  <c r="F89" i="7"/>
  <c r="F90" i="7" s="1"/>
  <c r="E89" i="7"/>
  <c r="E90" i="7" s="1"/>
  <c r="D89" i="7"/>
  <c r="D90" i="7" s="1"/>
  <c r="O80" i="7"/>
  <c r="N80" i="7"/>
  <c r="J80" i="7"/>
  <c r="G80" i="7"/>
  <c r="F80" i="7"/>
  <c r="P79" i="7"/>
  <c r="P80" i="7" s="1"/>
  <c r="O79" i="7"/>
  <c r="N79" i="7"/>
  <c r="M79" i="7"/>
  <c r="M80" i="7" s="1"/>
  <c r="L79" i="7"/>
  <c r="L80" i="7" s="1"/>
  <c r="K79" i="7"/>
  <c r="K80" i="7" s="1"/>
  <c r="J79" i="7"/>
  <c r="I79" i="7"/>
  <c r="I80" i="7" s="1"/>
  <c r="H79" i="7"/>
  <c r="H80" i="7" s="1"/>
  <c r="G79" i="7"/>
  <c r="F79" i="7"/>
  <c r="E79" i="7"/>
  <c r="E80" i="7" s="1"/>
  <c r="D79" i="7"/>
  <c r="D80" i="7" s="1"/>
  <c r="D82" i="7" s="1"/>
  <c r="B23" i="5"/>
  <c r="B20" i="5"/>
  <c r="C29" i="6"/>
  <c r="E29" i="6" s="1"/>
  <c r="C26" i="13"/>
  <c r="E26" i="13" s="1"/>
  <c r="J26" i="13"/>
  <c r="K37" i="13"/>
  <c r="I37" i="13"/>
  <c r="K36" i="13"/>
  <c r="I36" i="13"/>
  <c r="K35" i="13"/>
  <c r="I35" i="13"/>
  <c r="K34" i="13"/>
  <c r="I34" i="13"/>
  <c r="K33" i="13"/>
  <c r="I33" i="13"/>
  <c r="K32" i="13"/>
  <c r="I32" i="13"/>
  <c r="K31" i="13"/>
  <c r="I31" i="13"/>
  <c r="K30" i="13"/>
  <c r="I30" i="13"/>
  <c r="K29" i="13"/>
  <c r="I29" i="13"/>
  <c r="K28" i="13"/>
  <c r="I28" i="13"/>
  <c r="K27" i="13"/>
  <c r="I27" i="13"/>
  <c r="K26" i="13"/>
  <c r="N26" i="13" s="1"/>
  <c r="J27" i="13" s="1"/>
  <c r="I26" i="13"/>
  <c r="H20" i="13"/>
  <c r="H19" i="13"/>
  <c r="G19" i="13"/>
  <c r="C9" i="12"/>
  <c r="C12" i="12" s="1"/>
  <c r="B6" i="11"/>
  <c r="F14" i="5"/>
  <c r="I58" i="2" l="1"/>
  <c r="I62" i="2"/>
  <c r="F58" i="2"/>
  <c r="H62" i="2"/>
  <c r="H58" i="2"/>
  <c r="G62" i="2"/>
  <c r="G58" i="2"/>
  <c r="J62" i="2"/>
  <c r="J58" i="2"/>
  <c r="K62" i="2"/>
  <c r="K58" i="2"/>
  <c r="E61" i="2"/>
  <c r="E62" i="2"/>
  <c r="E63" i="2" s="1"/>
  <c r="E58" i="2"/>
  <c r="F74" i="6"/>
  <c r="C94" i="6"/>
  <c r="K76" i="6"/>
  <c r="D92" i="7"/>
  <c r="D83" i="7"/>
  <c r="N27" i="13"/>
  <c r="I19" i="13"/>
  <c r="F28" i="13" s="1"/>
  <c r="K38" i="13"/>
  <c r="M26" i="13"/>
  <c r="E60" i="2" l="1"/>
  <c r="K77" i="6"/>
  <c r="L76" i="6"/>
  <c r="D75" i="6"/>
  <c r="J28" i="13"/>
  <c r="F29" i="13"/>
  <c r="F26" i="13"/>
  <c r="D26" i="13" s="1"/>
  <c r="G26" i="13" s="1"/>
  <c r="C27" i="13" s="1"/>
  <c r="E27" i="13" s="1"/>
  <c r="F31" i="13"/>
  <c r="F34" i="13"/>
  <c r="M27" i="13"/>
  <c r="F35" i="13"/>
  <c r="F27" i="13"/>
  <c r="F36" i="13"/>
  <c r="F37" i="13"/>
  <c r="F30" i="13"/>
  <c r="F32" i="13"/>
  <c r="F33" i="13"/>
  <c r="I51" i="9"/>
  <c r="H51" i="9"/>
  <c r="G51" i="9"/>
  <c r="F51" i="9"/>
  <c r="E51" i="9"/>
  <c r="F48" i="9"/>
  <c r="G48" i="9" s="1"/>
  <c r="H48" i="9" s="1"/>
  <c r="I48" i="9" s="1"/>
  <c r="J48" i="9" s="1"/>
  <c r="J49" i="9" s="1"/>
  <c r="J51" i="9" s="1"/>
  <c r="D46" i="9"/>
  <c r="J41" i="9"/>
  <c r="I41" i="9"/>
  <c r="H41" i="9"/>
  <c r="G41" i="9"/>
  <c r="F41" i="9"/>
  <c r="O29" i="9"/>
  <c r="N29" i="9"/>
  <c r="M29" i="9"/>
  <c r="L29" i="9"/>
  <c r="K29" i="9"/>
  <c r="J29" i="9"/>
  <c r="I29" i="9"/>
  <c r="H29" i="9"/>
  <c r="G29" i="9"/>
  <c r="F29" i="9"/>
  <c r="E29" i="9"/>
  <c r="D24" i="9"/>
  <c r="J19" i="9"/>
  <c r="I19" i="9"/>
  <c r="H19" i="9"/>
  <c r="G19" i="9"/>
  <c r="F19" i="9"/>
  <c r="C40" i="7"/>
  <c r="C42" i="7" s="1"/>
  <c r="J38" i="7"/>
  <c r="F38" i="7"/>
  <c r="C38" i="7"/>
  <c r="D37" i="7"/>
  <c r="E37" i="7" s="1"/>
  <c r="F37" i="7" s="1"/>
  <c r="G37" i="7" s="1"/>
  <c r="H37" i="7" s="1"/>
  <c r="I37" i="7" s="1"/>
  <c r="J37" i="7" s="1"/>
  <c r="K37" i="7" s="1"/>
  <c r="L37" i="7" s="1"/>
  <c r="M37" i="7" s="1"/>
  <c r="N37" i="7" s="1"/>
  <c r="O37" i="7" s="1"/>
  <c r="D36" i="7"/>
  <c r="E36" i="7" s="1"/>
  <c r="K26" i="7"/>
  <c r="C26" i="7"/>
  <c r="C28" i="7" s="1"/>
  <c r="D25" i="7"/>
  <c r="E25" i="7" s="1"/>
  <c r="F25" i="7" s="1"/>
  <c r="G25" i="7" s="1"/>
  <c r="H25" i="7" s="1"/>
  <c r="I25" i="7" s="1"/>
  <c r="J25" i="7" s="1"/>
  <c r="K25" i="7" s="1"/>
  <c r="L25" i="7" s="1"/>
  <c r="M25" i="7" s="1"/>
  <c r="N25" i="7" s="1"/>
  <c r="O25" i="7" s="1"/>
  <c r="D24" i="7"/>
  <c r="K48" i="6"/>
  <c r="I48" i="6"/>
  <c r="K47" i="6"/>
  <c r="I47" i="6"/>
  <c r="K46" i="6"/>
  <c r="I46" i="6"/>
  <c r="K45" i="6"/>
  <c r="I45" i="6"/>
  <c r="K44" i="6"/>
  <c r="I44" i="6"/>
  <c r="K43" i="6"/>
  <c r="I43" i="6"/>
  <c r="K42" i="6"/>
  <c r="I42" i="6"/>
  <c r="K41" i="6"/>
  <c r="I41" i="6"/>
  <c r="K40" i="6"/>
  <c r="I40" i="6"/>
  <c r="K39" i="6"/>
  <c r="I39" i="6"/>
  <c r="K38" i="6"/>
  <c r="I38" i="6"/>
  <c r="K37" i="6"/>
  <c r="I37" i="6"/>
  <c r="K36" i="6"/>
  <c r="I36" i="6"/>
  <c r="K35" i="6"/>
  <c r="I35" i="6"/>
  <c r="K34" i="6"/>
  <c r="I34" i="6"/>
  <c r="K33" i="6"/>
  <c r="I33" i="6"/>
  <c r="K32" i="6"/>
  <c r="I32" i="6"/>
  <c r="K31" i="6"/>
  <c r="I31" i="6"/>
  <c r="K30" i="6"/>
  <c r="I30" i="6"/>
  <c r="J30" i="6"/>
  <c r="J31" i="6" s="1"/>
  <c r="N31" i="6" s="1"/>
  <c r="J32" i="6" s="1"/>
  <c r="N32" i="6" s="1"/>
  <c r="J33" i="6" s="1"/>
  <c r="N33" i="6" s="1"/>
  <c r="J34" i="6" s="1"/>
  <c r="N34" i="6" s="1"/>
  <c r="J35" i="6" s="1"/>
  <c r="N35" i="6" s="1"/>
  <c r="J36" i="6" s="1"/>
  <c r="N36" i="6" s="1"/>
  <c r="J37" i="6" s="1"/>
  <c r="N37" i="6" s="1"/>
  <c r="J38" i="6" s="1"/>
  <c r="N38" i="6" s="1"/>
  <c r="J39" i="6" s="1"/>
  <c r="N39" i="6" s="1"/>
  <c r="J40" i="6" s="1"/>
  <c r="J41" i="6" s="1"/>
  <c r="N41" i="6" s="1"/>
  <c r="J42" i="6" s="1"/>
  <c r="N42" i="6" s="1"/>
  <c r="J43" i="6" s="1"/>
  <c r="N43" i="6" s="1"/>
  <c r="J44" i="6" s="1"/>
  <c r="N44" i="6" s="1"/>
  <c r="J45" i="6" s="1"/>
  <c r="N45" i="6" s="1"/>
  <c r="J46" i="6" s="1"/>
  <c r="N46" i="6" s="1"/>
  <c r="J47" i="6" s="1"/>
  <c r="N47" i="6" s="1"/>
  <c r="J48" i="6" s="1"/>
  <c r="N48" i="6" s="1"/>
  <c r="I29" i="6"/>
  <c r="H23" i="6"/>
  <c r="H22" i="6"/>
  <c r="G22" i="6"/>
  <c r="L12" i="5"/>
  <c r="I12" i="5"/>
  <c r="J12" i="5" s="1"/>
  <c r="E75" i="6" l="1"/>
  <c r="M76" i="6"/>
  <c r="K78" i="6"/>
  <c r="L77" i="6"/>
  <c r="M77" i="6" s="1"/>
  <c r="D28" i="7"/>
  <c r="D30" i="7" s="1"/>
  <c r="E43" i="9"/>
  <c r="E31" i="9"/>
  <c r="G31" i="9" s="1"/>
  <c r="E21" i="9"/>
  <c r="G21" i="9" s="1"/>
  <c r="L28" i="13"/>
  <c r="M28" i="13" s="1"/>
  <c r="N28" i="13"/>
  <c r="J29" i="13" s="1"/>
  <c r="F38" i="13"/>
  <c r="F30" i="6"/>
  <c r="K12" i="5"/>
  <c r="M12" i="5" s="1"/>
  <c r="E53" i="9"/>
  <c r="C30" i="7"/>
  <c r="E40" i="7"/>
  <c r="E42" i="7" s="1"/>
  <c r="F36" i="7"/>
  <c r="E24" i="7"/>
  <c r="D40" i="7"/>
  <c r="M30" i="6"/>
  <c r="F45" i="6"/>
  <c r="K49" i="6"/>
  <c r="L14" i="5"/>
  <c r="L15" i="5" s="1"/>
  <c r="L16" i="5" s="1"/>
  <c r="L17" i="5" s="1"/>
  <c r="L78" i="6" l="1"/>
  <c r="M78" i="6" s="1"/>
  <c r="K79" i="6"/>
  <c r="F75" i="6"/>
  <c r="F34" i="6"/>
  <c r="F38" i="6"/>
  <c r="F42" i="6"/>
  <c r="F31" i="6"/>
  <c r="F39" i="6"/>
  <c r="F46" i="6"/>
  <c r="F43" i="6"/>
  <c r="F47" i="6"/>
  <c r="F35" i="6"/>
  <c r="F32" i="6"/>
  <c r="F33" i="6"/>
  <c r="F40" i="6"/>
  <c r="F37" i="6"/>
  <c r="F44" i="6"/>
  <c r="F41" i="6"/>
  <c r="L29" i="13"/>
  <c r="M29" i="13" s="1"/>
  <c r="N29" i="13"/>
  <c r="J30" i="13" s="1"/>
  <c r="F36" i="6"/>
  <c r="I14" i="5"/>
  <c r="J14" i="5" s="1"/>
  <c r="F24" i="7"/>
  <c r="E28" i="7"/>
  <c r="G36" i="7"/>
  <c r="F40" i="7"/>
  <c r="F42" i="7" s="1"/>
  <c r="D42" i="7"/>
  <c r="L31" i="6"/>
  <c r="M31" i="6" s="1"/>
  <c r="L18" i="5"/>
  <c r="D76" i="6" l="1"/>
  <c r="L79" i="6"/>
  <c r="K80" i="6"/>
  <c r="K14" i="5"/>
  <c r="M14" i="5" s="1"/>
  <c r="I15" i="5" s="1"/>
  <c r="J15" i="5" s="1"/>
  <c r="D29" i="6"/>
  <c r="C30" i="6" s="1"/>
  <c r="E30" i="6" s="1"/>
  <c r="L30" i="13"/>
  <c r="M30" i="13" s="1"/>
  <c r="N30" i="13"/>
  <c r="J31" i="13" s="1"/>
  <c r="E30" i="7"/>
  <c r="H36" i="7"/>
  <c r="G40" i="7"/>
  <c r="G42" i="7" s="1"/>
  <c r="G24" i="7"/>
  <c r="F28" i="7"/>
  <c r="F30" i="7" s="1"/>
  <c r="L32" i="6"/>
  <c r="K15" i="5"/>
  <c r="M15" i="5" s="1"/>
  <c r="I16" i="5" s="1"/>
  <c r="J16" i="5" s="1"/>
  <c r="L80" i="6" l="1"/>
  <c r="M80" i="6" s="1"/>
  <c r="K81" i="6"/>
  <c r="M79" i="6"/>
  <c r="E76" i="6"/>
  <c r="L31" i="13"/>
  <c r="M31" i="13" s="1"/>
  <c r="N31" i="13"/>
  <c r="J32" i="13" s="1"/>
  <c r="G28" i="7"/>
  <c r="H24" i="7"/>
  <c r="I36" i="7"/>
  <c r="H40" i="7"/>
  <c r="M32" i="6"/>
  <c r="L33" i="6"/>
  <c r="M33" i="6" s="1"/>
  <c r="K16" i="5"/>
  <c r="M16" i="5" s="1"/>
  <c r="I17" i="5" s="1"/>
  <c r="J17" i="5" s="1"/>
  <c r="F76" i="6" l="1"/>
  <c r="L81" i="6"/>
  <c r="M81" i="6" s="1"/>
  <c r="K82" i="6"/>
  <c r="G30" i="7"/>
  <c r="L32" i="13"/>
  <c r="N32" i="13"/>
  <c r="J33" i="13" s="1"/>
  <c r="M32" i="13"/>
  <c r="H28" i="7"/>
  <c r="I24" i="7"/>
  <c r="H42" i="7"/>
  <c r="I40" i="7"/>
  <c r="I42" i="7" s="1"/>
  <c r="J36" i="7"/>
  <c r="L34" i="6"/>
  <c r="K17" i="5"/>
  <c r="M17" i="5" s="1"/>
  <c r="L82" i="6" l="1"/>
  <c r="M82" i="6" s="1"/>
  <c r="K83" i="6"/>
  <c r="D77" i="6"/>
  <c r="L33" i="13"/>
  <c r="M33" i="13" s="1"/>
  <c r="N33" i="13"/>
  <c r="J34" i="13" s="1"/>
  <c r="K36" i="7"/>
  <c r="J40" i="7"/>
  <c r="J24" i="7"/>
  <c r="I28" i="7"/>
  <c r="I30" i="7" s="1"/>
  <c r="H30" i="7"/>
  <c r="M34" i="6"/>
  <c r="L35" i="6"/>
  <c r="M35" i="6" s="1"/>
  <c r="E77" i="6" l="1"/>
  <c r="K84" i="6"/>
  <c r="L83" i="6"/>
  <c r="M83" i="6" s="1"/>
  <c r="L34" i="13"/>
  <c r="M34" i="13" s="1"/>
  <c r="N34" i="13"/>
  <c r="J35" i="13" s="1"/>
  <c r="J42" i="7"/>
  <c r="K24" i="7"/>
  <c r="J28" i="7"/>
  <c r="J30" i="7" s="1"/>
  <c r="L36" i="7"/>
  <c r="K40" i="7"/>
  <c r="K42" i="7" s="1"/>
  <c r="L36" i="6"/>
  <c r="K85" i="6" l="1"/>
  <c r="L84" i="6"/>
  <c r="M84" i="6" s="1"/>
  <c r="F77" i="6"/>
  <c r="L35" i="13"/>
  <c r="M35" i="13" s="1"/>
  <c r="N35" i="13"/>
  <c r="J36" i="13" s="1"/>
  <c r="K28" i="7"/>
  <c r="K30" i="7" s="1"/>
  <c r="L24" i="7"/>
  <c r="M36" i="7"/>
  <c r="L40" i="7"/>
  <c r="L42" i="7" s="1"/>
  <c r="M36" i="6"/>
  <c r="L37" i="6"/>
  <c r="M37" i="6" s="1"/>
  <c r="D78" i="6" l="1"/>
  <c r="K86" i="6"/>
  <c r="L85" i="6"/>
  <c r="M85" i="6" s="1"/>
  <c r="L36" i="13"/>
  <c r="M36" i="13" s="1"/>
  <c r="N36" i="13"/>
  <c r="J37" i="13" s="1"/>
  <c r="M40" i="7"/>
  <c r="M42" i="7" s="1"/>
  <c r="N36" i="7"/>
  <c r="L28" i="7"/>
  <c r="L30" i="7" s="1"/>
  <c r="M24" i="7"/>
  <c r="L38" i="6"/>
  <c r="M38" i="6" s="1"/>
  <c r="L86" i="6" l="1"/>
  <c r="M86" i="6" s="1"/>
  <c r="K87" i="6"/>
  <c r="E78" i="6"/>
  <c r="F78" i="6" s="1"/>
  <c r="D79" i="6" s="1"/>
  <c r="L37" i="13"/>
  <c r="M37" i="13" s="1"/>
  <c r="N37" i="13"/>
  <c r="O36" i="7"/>
  <c r="O40" i="7" s="1"/>
  <c r="N40" i="7"/>
  <c r="N42" i="7" s="1"/>
  <c r="N24" i="7"/>
  <c r="M28" i="7"/>
  <c r="M30" i="7" s="1"/>
  <c r="L39" i="6"/>
  <c r="M39" i="6" s="1"/>
  <c r="E79" i="6" l="1"/>
  <c r="F79" i="6" s="1"/>
  <c r="D80" i="6" s="1"/>
  <c r="L87" i="6"/>
  <c r="M87" i="6" s="1"/>
  <c r="K88" i="6"/>
  <c r="O24" i="7"/>
  <c r="O28" i="7" s="1"/>
  <c r="N28" i="7"/>
  <c r="N30" i="7" s="1"/>
  <c r="O42" i="7"/>
  <c r="C44" i="7" s="1"/>
  <c r="C45" i="7"/>
  <c r="L40" i="6"/>
  <c r="M40" i="6" s="1"/>
  <c r="E80" i="6" l="1"/>
  <c r="F80" i="6" s="1"/>
  <c r="D81" i="6" s="1"/>
  <c r="L88" i="6"/>
  <c r="M88" i="6" s="1"/>
  <c r="K89" i="6"/>
  <c r="F32" i="7"/>
  <c r="O30" i="7"/>
  <c r="C32" i="7" s="1"/>
  <c r="C33" i="7"/>
  <c r="L41" i="6"/>
  <c r="M41" i="6" s="1"/>
  <c r="E81" i="6" l="1"/>
  <c r="F81" i="6" s="1"/>
  <c r="D82" i="6" s="1"/>
  <c r="L89" i="6"/>
  <c r="M89" i="6" s="1"/>
  <c r="K90" i="6"/>
  <c r="L42" i="6"/>
  <c r="M42" i="6" s="1"/>
  <c r="E82" i="6" l="1"/>
  <c r="F82" i="6" s="1"/>
  <c r="D83" i="6"/>
  <c r="L90" i="6"/>
  <c r="M90" i="6" s="1"/>
  <c r="K91" i="6"/>
  <c r="L43" i="6"/>
  <c r="M43" i="6" s="1"/>
  <c r="L91" i="6" l="1"/>
  <c r="M91" i="6" s="1"/>
  <c r="K92" i="6"/>
  <c r="E83" i="6"/>
  <c r="F83" i="6" s="1"/>
  <c r="D84" i="6"/>
  <c r="L44" i="6"/>
  <c r="M44" i="6" s="1"/>
  <c r="E84" i="6" l="1"/>
  <c r="F84" i="6" s="1"/>
  <c r="D85" i="6"/>
  <c r="K93" i="6"/>
  <c r="L93" i="6" s="1"/>
  <c r="L92" i="6"/>
  <c r="M92" i="6" s="1"/>
  <c r="L45" i="6"/>
  <c r="M45" i="6" s="1"/>
  <c r="M93" i="6" l="1"/>
  <c r="M94" i="6" s="1"/>
  <c r="L94" i="6"/>
  <c r="E85" i="6"/>
  <c r="F85" i="6" s="1"/>
  <c r="D86" i="6"/>
  <c r="L38" i="13"/>
  <c r="L46" i="6"/>
  <c r="M46" i="6" s="1"/>
  <c r="E86" i="6" l="1"/>
  <c r="F86" i="6" s="1"/>
  <c r="D87" i="6"/>
  <c r="M38" i="13"/>
  <c r="K40" i="13"/>
  <c r="L48" i="6"/>
  <c r="L47" i="6"/>
  <c r="M47" i="6" s="1"/>
  <c r="J22" i="2"/>
  <c r="D24" i="2"/>
  <c r="D31" i="2" s="1"/>
  <c r="F18" i="2"/>
  <c r="F16" i="2" s="1"/>
  <c r="G18" i="2"/>
  <c r="G16" i="2" s="1"/>
  <c r="H18" i="2"/>
  <c r="H16" i="2" s="1"/>
  <c r="I18" i="2"/>
  <c r="I16" i="2" s="1"/>
  <c r="J18" i="2"/>
  <c r="J16" i="2" s="1"/>
  <c r="E18" i="2"/>
  <c r="E16" i="2" s="1"/>
  <c r="F15" i="2"/>
  <c r="G15" i="2"/>
  <c r="H15" i="2"/>
  <c r="I15" i="2"/>
  <c r="J15" i="2"/>
  <c r="E15" i="2"/>
  <c r="E87" i="6" l="1"/>
  <c r="F87" i="6" s="1"/>
  <c r="D88" i="6" s="1"/>
  <c r="E19" i="2"/>
  <c r="M48" i="6"/>
  <c r="L49" i="6"/>
  <c r="H19" i="2"/>
  <c r="H24" i="2" s="1"/>
  <c r="D25" i="2"/>
  <c r="E24" i="2"/>
  <c r="G19" i="2"/>
  <c r="G24" i="2" s="1"/>
  <c r="I19" i="2"/>
  <c r="I24" i="2" s="1"/>
  <c r="J19" i="2"/>
  <c r="J24" i="2" s="1"/>
  <c r="F19" i="2"/>
  <c r="F24" i="2" s="1"/>
  <c r="E88" i="6" l="1"/>
  <c r="F88" i="6" s="1"/>
  <c r="D89" i="6" s="1"/>
  <c r="M49" i="6"/>
  <c r="K51" i="6"/>
  <c r="G31" i="2"/>
  <c r="G25" i="2"/>
  <c r="E25" i="2"/>
  <c r="F31" i="2"/>
  <c r="F25" i="2"/>
  <c r="J31" i="2"/>
  <c r="J25" i="2"/>
  <c r="I31" i="2"/>
  <c r="I25" i="2"/>
  <c r="H31" i="2"/>
  <c r="H25" i="2"/>
  <c r="E89" i="6" l="1"/>
  <c r="F89" i="6" s="1"/>
  <c r="D90" i="6" s="1"/>
  <c r="I33" i="2"/>
  <c r="D27" i="2"/>
  <c r="E90" i="6" l="1"/>
  <c r="F90" i="6" s="1"/>
  <c r="D91" i="6"/>
  <c r="D27" i="13"/>
  <c r="G27" i="13" s="1"/>
  <c r="C28" i="13" s="1"/>
  <c r="E91" i="6" l="1"/>
  <c r="F91" i="6" s="1"/>
  <c r="D92" i="6"/>
  <c r="E28" i="13"/>
  <c r="E92" i="6" l="1"/>
  <c r="F92" i="6" s="1"/>
  <c r="D93" i="6" s="1"/>
  <c r="E93" i="6" s="1"/>
  <c r="D28" i="13"/>
  <c r="F93" i="6" l="1"/>
  <c r="F94" i="6" s="1"/>
  <c r="E94" i="6"/>
  <c r="G28" i="13"/>
  <c r="C29" i="13" s="1"/>
  <c r="E29" i="13" l="1"/>
  <c r="D29" i="13" l="1"/>
  <c r="G29" i="13" l="1"/>
  <c r="C30" i="13" s="1"/>
  <c r="E30" i="13" l="1"/>
  <c r="D30" i="13" l="1"/>
  <c r="G30" i="13" l="1"/>
  <c r="C31" i="13" s="1"/>
  <c r="E31" i="13" l="1"/>
  <c r="D31" i="13" l="1"/>
  <c r="G31" i="13" l="1"/>
  <c r="C32" i="13" s="1"/>
  <c r="E32" i="13" l="1"/>
  <c r="D32" i="13" l="1"/>
  <c r="G32" i="13" s="1"/>
  <c r="C33" i="13" s="1"/>
  <c r="E33" i="13" l="1"/>
  <c r="D33" i="13" s="1"/>
  <c r="G33" i="13" s="1"/>
  <c r="C34" i="13" s="1"/>
  <c r="E34" i="13" l="1"/>
  <c r="D34" i="13" s="1"/>
  <c r="G34" i="13" s="1"/>
  <c r="C35" i="13" s="1"/>
  <c r="E35" i="13" l="1"/>
  <c r="D35" i="13" s="1"/>
  <c r="G35" i="13" s="1"/>
  <c r="C36" i="13" s="1"/>
  <c r="E36" i="13" l="1"/>
  <c r="D36" i="13" s="1"/>
  <c r="G36" i="13"/>
  <c r="C37" i="13" s="1"/>
  <c r="E37" i="13" l="1"/>
  <c r="D37" i="13" l="1"/>
  <c r="E38" i="13"/>
  <c r="D38" i="13" l="1"/>
  <c r="D40" i="13" s="1"/>
  <c r="G37" i="13"/>
  <c r="D30" i="6"/>
  <c r="G30" i="6"/>
  <c r="C31" i="6"/>
  <c r="E31" i="6" l="1"/>
  <c r="D31" i="6" s="1"/>
  <c r="G31" i="6"/>
  <c r="C32" i="6"/>
  <c r="E32" i="6" l="1"/>
  <c r="D32" i="6" l="1"/>
  <c r="G32" i="6" l="1"/>
  <c r="C33" i="6" s="1"/>
  <c r="E33" i="6" l="1"/>
  <c r="D33" i="6" l="1"/>
  <c r="G33" i="6" l="1"/>
  <c r="C34" i="6" s="1"/>
  <c r="E34" i="6" l="1"/>
  <c r="D34" i="6" l="1"/>
  <c r="G34" i="6" l="1"/>
  <c r="C35" i="6" s="1"/>
  <c r="E35" i="6" l="1"/>
  <c r="D35" i="6" l="1"/>
  <c r="G35" i="6" l="1"/>
  <c r="C36" i="6" s="1"/>
  <c r="E36" i="6" l="1"/>
  <c r="D36" i="6" s="1"/>
  <c r="G36" i="6" s="1"/>
  <c r="C37" i="6" s="1"/>
  <c r="E37" i="6" l="1"/>
  <c r="D37" i="6" s="1"/>
  <c r="G37" i="6" s="1"/>
  <c r="C38" i="6" s="1"/>
  <c r="E38" i="6" l="1"/>
  <c r="D38" i="6" s="1"/>
  <c r="G38" i="6" s="1"/>
  <c r="C39" i="6" s="1"/>
  <c r="E39" i="6" l="1"/>
  <c r="D39" i="6" s="1"/>
  <c r="G39" i="6"/>
  <c r="C40" i="6" s="1"/>
  <c r="E40" i="6" l="1"/>
  <c r="D40" i="6" s="1"/>
  <c r="G40" i="6" s="1"/>
  <c r="C41" i="6" s="1"/>
  <c r="E41" i="6" l="1"/>
  <c r="D41" i="6" s="1"/>
  <c r="G41" i="6" s="1"/>
  <c r="C42" i="6" s="1"/>
  <c r="E42" i="6" l="1"/>
  <c r="D42" i="6" s="1"/>
  <c r="G42" i="6" s="1"/>
  <c r="C43" i="6" s="1"/>
  <c r="E43" i="6" l="1"/>
  <c r="D43" i="6" s="1"/>
  <c r="G43" i="6" s="1"/>
  <c r="C44" i="6" s="1"/>
  <c r="E44" i="6" l="1"/>
  <c r="D44" i="6" s="1"/>
  <c r="G44" i="6" s="1"/>
  <c r="C45" i="6" s="1"/>
  <c r="E45" i="6" l="1"/>
  <c r="D45" i="6" s="1"/>
  <c r="G45" i="6" s="1"/>
  <c r="C46" i="6" s="1"/>
  <c r="E46" i="6" l="1"/>
  <c r="D46" i="6" s="1"/>
  <c r="G46" i="6" s="1"/>
  <c r="C47" i="6" s="1"/>
  <c r="E47" i="6" l="1"/>
  <c r="D47" i="6" s="1"/>
  <c r="G47" i="6" s="1"/>
  <c r="C48" i="6" s="1"/>
  <c r="E48" i="6" l="1"/>
  <c r="D48" i="6" l="1"/>
  <c r="E49" i="6"/>
  <c r="D49" i="6" l="1"/>
  <c r="G48" i="6"/>
</calcChain>
</file>

<file path=xl/sharedStrings.xml><?xml version="1.0" encoding="utf-8"?>
<sst xmlns="http://schemas.openxmlformats.org/spreadsheetml/2006/main" count="381" uniqueCount="218">
  <si>
    <t>tasa:</t>
  </si>
  <si>
    <t>Saldo</t>
  </si>
  <si>
    <t>año 1</t>
  </si>
  <si>
    <t>año 2</t>
  </si>
  <si>
    <t>año 3</t>
  </si>
  <si>
    <t>año 4</t>
  </si>
  <si>
    <t>año 5</t>
  </si>
  <si>
    <t>año 6</t>
  </si>
  <si>
    <t>Ingresos</t>
  </si>
  <si>
    <t>Egresos</t>
  </si>
  <si>
    <t>año 0</t>
  </si>
  <si>
    <t>Inversión</t>
  </si>
  <si>
    <t>unidades</t>
  </si>
  <si>
    <t>Precio</t>
  </si>
  <si>
    <t>CV</t>
  </si>
  <si>
    <t>CF</t>
  </si>
  <si>
    <t>VR</t>
  </si>
  <si>
    <t>Flujo</t>
  </si>
  <si>
    <t>Utilidad</t>
  </si>
  <si>
    <t>Io</t>
  </si>
  <si>
    <t>VP</t>
  </si>
  <si>
    <t>VAN=</t>
  </si>
  <si>
    <t>Enunciado</t>
  </si>
  <si>
    <t>Resolución</t>
  </si>
  <si>
    <t>Ejercicio:</t>
  </si>
  <si>
    <t xml:space="preserve">Al cabo de un buen año de producción de su industria, usted cuenta con un excedente importante de dinero y tiene varios planes en mente. </t>
  </si>
  <si>
    <t>Si usted estima que necesita 30.000$ al año para que su hija curse una carrera de 6 años, determine que monto debería invertir en dichos bonos, para garantizar esa anualidad.</t>
  </si>
  <si>
    <t xml:space="preserve">Le gustaría dejar asegurados los fondos necesarios para la carrera universitaria de su hija, quien el año próximo comenzará sus estudios. </t>
  </si>
  <si>
    <t xml:space="preserve">Para ello, usted tiene intenciones de comprar bonos nacionales en pesos que otorgan un rendimiento del 11.4 % anual. </t>
  </si>
  <si>
    <t xml:space="preserve">Determine: </t>
  </si>
  <si>
    <r>
      <t>a)</t>
    </r>
    <r>
      <rPr>
        <sz val="12"/>
        <color rgb="FF000000"/>
        <rFont val="Calibri"/>
        <family val="2"/>
        <scheme val="minor"/>
      </rPr>
      <t xml:space="preserve">La cuota que deberá pagar cada año por cada uno de los sistemas. </t>
    </r>
  </si>
  <si>
    <r>
      <t>b)</t>
    </r>
    <r>
      <rPr>
        <sz val="12"/>
        <color rgb="FF000000"/>
        <rFont val="Calibri"/>
        <family val="2"/>
        <scheme val="minor"/>
      </rPr>
      <t xml:space="preserve">El monto total que habrá devuelto al banco al cabo del plazo definido, en cada uno de los sistemas. </t>
    </r>
  </si>
  <si>
    <r>
      <t>c)</t>
    </r>
    <r>
      <rPr>
        <sz val="12"/>
        <color rgb="FF000000"/>
        <rFont val="Calibri"/>
        <family val="2"/>
        <scheme val="minor"/>
      </rPr>
      <t>El monto de intereses que habrá pagado en cada uno de los sistemas, al cabo de los 20 años.</t>
    </r>
  </si>
  <si>
    <r>
      <t>d)</t>
    </r>
    <r>
      <rPr>
        <sz val="12"/>
        <color rgb="FF000000"/>
        <rFont val="Calibri"/>
        <family val="2"/>
        <scheme val="minor"/>
      </rPr>
      <t xml:space="preserve">Exprese que decisión tomaría. </t>
    </r>
  </si>
  <si>
    <t>Usted se encuentra tramitando un crédito hipotecario para la construcción de su primera vivienda.</t>
  </si>
  <si>
    <t xml:space="preserve">El banco le ofrece un crédito de $200.000, a pagar en un plazo de 20 años a una tasa fija del 12%. </t>
  </si>
  <si>
    <t xml:space="preserve">Cuando usted consulta respecto al sistema de amortización de deuda, el banco le dice que opte entre el sistema alemán y el sistema francés. </t>
  </si>
  <si>
    <t>Considere los dos siguientes planes de inversión:</t>
  </si>
  <si>
    <t>Suponiendo un TRMA del 10% anual, determine cuál de los dos planes es más conveniente.</t>
  </si>
  <si>
    <t>Plan A, tiene un costo inicial de $ 25000 y requiere inversiones adicionales de $ 5000 al final del tercer año y de $ 8000 al final del séptimo año.</t>
  </si>
  <si>
    <t xml:space="preserve">Plan B, tiene un costo inicial de $ 18000 y requiere una inversión adicional de $10000 al final del octavo año. </t>
  </si>
  <si>
    <t>El costo anual de ejecutar este plan es de $6000. Durante sus 12 años de vida, este plan produce $ 9000 anuales de ingresos, $ 12000 al término del proyecto.</t>
  </si>
  <si>
    <t>Los costos anuales de llevarlo a cabo son de $5000. Este plan tiene 12 años de vida y produce $ 10000 anuales de beneficios a partir del primer año.</t>
  </si>
  <si>
    <t>A=</t>
  </si>
  <si>
    <t>Cap. Inic</t>
  </si>
  <si>
    <t>Int.</t>
  </si>
  <si>
    <t>Cap. Final</t>
  </si>
  <si>
    <t>Retiro</t>
  </si>
  <si>
    <t>n=</t>
  </si>
  <si>
    <t>Año 0</t>
  </si>
  <si>
    <t>i=</t>
  </si>
  <si>
    <t>Año 1</t>
  </si>
  <si>
    <t>P=?</t>
  </si>
  <si>
    <t>Año 2</t>
  </si>
  <si>
    <t>Año 3</t>
  </si>
  <si>
    <t>Año 4</t>
  </si>
  <si>
    <t>Año 5</t>
  </si>
  <si>
    <t>P=</t>
  </si>
  <si>
    <t>tasa</t>
  </si>
  <si>
    <t>SISTEMA FRANCÉS</t>
  </si>
  <si>
    <t>SISTEMA ALEMÁN</t>
  </si>
  <si>
    <t>CUOTA</t>
  </si>
  <si>
    <t>AÑO 1</t>
  </si>
  <si>
    <t>AÑO 2</t>
  </si>
  <si>
    <t>AÑO 3</t>
  </si>
  <si>
    <t>AÑO 4</t>
  </si>
  <si>
    <t>AÑO 5</t>
  </si>
  <si>
    <t>AÑO 6</t>
  </si>
  <si>
    <t>AÑO 7</t>
  </si>
  <si>
    <t>AÑO 8</t>
  </si>
  <si>
    <t>AÑO 9</t>
  </si>
  <si>
    <t>AÑO 10</t>
  </si>
  <si>
    <t>AÑO 11</t>
  </si>
  <si>
    <t>AÑO 12</t>
  </si>
  <si>
    <t>AÑO 13</t>
  </si>
  <si>
    <t>AÑO 14</t>
  </si>
  <si>
    <t>AÑO 15</t>
  </si>
  <si>
    <t>AÑO 16</t>
  </si>
  <si>
    <t>AÑO 17</t>
  </si>
  <si>
    <t>AÑO 18</t>
  </si>
  <si>
    <t>AÑO 19</t>
  </si>
  <si>
    <t>AÑO 20</t>
  </si>
  <si>
    <t>PLAN A</t>
  </si>
  <si>
    <t>PLAN B</t>
  </si>
  <si>
    <t>I3</t>
  </si>
  <si>
    <t>I8</t>
  </si>
  <si>
    <t>I7</t>
  </si>
  <si>
    <t>Costos</t>
  </si>
  <si>
    <t>Ingr. Final VR</t>
  </si>
  <si>
    <t>TASA=</t>
  </si>
  <si>
    <t>Inversiones</t>
  </si>
  <si>
    <t>FLUJO</t>
  </si>
  <si>
    <t>VAN PL B=</t>
  </si>
  <si>
    <t>TIR B=</t>
  </si>
  <si>
    <t>VAN PL A=</t>
  </si>
  <si>
    <t>TIR A=</t>
  </si>
  <si>
    <t>POR MÉTODO DE COSTO ANUAL EQUIVALENTE</t>
  </si>
  <si>
    <t>Vida Util</t>
  </si>
  <si>
    <t>DEFENSOR</t>
  </si>
  <si>
    <t>CAE=</t>
  </si>
  <si>
    <t>DESAFIANTE</t>
  </si>
  <si>
    <t>POR MÉTODO VAN IGUALANDO PERÍODO DE ANÁLISIS</t>
  </si>
  <si>
    <t>Valor merc.</t>
  </si>
  <si>
    <t>Ejercicio 2: Anualidad</t>
  </si>
  <si>
    <t>Una persona se gana el Quini. Le ofrecen $200 en efectivo o $50 por año durante 5 años. La tasa de descuento es del 10% anual. ¿Qué alternativa le conviene?</t>
  </si>
  <si>
    <t>EFECTIVO</t>
  </si>
  <si>
    <t>RTA</t>
  </si>
  <si>
    <t>CONVIENE EL EFECTIVO YA QUE ES MAYOR AL VP DE LA ANUALIDAD</t>
  </si>
  <si>
    <t>Ejercicio 3: Perpetuidad</t>
  </si>
  <si>
    <t>Determine: el valor presente de los pagos.</t>
  </si>
  <si>
    <t xml:space="preserve">El gobierno le quiere expropiar la casa y le ofrece un pago anual de por vida de $200. La tasa de descuento es del 5% anual.  </t>
  </si>
  <si>
    <t>Ejercicio 4: Perpetuidad</t>
  </si>
  <si>
    <t>Una persona quiere vender un auto que vale $100. La compradora le pregunta qué valor le gustaría recibir anualmente de ahora hasta el infinito para no pagarle el valor del auto en efectivo. La tasa de descuento es del 5% anual.</t>
  </si>
  <si>
    <t>Determine: ¿Qué valor le debe solicitar anualmente al comprador?</t>
  </si>
  <si>
    <t>VP=</t>
  </si>
  <si>
    <t>r=</t>
  </si>
  <si>
    <t>C=?</t>
  </si>
  <si>
    <t>chequeo</t>
  </si>
  <si>
    <t>Usted se encuentra tramitando un crédito. El banco le ofrece un crédito de $200.000, a pagar en un plazo de 12 meses con una tasa fija del 12% mensual con cuotas mensuales.</t>
  </si>
  <si>
    <t>a) Cuotas, capital a devolver, intereses pagados en cada mes y por el total del préstamo bajo los dos sistemas de Amortización.</t>
  </si>
  <si>
    <t>MES 1</t>
  </si>
  <si>
    <t>MES 2</t>
  </si>
  <si>
    <t>MES 3</t>
  </si>
  <si>
    <t>MES 4</t>
  </si>
  <si>
    <t>MES 5</t>
  </si>
  <si>
    <t>MES 6</t>
  </si>
  <si>
    <t>MES 7</t>
  </si>
  <si>
    <t>MES 8</t>
  </si>
  <si>
    <t>MES 9</t>
  </si>
  <si>
    <t>MES 10</t>
  </si>
  <si>
    <t>MES 11</t>
  </si>
  <si>
    <t>MES 12</t>
  </si>
  <si>
    <t>SALDO INICIAL</t>
  </si>
  <si>
    <t>AMORTIZACIÓN CAPITAL</t>
  </si>
  <si>
    <t>INTERESES</t>
  </si>
  <si>
    <t>SALDO FINAL</t>
  </si>
  <si>
    <t>TOTAL PAGADO</t>
  </si>
  <si>
    <t>b) A los 7 meses ud recibe un regalo que le permite adelantar cuotas puras, ¿le conviene cancelar el préstamo o no? Justifique.</t>
  </si>
  <si>
    <r>
      <t>e)</t>
    </r>
    <r>
      <rPr>
        <sz val="12"/>
        <color rgb="FF000000"/>
        <rFont val="Calibri"/>
        <family val="2"/>
        <scheme val="minor"/>
      </rPr>
      <t>Con la información adicional de que el banco le permite adelantar cuotas puras luego de la mitad de del plazo, ¿qué decisión tomaría entonces?</t>
    </r>
  </si>
  <si>
    <t>La empresa en la que usted trabaja esta evaluando adquirir una máquina que cuesta $2,000.000 para producir un bien que se vende en el mercado a $800 por unidad. La máquina le permitirá elaborar 2000 unidades anuales y la demanda está garantizada. El costo variable de producir cada unidad es de $400, mientras que el costo fijo se estima en $40.000 anuales. La vida útil de la máquina es de 6 años, al cabo de los cuales, tiene un valor residual del 10% del valor de compra.
Calcule el VAN del proyecto, teniendo en cuenta que la tasa de descuento es del 16%.</t>
  </si>
  <si>
    <t>En su empresa de piezas de hormigón prefabricadas, usted cuenta con una hormigonera que fue adquirida hace 3 años, a un precio de $1000, con una vida útil de 8 años y un valor residual de $200. Los gastos de operación de la máquina son de $600 anuales, en concepto de gastos de mantenimiento y de energía eléctrica.
Se la ha ofrecido la adquisición de una nueva hormigonera cuya particularidad es que ahorra considerablemente energía, y su mantenimiento es prácticamente nulo, por lo que se estima un costo de operación de $250 anuales. La nueva máquina cuesta $1500, su valor residual es de $300 y tiene una vida útil de 10 años. El vendedor le recibe su máquina actual en parte de pago a $400.
Como política de la empresa, las inversiones en equipos se ven justificadas a una tasa mínima de 15% anual
Determine qué le conviene hacer, mantener la máquina actual o cambiarla.</t>
  </si>
  <si>
    <t>Plan B</t>
  </si>
  <si>
    <t>ingresos</t>
  </si>
  <si>
    <t>costo</t>
  </si>
  <si>
    <t>inversion</t>
  </si>
  <si>
    <t xml:space="preserve">Van P= </t>
  </si>
  <si>
    <t>Plan A</t>
  </si>
  <si>
    <t>Van P=</t>
  </si>
  <si>
    <t xml:space="preserve">TIR A = </t>
  </si>
  <si>
    <t xml:space="preserve">n </t>
  </si>
  <si>
    <r>
      <rPr>
        <sz val="12"/>
        <color theme="1"/>
        <rFont val="+mj-lt"/>
      </rPr>
      <t>a)</t>
    </r>
    <r>
      <rPr>
        <sz val="12"/>
        <color rgb="FF000000"/>
        <rFont val="Calibri"/>
      </rPr>
      <t xml:space="preserve">La cuota que deberá pagar cada año por cada uno de los sistemas. </t>
    </r>
  </si>
  <si>
    <t>i</t>
  </si>
  <si>
    <r>
      <rPr>
        <sz val="12"/>
        <color theme="1"/>
        <rFont val="+mj-lt"/>
      </rPr>
      <t>b)</t>
    </r>
    <r>
      <rPr>
        <sz val="12"/>
        <color rgb="FF000000"/>
        <rFont val="Calibri"/>
      </rPr>
      <t xml:space="preserve">El monto total que habrá devuelto al banco al cabo del plazo definido, en cada uno de los sistemas. </t>
    </r>
  </si>
  <si>
    <r>
      <rPr>
        <sz val="12"/>
        <color theme="1"/>
        <rFont val="+mj-lt"/>
      </rPr>
      <t>c)</t>
    </r>
    <r>
      <rPr>
        <sz val="12"/>
        <color rgb="FF000000"/>
        <rFont val="Calibri"/>
      </rPr>
      <t>El monto de intereses que habrá pagado en cada uno de los sistemas, al cabo de los 20 años.</t>
    </r>
  </si>
  <si>
    <r>
      <rPr>
        <sz val="12"/>
        <color theme="1"/>
        <rFont val="+mj-lt"/>
      </rPr>
      <t>d)</t>
    </r>
    <r>
      <rPr>
        <sz val="12"/>
        <color rgb="FF000000"/>
        <rFont val="Calibri"/>
      </rPr>
      <t xml:space="preserve">Exprese que decisión tomaría. </t>
    </r>
  </si>
  <si>
    <t xml:space="preserve">A= </t>
  </si>
  <si>
    <r>
      <rPr>
        <sz val="12"/>
        <color theme="1"/>
        <rFont val="+mj-lt"/>
      </rPr>
      <t>e)</t>
    </r>
    <r>
      <rPr>
        <sz val="12"/>
        <color rgb="FF000000"/>
        <rFont val="Calibri"/>
      </rPr>
      <t>Con la información adicional de que el banco le permite adelantar cuotas puras luego de la mitad de del plazo, que decisión tomaría entonces?</t>
    </r>
  </si>
  <si>
    <t>SISTEMA FRANCES</t>
  </si>
  <si>
    <t>SISTEMA ALEMAN</t>
  </si>
  <si>
    <t>cuota</t>
  </si>
  <si>
    <t>saldo</t>
  </si>
  <si>
    <t>interes</t>
  </si>
  <si>
    <t>amortizacion</t>
  </si>
  <si>
    <t>Amortiz.</t>
  </si>
  <si>
    <t>interés</t>
  </si>
  <si>
    <t>año 7</t>
  </si>
  <si>
    <t>año 8</t>
  </si>
  <si>
    <t>año 9</t>
  </si>
  <si>
    <t>año 10</t>
  </si>
  <si>
    <t>año 11</t>
  </si>
  <si>
    <t>año 12</t>
  </si>
  <si>
    <t>año 13</t>
  </si>
  <si>
    <t>año 14</t>
  </si>
  <si>
    <t>año 15</t>
  </si>
  <si>
    <t>año 16</t>
  </si>
  <si>
    <t>año 17</t>
  </si>
  <si>
    <t>año 18</t>
  </si>
  <si>
    <t>año 19</t>
  </si>
  <si>
    <t>año 20</t>
  </si>
  <si>
    <t>Maquinaria</t>
  </si>
  <si>
    <t>PV</t>
  </si>
  <si>
    <t>Unidades</t>
  </si>
  <si>
    <t>anuales</t>
  </si>
  <si>
    <t>Valor Residual</t>
  </si>
  <si>
    <t>10% val compra</t>
  </si>
  <si>
    <t>van ?</t>
  </si>
  <si>
    <t>Interes</t>
  </si>
  <si>
    <t>Plan a</t>
  </si>
  <si>
    <t xml:space="preserve">VAN = </t>
  </si>
  <si>
    <t xml:space="preserve">TIR = </t>
  </si>
  <si>
    <t>VP =</t>
  </si>
  <si>
    <t>Una empresa se plantea la alternativa de presentarse a la licitación por una concesión de un nuevo sistema de transporte público</t>
  </si>
  <si>
    <t>El proyecto requiere la inversión de 100 ómnibus para operar durante 10 años</t>
  </si>
  <si>
    <t>Los ingresos en millones de pesos se estiman en:</t>
  </si>
  <si>
    <t>Año 1=</t>
  </si>
  <si>
    <t>Año 6=</t>
  </si>
  <si>
    <t>Año 2=</t>
  </si>
  <si>
    <t>Año 7=</t>
  </si>
  <si>
    <t>Año 3=</t>
  </si>
  <si>
    <t>Año 8=</t>
  </si>
  <si>
    <t>Año 4=</t>
  </si>
  <si>
    <t>Año 9=</t>
  </si>
  <si>
    <t>Año 5=</t>
  </si>
  <si>
    <t>Año 10=</t>
  </si>
  <si>
    <t>Las inversiones y costos son:</t>
  </si>
  <si>
    <t>Inversión en ómnibus=</t>
  </si>
  <si>
    <t>por unidad</t>
  </si>
  <si>
    <t>Mantenimiento y operación=</t>
  </si>
  <si>
    <t>por unidad-por año</t>
  </si>
  <si>
    <t>Reparaciones extraordinarias=</t>
  </si>
  <si>
    <t>por unidad en el año 5</t>
  </si>
  <si>
    <t>Considere el valor residual en el año 10 de $0</t>
  </si>
  <si>
    <t xml:space="preserve">Tasa de descuento = </t>
  </si>
  <si>
    <t>Determine la VAN y TIR del proyecto</t>
  </si>
  <si>
    <t>Usted solicita un credito y se le es otorgado, por un monto de 200000$ una tasa de 60% anual, a pagar en un plazo de 5 años. Determine, aplicando el metodo aleman y el metodo frances, el monto de las cuotas que deberá pagar en cada año</t>
  </si>
  <si>
    <t>P</t>
  </si>
  <si>
    <t>Usted solicita un credito y se le es otorgado, por un monto de 100000$ una tasa de 2% anual, a pagar en un plazo de 5 años. Determine, aplicando el metodo aleman y el metodo frances, el monto de las cuotas que deberá pagar en cada año</t>
  </si>
  <si>
    <t>200/5%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</si>
</sst>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8" formatCode="&quot;$&quot;\ #,##0.00;[Red]\-&quot;$&quot;\ #,##0.00"/>
    <numFmt numFmtId="44" formatCode="_-&quot;$&quot;\ * #,##0.00_-;\-&quot;$&quot;\ * #,##0.00_-;_-&quot;$&quot;\ * &quot;-&quot;??_-;_-@_-"/>
    <numFmt numFmtId="164" formatCode="_-&quot;$&quot;\ * #,##0_-;\-&quot;$&quot;\ * #,##0_-;_-&quot;$&quot;\ * &quot;-&quot;??_-;_-@_-"/>
    <numFmt numFmtId="165" formatCode="0.0%"/>
    <numFmt numFmtId="166" formatCode="0.000%"/>
    <numFmt numFmtId="167" formatCode="_-&quot;$&quot;\ * #,##0.000_-;\-&quot;$&quot;\ * #,##0.000_-;_-&quot;$&quot;\ * &quot;-&quot;??_-;_-@_-"/>
    <numFmt numFmtId="168" formatCode="_-&quot;$&quot;\ * #,##0.00_-;\-&quot;$&quot;\ * #,##0.00_-;_-&quot;$&quot;\ * &quot;-&quot;??_-;_-@"/>
    <numFmt numFmtId="169" formatCode="[$$]#,##0.00"/>
    <numFmt numFmtId="170" formatCode="_-&quot;$&quot;\ * #,##0_-;\-&quot;$&quot;\ * #,##0_-;_-&quot;$&quot;\ * &quot;-&quot;??_-;_-@"/>
  </numFmts>
  <fonts count="3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2"/>
      <name val="Arial"/>
      <family val="2"/>
    </font>
    <font>
      <sz val="9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+mj-lt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22"/>
      <color theme="0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1"/>
      <color theme="1"/>
      <name val="Calibri"/>
    </font>
    <font>
      <sz val="11"/>
      <color rgb="FFFFFFFF"/>
      <name val="Calibri"/>
    </font>
    <font>
      <b/>
      <sz val="11"/>
      <color theme="1"/>
      <name val="Calibri"/>
    </font>
    <font>
      <sz val="11"/>
      <color theme="0"/>
      <name val="Calibri"/>
    </font>
    <font>
      <sz val="12"/>
      <color rgb="FF000000"/>
      <name val="Calibri"/>
    </font>
    <font>
      <sz val="14"/>
      <color theme="1"/>
      <name val="Calibri"/>
    </font>
    <font>
      <sz val="11"/>
      <color rgb="FF000000"/>
      <name val="Inconsolata"/>
    </font>
    <font>
      <b/>
      <sz val="11"/>
      <color theme="0"/>
      <name val="Calibri"/>
    </font>
    <font>
      <sz val="12"/>
      <color theme="1"/>
      <name val="Calibri"/>
    </font>
    <font>
      <b/>
      <sz val="14"/>
      <color theme="1"/>
      <name val="Calibri"/>
    </font>
    <font>
      <sz val="11"/>
      <name val="Arial"/>
    </font>
  </fonts>
  <fills count="16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ED7D31"/>
        <bgColor rgb="FFED7D31"/>
      </patternFill>
    </fill>
    <fill>
      <patternFill patternType="solid">
        <fgColor theme="5"/>
        <bgColor theme="5"/>
      </patternFill>
    </fill>
    <fill>
      <patternFill patternType="solid">
        <fgColor rgb="FFFFFFFF"/>
        <bgColor rgb="FFFFFFFF"/>
      </patternFill>
    </fill>
    <fill>
      <patternFill patternType="solid">
        <fgColor theme="7"/>
        <bgColor theme="7"/>
      </patternFill>
    </fill>
    <fill>
      <patternFill patternType="solid">
        <fgColor theme="0"/>
        <bgColor theme="0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8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0" borderId="0"/>
    <xf numFmtId="0" fontId="4" fillId="6" borderId="0" applyNumberFormat="0" applyBorder="0" applyAlignment="0" applyProtection="0"/>
  </cellStyleXfs>
  <cellXfs count="105">
    <xf numFmtId="0" fontId="0" fillId="0" borderId="0" xfId="0"/>
    <xf numFmtId="0" fontId="0" fillId="0" borderId="0" xfId="0" applyAlignment="1">
      <alignment horizontal="left" wrapText="1"/>
    </xf>
    <xf numFmtId="0" fontId="0" fillId="0" borderId="0" xfId="0" applyAlignment="1">
      <alignment horizontal="center"/>
    </xf>
    <xf numFmtId="164" fontId="0" fillId="0" borderId="0" xfId="1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64" fontId="3" fillId="0" borderId="0" xfId="1" applyNumberFormat="1" applyFont="1" applyAlignment="1">
      <alignment horizontal="center"/>
    </xf>
    <xf numFmtId="44" fontId="0" fillId="0" borderId="0" xfId="1" applyFont="1"/>
    <xf numFmtId="164" fontId="0" fillId="0" borderId="0" xfId="1" applyNumberFormat="1" applyFont="1"/>
    <xf numFmtId="44" fontId="3" fillId="0" borderId="0" xfId="1" applyFont="1" applyAlignment="1">
      <alignment horizontal="center"/>
    </xf>
    <xf numFmtId="164" fontId="7" fillId="0" borderId="0" xfId="1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44" fontId="3" fillId="0" borderId="0" xfId="0" applyNumberFormat="1" applyFont="1" applyAlignment="1">
      <alignment horizontal="center"/>
    </xf>
    <xf numFmtId="44" fontId="8" fillId="0" borderId="0" xfId="0" applyNumberFormat="1" applyFont="1" applyAlignment="1">
      <alignment horizontal="center"/>
    </xf>
    <xf numFmtId="44" fontId="3" fillId="0" borderId="0" xfId="1" applyFont="1"/>
    <xf numFmtId="44" fontId="0" fillId="5" borderId="0" xfId="1" applyFont="1" applyFill="1"/>
    <xf numFmtId="0" fontId="9" fillId="0" borderId="0" xfId="0" applyFont="1"/>
    <xf numFmtId="44" fontId="9" fillId="0" borderId="0" xfId="0" applyNumberFormat="1" applyFont="1" applyAlignment="1">
      <alignment horizontal="center"/>
    </xf>
    <xf numFmtId="9" fontId="3" fillId="5" borderId="0" xfId="2" applyFont="1" applyFill="1" applyAlignment="1">
      <alignment horizontal="center"/>
    </xf>
    <xf numFmtId="0" fontId="6" fillId="0" borderId="0" xfId="6" applyFont="1" applyAlignment="1">
      <alignment horizontal="left" vertical="center" wrapText="1"/>
    </xf>
    <xf numFmtId="0" fontId="4" fillId="4" borderId="0" xfId="5" applyAlignment="1">
      <alignment horizontal="left" vertical="center" wrapText="1"/>
    </xf>
    <xf numFmtId="0" fontId="4" fillId="4" borderId="0" xfId="5"/>
    <xf numFmtId="0" fontId="4" fillId="2" borderId="0" xfId="3"/>
    <xf numFmtId="0" fontId="4" fillId="3" borderId="0" xfId="4"/>
    <xf numFmtId="0" fontId="2" fillId="3" borderId="0" xfId="4" applyFont="1"/>
    <xf numFmtId="0" fontId="10" fillId="0" borderId="0" xfId="0" applyFont="1" applyAlignment="1">
      <alignment horizontal="left" vertical="center" readingOrder="1"/>
    </xf>
    <xf numFmtId="0" fontId="11" fillId="0" borderId="0" xfId="0" applyFont="1" applyAlignment="1">
      <alignment horizontal="left" vertical="center" readingOrder="1"/>
    </xf>
    <xf numFmtId="0" fontId="12" fillId="0" borderId="0" xfId="0" applyFont="1" applyAlignment="1">
      <alignment horizontal="left" vertical="center" indent="5" readingOrder="1"/>
    </xf>
    <xf numFmtId="0" fontId="13" fillId="0" borderId="0" xfId="0" applyFont="1" applyAlignment="1">
      <alignment horizontal="left" vertical="center" readingOrder="1"/>
    </xf>
    <xf numFmtId="0" fontId="15" fillId="0" borderId="0" xfId="0" applyFont="1"/>
    <xf numFmtId="44" fontId="15" fillId="0" borderId="0" xfId="1" applyFont="1"/>
    <xf numFmtId="44" fontId="15" fillId="0" borderId="0" xfId="0" applyNumberFormat="1" applyFont="1"/>
    <xf numFmtId="165" fontId="15" fillId="0" borderId="0" xfId="2" applyNumberFormat="1" applyFont="1"/>
    <xf numFmtId="44" fontId="0" fillId="0" borderId="0" xfId="0" applyNumberFormat="1"/>
    <xf numFmtId="9" fontId="0" fillId="0" borderId="0" xfId="2" applyFont="1"/>
    <xf numFmtId="44" fontId="0" fillId="7" borderId="0" xfId="0" applyNumberFormat="1" applyFill="1"/>
    <xf numFmtId="0" fontId="14" fillId="0" borderId="0" xfId="0" applyFont="1"/>
    <xf numFmtId="9" fontId="14" fillId="0" borderId="0" xfId="2" applyFont="1"/>
    <xf numFmtId="164" fontId="15" fillId="0" borderId="0" xfId="0" applyNumberFormat="1" applyFont="1" applyAlignment="1">
      <alignment horizontal="right"/>
    </xf>
    <xf numFmtId="164" fontId="15" fillId="0" borderId="0" xfId="0" applyNumberFormat="1" applyFont="1"/>
    <xf numFmtId="44" fontId="17" fillId="0" borderId="0" xfId="0" applyNumberFormat="1" applyFont="1"/>
    <xf numFmtId="164" fontId="17" fillId="0" borderId="0" xfId="1" applyNumberFormat="1" applyFont="1"/>
    <xf numFmtId="164" fontId="15" fillId="0" borderId="0" xfId="1" applyNumberFormat="1" applyFont="1"/>
    <xf numFmtId="0" fontId="18" fillId="6" borderId="0" xfId="7" applyFont="1"/>
    <xf numFmtId="164" fontId="18" fillId="6" borderId="0" xfId="7" applyNumberFormat="1" applyFont="1"/>
    <xf numFmtId="0" fontId="19" fillId="0" borderId="0" xfId="0" applyFont="1"/>
    <xf numFmtId="8" fontId="19" fillId="0" borderId="0" xfId="0" applyNumberFormat="1" applyFont="1"/>
    <xf numFmtId="166" fontId="19" fillId="0" borderId="0" xfId="0" applyNumberFormat="1" applyFont="1"/>
    <xf numFmtId="8" fontId="0" fillId="0" borderId="0" xfId="0" applyNumberFormat="1"/>
    <xf numFmtId="0" fontId="3" fillId="0" borderId="0" xfId="0" applyFont="1"/>
    <xf numFmtId="0" fontId="21" fillId="0" borderId="0" xfId="0" applyFont="1"/>
    <xf numFmtId="0" fontId="20" fillId="0" borderId="1" xfId="0" applyFont="1" applyBorder="1"/>
    <xf numFmtId="8" fontId="15" fillId="0" borderId="0" xfId="0" applyNumberFormat="1" applyFont="1"/>
    <xf numFmtId="167" fontId="9" fillId="0" borderId="0" xfId="0" applyNumberFormat="1" applyFont="1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0" xfId="0" applyFont="1"/>
    <xf numFmtId="165" fontId="0" fillId="0" borderId="0" xfId="2" applyNumberFormat="1" applyFont="1"/>
    <xf numFmtId="9" fontId="0" fillId="0" borderId="0" xfId="0" applyNumberFormat="1"/>
    <xf numFmtId="0" fontId="0" fillId="7" borderId="0" xfId="0" applyFill="1"/>
    <xf numFmtId="44" fontId="0" fillId="7" borderId="0" xfId="1" applyFont="1" applyFill="1"/>
    <xf numFmtId="44" fontId="16" fillId="7" borderId="0" xfId="1" applyFont="1" applyFill="1"/>
    <xf numFmtId="0" fontId="14" fillId="0" borderId="0" xfId="0" applyFont="1" applyAlignment="1">
      <alignment horizontal="center"/>
    </xf>
    <xf numFmtId="44" fontId="0" fillId="8" borderId="0" xfId="0" applyNumberFormat="1" applyFill="1"/>
    <xf numFmtId="44" fontId="0" fillId="8" borderId="0" xfId="1" applyFont="1" applyFill="1"/>
    <xf numFmtId="44" fontId="0" fillId="0" borderId="0" xfId="0" applyNumberFormat="1" applyFill="1"/>
    <xf numFmtId="44" fontId="0" fillId="9" borderId="0" xfId="0" applyNumberFormat="1" applyFill="1"/>
    <xf numFmtId="44" fontId="0" fillId="10" borderId="0" xfId="0" applyNumberFormat="1" applyFill="1"/>
    <xf numFmtId="0" fontId="22" fillId="0" borderId="0" xfId="0" applyFont="1"/>
    <xf numFmtId="0" fontId="23" fillId="11" borderId="0" xfId="0" applyFont="1" applyFill="1"/>
    <xf numFmtId="168" fontId="22" fillId="0" borderId="0" xfId="0" applyNumberFormat="1" applyFont="1"/>
    <xf numFmtId="0" fontId="24" fillId="0" borderId="0" xfId="0" applyFont="1"/>
    <xf numFmtId="9" fontId="24" fillId="0" borderId="0" xfId="0" applyNumberFormat="1" applyFont="1"/>
    <xf numFmtId="0" fontId="22" fillId="0" borderId="2" xfId="0" applyFont="1" applyBorder="1"/>
    <xf numFmtId="0" fontId="22" fillId="0" borderId="3" xfId="0" applyFont="1" applyBorder="1"/>
    <xf numFmtId="0" fontId="22" fillId="0" borderId="4" xfId="0" applyFont="1" applyBorder="1"/>
    <xf numFmtId="0" fontId="22" fillId="0" borderId="5" xfId="0" applyFont="1" applyBorder="1"/>
    <xf numFmtId="0" fontId="22" fillId="0" borderId="6" xfId="0" applyFont="1" applyBorder="1"/>
    <xf numFmtId="0" fontId="22" fillId="0" borderId="7" xfId="0" applyFont="1" applyBorder="1"/>
    <xf numFmtId="0" fontId="22" fillId="0" borderId="8" xfId="0" applyFont="1" applyBorder="1"/>
    <xf numFmtId="0" fontId="22" fillId="0" borderId="9" xfId="0" applyFont="1" applyBorder="1"/>
    <xf numFmtId="0" fontId="22" fillId="0" borderId="10" xfId="0" applyFont="1" applyBorder="1"/>
    <xf numFmtId="2" fontId="22" fillId="0" borderId="10" xfId="0" applyNumberFormat="1" applyFont="1" applyBorder="1"/>
    <xf numFmtId="2" fontId="22" fillId="0" borderId="0" xfId="0" applyNumberFormat="1" applyFont="1"/>
    <xf numFmtId="9" fontId="22" fillId="0" borderId="0" xfId="0" applyNumberFormat="1" applyFont="1"/>
    <xf numFmtId="0" fontId="25" fillId="12" borderId="0" xfId="0" applyFont="1" applyFill="1"/>
    <xf numFmtId="0" fontId="26" fillId="0" borderId="0" xfId="0" applyFont="1" applyAlignment="1">
      <alignment horizontal="left" vertical="center" readingOrder="1"/>
    </xf>
    <xf numFmtId="0" fontId="22" fillId="0" borderId="0" xfId="0" applyFont="1" applyAlignment="1">
      <alignment horizontal="left" wrapText="1"/>
    </xf>
    <xf numFmtId="0" fontId="12" fillId="0" borderId="0" xfId="0" applyFont="1" applyAlignment="1">
      <alignment horizontal="left" vertical="center" readingOrder="1"/>
    </xf>
    <xf numFmtId="0" fontId="22" fillId="0" borderId="0" xfId="0" applyFont="1" applyAlignment="1">
      <alignment horizontal="center"/>
    </xf>
    <xf numFmtId="0" fontId="27" fillId="0" borderId="0" xfId="0" applyFont="1"/>
    <xf numFmtId="9" fontId="22" fillId="0" borderId="0" xfId="0" applyNumberFormat="1" applyFont="1" applyAlignment="1">
      <alignment horizontal="center"/>
    </xf>
    <xf numFmtId="169" fontId="28" fillId="13" borderId="0" xfId="0" applyNumberFormat="1" applyFont="1" applyFill="1"/>
    <xf numFmtId="2" fontId="22" fillId="0" borderId="0" xfId="0" applyNumberFormat="1" applyFont="1" applyAlignment="1">
      <alignment horizontal="center"/>
    </xf>
    <xf numFmtId="0" fontId="29" fillId="14" borderId="0" xfId="0" applyFont="1" applyFill="1"/>
    <xf numFmtId="0" fontId="25" fillId="14" borderId="0" xfId="0" applyFont="1" applyFill="1"/>
    <xf numFmtId="0" fontId="30" fillId="0" borderId="0" xfId="0" applyFont="1"/>
    <xf numFmtId="0" fontId="30" fillId="0" borderId="0" xfId="0" applyFont="1" applyAlignment="1">
      <alignment horizontal="center"/>
    </xf>
    <xf numFmtId="170" fontId="30" fillId="0" borderId="0" xfId="0" applyNumberFormat="1" applyFont="1"/>
    <xf numFmtId="9" fontId="30" fillId="0" borderId="0" xfId="0" applyNumberFormat="1" applyFont="1"/>
    <xf numFmtId="0" fontId="0" fillId="0" borderId="0" xfId="0" applyAlignment="1">
      <alignment horizontal="left" wrapText="1"/>
    </xf>
    <xf numFmtId="0" fontId="14" fillId="0" borderId="0" xfId="0" applyFont="1" applyAlignment="1">
      <alignment horizontal="center"/>
    </xf>
    <xf numFmtId="0" fontId="31" fillId="15" borderId="0" xfId="0" applyFont="1" applyFill="1" applyAlignment="1">
      <alignment horizontal="left" vertical="center" wrapText="1"/>
    </xf>
    <xf numFmtId="0" fontId="32" fillId="0" borderId="0" xfId="0" applyFont="1"/>
    <xf numFmtId="0" fontId="0" fillId="0" borderId="0" xfId="0"/>
    <xf numFmtId="0" fontId="11" fillId="0" borderId="0" xfId="0" applyFont="1" applyAlignment="1">
      <alignment vertical="center" wrapText="1" readingOrder="1"/>
    </xf>
    <xf numFmtId="0" fontId="6" fillId="0" borderId="0" xfId="6" applyFont="1" applyAlignment="1">
      <alignment horizontal="left" vertical="center" wrapText="1"/>
    </xf>
  </cellXfs>
  <cellStyles count="8">
    <cellStyle name="Énfasis1" xfId="7" builtinId="29"/>
    <cellStyle name="Énfasis2" xfId="3" builtinId="33"/>
    <cellStyle name="Énfasis4" xfId="4" builtinId="41"/>
    <cellStyle name="Énfasis5" xfId="5" builtinId="45"/>
    <cellStyle name="Moneda" xfId="1" builtinId="4"/>
    <cellStyle name="Normal" xfId="0" builtinId="0"/>
    <cellStyle name="Normal 3" xfId="6" xr:uid="{00000000-0005-0000-0000-000006000000}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4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3.png"/><Relationship Id="rId1" Type="http://schemas.openxmlformats.org/officeDocument/2006/relationships/image" Target="../media/image12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png"/><Relationship Id="rId2" Type="http://schemas.openxmlformats.org/officeDocument/2006/relationships/image" Target="../media/image12.png"/><Relationship Id="rId1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276225</xdr:colOff>
      <xdr:row>9</xdr:row>
      <xdr:rowOff>152399</xdr:rowOff>
    </xdr:from>
    <xdr:to>
      <xdr:col>3</xdr:col>
      <xdr:colOff>704654</xdr:colOff>
      <xdr:row>15</xdr:row>
      <xdr:rowOff>12914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6225" y="1943099"/>
          <a:ext cx="2714429" cy="124164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66674</xdr:colOff>
      <xdr:row>16</xdr:row>
      <xdr:rowOff>28575</xdr:rowOff>
    </xdr:from>
    <xdr:to>
      <xdr:col>3</xdr:col>
      <xdr:colOff>434457</xdr:colOff>
      <xdr:row>24</xdr:row>
      <xdr:rowOff>9525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3076575"/>
          <a:ext cx="2272783" cy="1504950"/>
        </a:xfrm>
        <a:prstGeom prst="rect">
          <a:avLst/>
        </a:prstGeom>
      </xdr:spPr>
    </xdr:pic>
    <xdr:clientData/>
  </xdr:twoCellAnchor>
  <xdr:oneCellAnchor>
    <xdr:from>
      <xdr:col>1</xdr:col>
      <xdr:colOff>19050</xdr:colOff>
      <xdr:row>95</xdr:row>
      <xdr:rowOff>190500</xdr:rowOff>
    </xdr:from>
    <xdr:ext cx="5734050" cy="1762125"/>
    <xdr:pic>
      <xdr:nvPicPr>
        <xdr:cNvPr id="3" name="image2.png" title="Imagen">
          <a:extLst>
            <a:ext uri="{FF2B5EF4-FFF2-40B4-BE49-F238E27FC236}">
              <a16:creationId xmlns:a16="http://schemas.microsoft.com/office/drawing/2014/main" id="{5EFC7BD5-6E06-4CF4-87FD-BE68E272A709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9050" y="17697450"/>
          <a:ext cx="5734050" cy="1762125"/>
        </a:xfrm>
        <a:prstGeom prst="rect">
          <a:avLst/>
        </a:prstGeom>
        <a:noFill/>
      </xdr:spPr>
    </xdr:pic>
    <xdr:clientData fLocksWithSheet="0"/>
  </xdr:oneCellAnchor>
  <xdr:oneCellAnchor>
    <xdr:from>
      <xdr:col>12</xdr:col>
      <xdr:colOff>361951</xdr:colOff>
      <xdr:row>1</xdr:row>
      <xdr:rowOff>152400</xdr:rowOff>
    </xdr:from>
    <xdr:ext cx="2733674" cy="2781300"/>
    <xdr:pic>
      <xdr:nvPicPr>
        <xdr:cNvPr id="4" name="image3.png">
          <a:extLst>
            <a:ext uri="{FF2B5EF4-FFF2-40B4-BE49-F238E27FC236}">
              <a16:creationId xmlns:a16="http://schemas.microsoft.com/office/drawing/2014/main" id="{10794C2B-34FC-4B19-9B87-726AE8E218E1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2106276" y="342900"/>
          <a:ext cx="2733674" cy="2781300"/>
        </a:xfrm>
        <a:prstGeom prst="rect">
          <a:avLst/>
        </a:prstGeom>
        <a:noFill/>
      </xdr:spPr>
    </xdr:pic>
    <xdr:clientData fLocksWithSheet="0"/>
  </xdr:oneCellAnchor>
  <xdr:oneCellAnchor>
    <xdr:from>
      <xdr:col>16</xdr:col>
      <xdr:colOff>285750</xdr:colOff>
      <xdr:row>1</xdr:row>
      <xdr:rowOff>171450</xdr:rowOff>
    </xdr:from>
    <xdr:ext cx="2524125" cy="2800350"/>
    <xdr:pic>
      <xdr:nvPicPr>
        <xdr:cNvPr id="6" name="image10.png">
          <a:extLst>
            <a:ext uri="{FF2B5EF4-FFF2-40B4-BE49-F238E27FC236}">
              <a16:creationId xmlns:a16="http://schemas.microsoft.com/office/drawing/2014/main" id="{3999BD65-1DF5-4C06-B405-5DB5E8FEBA7C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15259050" y="361950"/>
          <a:ext cx="2524125" cy="2800350"/>
        </a:xfrm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209550</xdr:colOff>
      <xdr:row>3</xdr:row>
      <xdr:rowOff>85725</xdr:rowOff>
    </xdr:from>
    <xdr:to>
      <xdr:col>18</xdr:col>
      <xdr:colOff>676275</xdr:colOff>
      <xdr:row>8</xdr:row>
      <xdr:rowOff>152400</xdr:rowOff>
    </xdr:to>
    <xdr:pic>
      <xdr:nvPicPr>
        <xdr:cNvPr id="4" name="image6.png">
          <a:extLst>
            <a:ext uri="{FF2B5EF4-FFF2-40B4-BE49-F238E27FC236}">
              <a16:creationId xmlns:a16="http://schemas.microsoft.com/office/drawing/2014/main" id="{F5EBCF4E-6772-4BB5-A544-BC5CF15776FF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01550" y="657225"/>
          <a:ext cx="1990725" cy="1019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  <xdr:twoCellAnchor editAs="oneCell">
    <xdr:from>
      <xdr:col>0</xdr:col>
      <xdr:colOff>0</xdr:colOff>
      <xdr:row>10</xdr:row>
      <xdr:rowOff>152400</xdr:rowOff>
    </xdr:from>
    <xdr:to>
      <xdr:col>22</xdr:col>
      <xdr:colOff>239812</xdr:colOff>
      <xdr:row>39</xdr:row>
      <xdr:rowOff>19050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B768E755-12FE-4492-B066-7CEA6C7166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057400"/>
          <a:ext cx="17003812" cy="5391150"/>
        </a:xfrm>
        <a:prstGeom prst="rect">
          <a:avLst/>
        </a:prstGeom>
      </xdr:spPr>
    </xdr:pic>
    <xdr:clientData/>
  </xdr:twoCellAnchor>
  <xdr:oneCellAnchor>
    <xdr:from>
      <xdr:col>0</xdr:col>
      <xdr:colOff>581025</xdr:colOff>
      <xdr:row>41</xdr:row>
      <xdr:rowOff>28575</xdr:rowOff>
    </xdr:from>
    <xdr:ext cx="2219325" cy="1581150"/>
    <xdr:pic>
      <xdr:nvPicPr>
        <xdr:cNvPr id="6" name="image8.png" title="Imagen">
          <a:extLst>
            <a:ext uri="{FF2B5EF4-FFF2-40B4-BE49-F238E27FC236}">
              <a16:creationId xmlns:a16="http://schemas.microsoft.com/office/drawing/2014/main" id="{4FA2322E-367C-49D0-A452-E7D99B22E286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581025" y="7839075"/>
          <a:ext cx="2219325" cy="1581150"/>
        </a:xfrm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95250</xdr:colOff>
      <xdr:row>3</xdr:row>
      <xdr:rowOff>114300</xdr:rowOff>
    </xdr:from>
    <xdr:ext cx="2705100" cy="1076325"/>
    <xdr:pic>
      <xdr:nvPicPr>
        <xdr:cNvPr id="8" name="image6.png">
          <a:extLst>
            <a:ext uri="{FF2B5EF4-FFF2-40B4-BE49-F238E27FC236}">
              <a16:creationId xmlns:a16="http://schemas.microsoft.com/office/drawing/2014/main" id="{2746EA9D-415F-4A40-A604-4433833F3DF1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153400" y="495300"/>
          <a:ext cx="2705100" cy="1076325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1</xdr:col>
      <xdr:colOff>114300</xdr:colOff>
      <xdr:row>9</xdr:row>
      <xdr:rowOff>133350</xdr:rowOff>
    </xdr:from>
    <xdr:to>
      <xdr:col>12</xdr:col>
      <xdr:colOff>28575</xdr:colOff>
      <xdr:row>16</xdr:row>
      <xdr:rowOff>139827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DE8D037F-7BD1-47A7-A82A-CE9C84A8F35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523" t="3718" r="3007" b="29340"/>
        <a:stretch/>
      </xdr:blipFill>
      <xdr:spPr>
        <a:xfrm>
          <a:off x="876300" y="1847850"/>
          <a:ext cx="8296275" cy="1339977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</xdr:colOff>
      <xdr:row>18</xdr:row>
      <xdr:rowOff>85725</xdr:rowOff>
    </xdr:from>
    <xdr:to>
      <xdr:col>19</xdr:col>
      <xdr:colOff>366572</xdr:colOff>
      <xdr:row>33</xdr:row>
      <xdr:rowOff>152400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AA1D955A-0815-41C3-91C9-AC023007F3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00100" y="3514725"/>
          <a:ext cx="14044472" cy="292417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66674</xdr:colOff>
      <xdr:row>13</xdr:row>
      <xdr:rowOff>28575</xdr:rowOff>
    </xdr:from>
    <xdr:to>
      <xdr:col>3</xdr:col>
      <xdr:colOff>320157</xdr:colOff>
      <xdr:row>21</xdr:row>
      <xdr:rowOff>9525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3076575"/>
          <a:ext cx="2329933" cy="145415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742950</xdr:colOff>
      <xdr:row>15</xdr:row>
      <xdr:rowOff>19050</xdr:rowOff>
    </xdr:from>
    <xdr:to>
      <xdr:col>14</xdr:col>
      <xdr:colOff>495460</xdr:colOff>
      <xdr:row>18</xdr:row>
      <xdr:rowOff>63937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14">
              <a:extLst>
                <a:ext uri="{FF2B5EF4-FFF2-40B4-BE49-F238E27FC236}">
                  <a16:creationId xmlns:a16="http://schemas.microsoft.com/office/drawing/2014/main" id="{00000000-0008-0000-0800-000003000000}"/>
                </a:ext>
              </a:extLst>
            </xdr:cNvPr>
            <xdr:cNvSpPr txBox="1"/>
          </xdr:nvSpPr>
          <xdr:spPr>
            <a:xfrm>
              <a:off x="8362950" y="5172075"/>
              <a:ext cx="2800510" cy="616387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s-A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b="0" i="1">
                        <a:latin typeface="Cambria Math" panose="02040503050406030204" pitchFamily="18" charset="0"/>
                      </a:rPr>
                      <m:t>𝐶𝐴𝐸</m:t>
                    </m:r>
                    <m:r>
                      <a:rPr lang="es-AR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AR" b="0" i="1">
                        <a:latin typeface="Cambria Math" panose="02040503050406030204" pitchFamily="18" charset="0"/>
                      </a:rPr>
                      <m:t>𝑉𝐴𝑁</m:t>
                    </m:r>
                    <m:r>
                      <a:rPr lang="es-AR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</m:t>
                    </m:r>
                    <m:d>
                      <m:dPr>
                        <m:begChr m:val="["/>
                        <m:endChr m:val="]"/>
                        <m:ctrlPr>
                          <a:rPr lang="es-AR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s-AR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es-AR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s-AR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(1+</m:t>
                                </m:r>
                                <m:r>
                                  <a:rPr lang="es-AR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𝑖</m:t>
                                </m:r>
                                <m:r>
                                  <a:rPr lang="es-AR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)</m:t>
                                </m:r>
                              </m:e>
                              <m:sup>
                                <m:r>
                                  <a:rPr lang="es-AR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𝑛</m:t>
                                </m:r>
                              </m:sup>
                            </m:sSup>
                            <m:r>
                              <a:rPr lang="es-AR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×</m:t>
                            </m:r>
                            <m:r>
                              <a:rPr lang="es-AR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𝑖</m:t>
                            </m:r>
                          </m:num>
                          <m:den>
                            <m:sSup>
                              <m:sSupPr>
                                <m:ctrlPr>
                                  <a:rPr lang="es-AR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s-AR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(</m:t>
                                </m:r>
                                <m:r>
                                  <a:rPr lang="es-AR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1</m:t>
                                </m:r>
                                <m:r>
                                  <a:rPr lang="es-AR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+</m:t>
                                </m:r>
                                <m:r>
                                  <a:rPr lang="es-AR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𝑖</m:t>
                                </m:r>
                                <m:r>
                                  <a:rPr lang="es-AR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)</m:t>
                                </m:r>
                              </m:e>
                              <m:sup>
                                <m:r>
                                  <a:rPr lang="es-AR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𝑛</m:t>
                                </m:r>
                              </m:sup>
                            </m:sSup>
                            <m:r>
                              <a:rPr lang="es-AR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−1</m:t>
                            </m:r>
                          </m:den>
                        </m:f>
                      </m:e>
                    </m:d>
                  </m:oMath>
                </m:oMathPara>
              </a14:m>
              <a:endParaRPr lang="es-AR"/>
            </a:p>
          </xdr:txBody>
        </xdr:sp>
      </mc:Choice>
      <mc:Fallback xmlns="">
        <xdr:sp macro="" textlink="">
          <xdr:nvSpPr>
            <xdr:cNvPr id="3" name="CuadroTexto 14"/>
            <xdr:cNvSpPr txBox="1"/>
          </xdr:nvSpPr>
          <xdr:spPr>
            <a:xfrm>
              <a:off x="8362950" y="5172075"/>
              <a:ext cx="2800510" cy="616387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s-A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s-AR" b="0" i="0">
                  <a:latin typeface="Cambria Math" panose="02040503050406030204" pitchFamily="18" charset="0"/>
                </a:rPr>
                <a:t>𝐶𝐴𝐸=𝑉𝐴𝑁</a:t>
              </a:r>
              <a:r>
                <a:rPr lang="es-AR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×[(〖(1+𝑖)〗^𝑛×𝑖)/(〖(</a:t>
              </a:r>
              <a:r>
                <a:rPr lang="es-AR" i="0">
                  <a:latin typeface="Cambria Math" panose="02040503050406030204" pitchFamily="18" charset="0"/>
                  <a:ea typeface="Cambria Math" panose="02040503050406030204" pitchFamily="18" charset="0"/>
                </a:rPr>
                <a:t>1</a:t>
              </a:r>
              <a:r>
                <a:rPr lang="es-AR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+𝑖)〗^𝑛−1)]</a:t>
              </a:r>
              <a:endParaRPr lang="es-AR"/>
            </a:p>
          </xdr:txBody>
        </xdr:sp>
      </mc:Fallback>
    </mc:AlternateContent>
    <xdr:clientData/>
  </xdr:twoCellAnchor>
  <xdr:twoCellAnchor editAs="oneCell">
    <xdr:from>
      <xdr:col>13</xdr:col>
      <xdr:colOff>142875</xdr:colOff>
      <xdr:row>3</xdr:row>
      <xdr:rowOff>876300</xdr:rowOff>
    </xdr:from>
    <xdr:to>
      <xdr:col>16</xdr:col>
      <xdr:colOff>743353</xdr:colOff>
      <xdr:row>9</xdr:row>
      <xdr:rowOff>38318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DDA35B8-2EE5-4A5B-AE72-FD77366264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48875" y="1447800"/>
          <a:ext cx="2886478" cy="1562318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775607</xdr:colOff>
      <xdr:row>14</xdr:row>
      <xdr:rowOff>13606</xdr:rowOff>
    </xdr:from>
    <xdr:to>
      <xdr:col>12</xdr:col>
      <xdr:colOff>230734</xdr:colOff>
      <xdr:row>20</xdr:row>
      <xdr:rowOff>163285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00357" y="2680606"/>
          <a:ext cx="4131902" cy="1292679"/>
        </a:xfrm>
        <a:prstGeom prst="rect">
          <a:avLst/>
        </a:prstGeom>
      </xdr:spPr>
    </xdr:pic>
    <xdr:clientData/>
  </xdr:twoCellAnchor>
  <xdr:oneCellAnchor>
    <xdr:from>
      <xdr:col>9</xdr:col>
      <xdr:colOff>28575</xdr:colOff>
      <xdr:row>57</xdr:row>
      <xdr:rowOff>19050</xdr:rowOff>
    </xdr:from>
    <xdr:ext cx="4133850" cy="1343025"/>
    <xdr:pic>
      <xdr:nvPicPr>
        <xdr:cNvPr id="6" name="image4.png" title="Imagen">
          <a:extLst>
            <a:ext uri="{FF2B5EF4-FFF2-40B4-BE49-F238E27FC236}">
              <a16:creationId xmlns:a16="http://schemas.microsoft.com/office/drawing/2014/main" id="{B0C3D930-4418-4132-B295-E16810222B6E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229600" y="12763500"/>
          <a:ext cx="4133850" cy="1343025"/>
        </a:xfrm>
        <a:prstGeom prst="rect">
          <a:avLst/>
        </a:prstGeom>
        <a:noFill/>
      </xdr:spPr>
    </xdr:pic>
    <xdr:clientData fLocksWithSheet="0"/>
  </xdr:oneCellAnchor>
  <xdr:oneCellAnchor>
    <xdr:from>
      <xdr:col>9</xdr:col>
      <xdr:colOff>57150</xdr:colOff>
      <xdr:row>65</xdr:row>
      <xdr:rowOff>76200</xdr:rowOff>
    </xdr:from>
    <xdr:ext cx="2638425" cy="1285875"/>
    <xdr:pic>
      <xdr:nvPicPr>
        <xdr:cNvPr id="7" name="image5.png" title="Imagen">
          <a:extLst>
            <a:ext uri="{FF2B5EF4-FFF2-40B4-BE49-F238E27FC236}">
              <a16:creationId xmlns:a16="http://schemas.microsoft.com/office/drawing/2014/main" id="{0CBB00D7-E07D-4CAF-ABAA-A866D2C2CC8F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7058025" y="13687425"/>
          <a:ext cx="2638425" cy="1285875"/>
        </a:xfrm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878251</xdr:colOff>
      <xdr:row>26</xdr:row>
      <xdr:rowOff>95250</xdr:rowOff>
    </xdr:from>
    <xdr:to>
      <xdr:col>5</xdr:col>
      <xdr:colOff>571501</xdr:colOff>
      <xdr:row>29</xdr:row>
      <xdr:rowOff>36948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03876" y="5024438"/>
          <a:ext cx="1955438" cy="507906"/>
        </a:xfrm>
        <a:prstGeom prst="rect">
          <a:avLst/>
        </a:prstGeom>
      </xdr:spPr>
    </xdr:pic>
    <xdr:clientData/>
  </xdr:twoCellAnchor>
  <xdr:oneCellAnchor>
    <xdr:from>
      <xdr:col>11</xdr:col>
      <xdr:colOff>325437</xdr:colOff>
      <xdr:row>8</xdr:row>
      <xdr:rowOff>127000</xdr:rowOff>
    </xdr:from>
    <xdr:ext cx="4133850" cy="1343025"/>
    <xdr:pic>
      <xdr:nvPicPr>
        <xdr:cNvPr id="3" name="image4.png" title="Imagen">
          <a:extLst>
            <a:ext uri="{FF2B5EF4-FFF2-40B4-BE49-F238E27FC236}">
              <a16:creationId xmlns:a16="http://schemas.microsoft.com/office/drawing/2014/main" id="{0D3601B8-F666-41BF-89E4-F514B6D28C82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548812" y="2547938"/>
          <a:ext cx="4133850" cy="1343025"/>
        </a:xfrm>
        <a:prstGeom prst="rect">
          <a:avLst/>
        </a:prstGeom>
        <a:noFill/>
      </xdr:spPr>
    </xdr:pic>
    <xdr:clientData fLocksWithSheet="0"/>
  </xdr:oneCellAnchor>
  <xdr:oneCellAnchor>
    <xdr:from>
      <xdr:col>10</xdr:col>
      <xdr:colOff>85725</xdr:colOff>
      <xdr:row>42</xdr:row>
      <xdr:rowOff>57150</xdr:rowOff>
    </xdr:from>
    <xdr:ext cx="2638425" cy="1285875"/>
    <xdr:pic>
      <xdr:nvPicPr>
        <xdr:cNvPr id="4" name="image5.png" title="Imagen">
          <a:extLst>
            <a:ext uri="{FF2B5EF4-FFF2-40B4-BE49-F238E27FC236}">
              <a16:creationId xmlns:a16="http://schemas.microsoft.com/office/drawing/2014/main" id="{F77A668D-07D7-4F4A-A2C2-ABCB8418839A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7543800" y="7962900"/>
          <a:ext cx="2638425" cy="128587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B2:P23"/>
  <sheetViews>
    <sheetView workbookViewId="0">
      <selection activeCell="M14" sqref="M14"/>
    </sheetView>
  </sheetViews>
  <sheetFormatPr baseColWidth="10" defaultRowHeight="15"/>
  <cols>
    <col min="6" max="6" width="18" bestFit="1" customWidth="1"/>
    <col min="9" max="9" width="18" bestFit="1" customWidth="1"/>
    <col min="10" max="10" width="16.5703125" bestFit="1" customWidth="1"/>
    <col min="11" max="11" width="18" bestFit="1" customWidth="1"/>
    <col min="12" max="12" width="16.5703125" bestFit="1" customWidth="1"/>
    <col min="13" max="13" width="18" bestFit="1" customWidth="1"/>
  </cols>
  <sheetData>
    <row r="2" spans="2:16" s="21" customFormat="1">
      <c r="B2" s="21" t="s">
        <v>22</v>
      </c>
    </row>
    <row r="3" spans="2:16" ht="18.75">
      <c r="B3" s="24" t="s">
        <v>24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2:16" ht="15.75">
      <c r="B4" s="25" t="s">
        <v>25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2:16" ht="15.75">
      <c r="B5" s="25" t="s">
        <v>27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2:16">
      <c r="B6" t="s">
        <v>28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2:16" ht="15.75">
      <c r="B7" s="25" t="s">
        <v>26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2:16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2:16" s="21" customFormat="1">
      <c r="B9" s="21" t="s">
        <v>23</v>
      </c>
    </row>
    <row r="11" spans="2:16" ht="18.75">
      <c r="E11" s="28" t="s">
        <v>43</v>
      </c>
      <c r="F11" s="29">
        <v>30000</v>
      </c>
      <c r="H11" s="28"/>
      <c r="I11" s="28" t="s">
        <v>44</v>
      </c>
      <c r="J11" s="28" t="s">
        <v>45</v>
      </c>
      <c r="K11" s="28" t="s">
        <v>46</v>
      </c>
      <c r="L11" s="28" t="s">
        <v>47</v>
      </c>
      <c r="M11" s="28" t="s">
        <v>1</v>
      </c>
    </row>
    <row r="12" spans="2:16" ht="18.75">
      <c r="E12" s="28" t="s">
        <v>48</v>
      </c>
      <c r="F12" s="28">
        <v>6</v>
      </c>
      <c r="H12" s="28" t="s">
        <v>49</v>
      </c>
      <c r="I12" s="30">
        <f>+F14</f>
        <v>125466.98849091755</v>
      </c>
      <c r="J12" s="29">
        <f>+I12*$F$13</f>
        <v>14303.236687964602</v>
      </c>
      <c r="K12" s="30">
        <f>+I12+J12</f>
        <v>139770.22517888216</v>
      </c>
      <c r="L12" s="30">
        <f>+F11</f>
        <v>30000</v>
      </c>
      <c r="M12" s="30">
        <f>+K12-L12</f>
        <v>109770.22517888216</v>
      </c>
    </row>
    <row r="13" spans="2:16" ht="18.75">
      <c r="E13" s="28" t="s">
        <v>50</v>
      </c>
      <c r="F13" s="31">
        <v>0.114</v>
      </c>
      <c r="H13" s="28" t="s">
        <v>51</v>
      </c>
      <c r="I13" s="30">
        <f>+M12</f>
        <v>109770.22517888216</v>
      </c>
      <c r="J13" s="29">
        <f>+I13*$F$13</f>
        <v>12513.805670392567</v>
      </c>
      <c r="K13" s="30">
        <f>+I13+J13</f>
        <v>122284.03084927473</v>
      </c>
      <c r="L13" s="30">
        <f>+L12</f>
        <v>30000</v>
      </c>
      <c r="M13" s="30">
        <f>+K13-L13</f>
        <v>92284.030849274728</v>
      </c>
    </row>
    <row r="14" spans="2:16" ht="18.75">
      <c r="E14" s="28" t="s">
        <v>52</v>
      </c>
      <c r="F14" s="29">
        <f>+((1+F13)^F12-1)/((1+F13)^F12*F13)*F11</f>
        <v>125466.98849091755</v>
      </c>
      <c r="H14" s="28" t="s">
        <v>53</v>
      </c>
      <c r="I14" s="30">
        <f t="shared" ref="I14:I17" si="0">+M13</f>
        <v>92284.030849274728</v>
      </c>
      <c r="J14" s="29">
        <f t="shared" ref="J14:J17" si="1">+I14*$F$13</f>
        <v>10520.37951681732</v>
      </c>
      <c r="K14" s="30">
        <f t="shared" ref="K14:K17" si="2">+I14+J14</f>
        <v>102804.41036609205</v>
      </c>
      <c r="L14" s="30">
        <f t="shared" ref="L14:L17" si="3">+L13</f>
        <v>30000</v>
      </c>
      <c r="M14" s="30">
        <f t="shared" ref="M14:M17" si="4">+K14-L14</f>
        <v>72804.410366092052</v>
      </c>
    </row>
    <row r="15" spans="2:16" ht="18.75">
      <c r="H15" s="28" t="s">
        <v>54</v>
      </c>
      <c r="I15" s="30">
        <f t="shared" si="0"/>
        <v>72804.410366092052</v>
      </c>
      <c r="J15" s="29">
        <f t="shared" si="1"/>
        <v>8299.7027817344933</v>
      </c>
      <c r="K15" s="30">
        <f t="shared" si="2"/>
        <v>81104.113147826545</v>
      </c>
      <c r="L15" s="30">
        <f t="shared" si="3"/>
        <v>30000</v>
      </c>
      <c r="M15" s="30">
        <f t="shared" si="4"/>
        <v>51104.113147826545</v>
      </c>
    </row>
    <row r="16" spans="2:16" ht="18.75">
      <c r="H16" s="28" t="s">
        <v>55</v>
      </c>
      <c r="I16" s="30">
        <f t="shared" si="0"/>
        <v>51104.113147826545</v>
      </c>
      <c r="J16" s="29">
        <f t="shared" si="1"/>
        <v>5825.8688988522263</v>
      </c>
      <c r="K16" s="30">
        <f t="shared" si="2"/>
        <v>56929.982046678771</v>
      </c>
      <c r="L16" s="30">
        <f t="shared" si="3"/>
        <v>30000</v>
      </c>
      <c r="M16" s="30">
        <f t="shared" si="4"/>
        <v>26929.982046678771</v>
      </c>
    </row>
    <row r="17" spans="2:13" ht="18.75">
      <c r="F17" s="6"/>
      <c r="H17" s="28" t="s">
        <v>56</v>
      </c>
      <c r="I17" s="30">
        <f t="shared" si="0"/>
        <v>26929.982046678771</v>
      </c>
      <c r="J17" s="29">
        <f t="shared" si="1"/>
        <v>3070.01795332138</v>
      </c>
      <c r="K17" s="30">
        <f t="shared" si="2"/>
        <v>30000.000000000153</v>
      </c>
      <c r="L17" s="30">
        <f t="shared" si="3"/>
        <v>30000</v>
      </c>
      <c r="M17" s="30">
        <f t="shared" si="4"/>
        <v>1.5279510989785194E-10</v>
      </c>
    </row>
    <row r="18" spans="2:13">
      <c r="L18" s="32">
        <f>SUM(L12:L17)</f>
        <v>180000</v>
      </c>
    </row>
    <row r="20" spans="2:13">
      <c r="B20" s="66">
        <f>POWER((1+0.114),6)</f>
        <v>1.9112220400875688</v>
      </c>
    </row>
    <row r="23" spans="2:13">
      <c r="B23" s="66">
        <f>30000*((B20-1)/(B20 * 0.114))</f>
        <v>125466.98849091755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B050"/>
  </sheetPr>
  <dimension ref="B2:P93"/>
  <sheetViews>
    <sheetView workbookViewId="0">
      <selection activeCell="F19" sqref="F19"/>
    </sheetView>
  </sheetViews>
  <sheetFormatPr baseColWidth="10" defaultRowHeight="15"/>
  <cols>
    <col min="2" max="2" width="16.140625" customWidth="1"/>
    <col min="3" max="3" width="20.85546875" bestFit="1" customWidth="1"/>
    <col min="4" max="5" width="12.85546875" bestFit="1" customWidth="1"/>
    <col min="6" max="6" width="15" bestFit="1" customWidth="1"/>
    <col min="7" max="9" width="12.85546875" bestFit="1" customWidth="1"/>
    <col min="10" max="10" width="15" bestFit="1" customWidth="1"/>
    <col min="11" max="11" width="16.5703125" bestFit="1" customWidth="1"/>
    <col min="12" max="15" width="12.85546875" bestFit="1" customWidth="1"/>
  </cols>
  <sheetData>
    <row r="2" spans="2:16" s="21" customFormat="1">
      <c r="B2" s="21" t="s">
        <v>22</v>
      </c>
    </row>
    <row r="3" spans="2:16">
      <c r="B3" s="27" t="s">
        <v>37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2:16">
      <c r="B4" s="27" t="s">
        <v>39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2:16">
      <c r="B5" s="27" t="s">
        <v>42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2:16">
      <c r="B6" s="27" t="s">
        <v>40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2:16">
      <c r="B7" t="s">
        <v>41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2:16">
      <c r="B8" s="27" t="s">
        <v>38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2:16" s="21" customFormat="1">
      <c r="B9" s="21" t="s">
        <v>23</v>
      </c>
    </row>
    <row r="14" spans="2:16">
      <c r="B14" t="s">
        <v>82</v>
      </c>
      <c r="F14" t="s">
        <v>83</v>
      </c>
    </row>
    <row r="15" spans="2:16">
      <c r="B15" t="s">
        <v>19</v>
      </c>
      <c r="C15" s="6">
        <v>25000</v>
      </c>
      <c r="F15" t="s">
        <v>19</v>
      </c>
      <c r="G15" s="6">
        <v>18000</v>
      </c>
    </row>
    <row r="16" spans="2:16">
      <c r="B16" t="s">
        <v>84</v>
      </c>
      <c r="C16" s="6">
        <v>5000</v>
      </c>
      <c r="F16" t="s">
        <v>85</v>
      </c>
      <c r="G16" s="6">
        <v>10000</v>
      </c>
    </row>
    <row r="17" spans="2:15">
      <c r="B17" t="s">
        <v>86</v>
      </c>
      <c r="C17" s="6">
        <v>8000</v>
      </c>
      <c r="F17" t="s">
        <v>48</v>
      </c>
      <c r="G17">
        <v>12</v>
      </c>
    </row>
    <row r="18" spans="2:15">
      <c r="B18" t="s">
        <v>48</v>
      </c>
      <c r="C18">
        <v>12</v>
      </c>
      <c r="F18" t="s">
        <v>8</v>
      </c>
      <c r="G18" s="6">
        <v>9000</v>
      </c>
    </row>
    <row r="19" spans="2:15">
      <c r="B19" t="s">
        <v>8</v>
      </c>
      <c r="C19" s="6">
        <v>10000</v>
      </c>
      <c r="F19" t="s">
        <v>87</v>
      </c>
      <c r="G19" s="6">
        <v>6000</v>
      </c>
    </row>
    <row r="20" spans="2:15">
      <c r="B20" t="s">
        <v>87</v>
      </c>
      <c r="C20" s="6">
        <v>5000</v>
      </c>
      <c r="F20" t="s">
        <v>88</v>
      </c>
      <c r="G20" s="6">
        <v>12000</v>
      </c>
    </row>
    <row r="21" spans="2:15">
      <c r="D21" s="35" t="s">
        <v>89</v>
      </c>
      <c r="E21" s="36">
        <v>0.1</v>
      </c>
    </row>
    <row r="23" spans="2:15" ht="18.75">
      <c r="B23" s="28" t="s">
        <v>83</v>
      </c>
      <c r="C23" s="28">
        <v>0</v>
      </c>
      <c r="D23" s="28">
        <v>1</v>
      </c>
      <c r="E23" s="28">
        <v>2</v>
      </c>
      <c r="F23" s="28">
        <v>3</v>
      </c>
      <c r="G23" s="28">
        <v>4</v>
      </c>
      <c r="H23" s="28">
        <v>5</v>
      </c>
      <c r="I23" s="28">
        <v>6</v>
      </c>
      <c r="J23" s="28">
        <v>7</v>
      </c>
      <c r="K23" s="28">
        <v>8</v>
      </c>
      <c r="L23" s="28">
        <v>9</v>
      </c>
      <c r="M23" s="28">
        <v>10</v>
      </c>
      <c r="N23" s="28">
        <v>11</v>
      </c>
      <c r="O23" s="28">
        <v>12</v>
      </c>
    </row>
    <row r="24" spans="2:15" ht="18.75">
      <c r="B24" s="28" t="s">
        <v>8</v>
      </c>
      <c r="C24" s="28"/>
      <c r="D24" s="37">
        <f>+G18</f>
        <v>9000</v>
      </c>
      <c r="E24" s="38">
        <f>+D24</f>
        <v>9000</v>
      </c>
      <c r="F24" s="38">
        <f t="shared" ref="F24:O25" si="0">+E24</f>
        <v>9000</v>
      </c>
      <c r="G24" s="38">
        <f t="shared" si="0"/>
        <v>9000</v>
      </c>
      <c r="H24" s="38">
        <f t="shared" si="0"/>
        <v>9000</v>
      </c>
      <c r="I24" s="38">
        <f t="shared" si="0"/>
        <v>9000</v>
      </c>
      <c r="J24" s="38">
        <f t="shared" si="0"/>
        <v>9000</v>
      </c>
      <c r="K24" s="38">
        <f t="shared" si="0"/>
        <v>9000</v>
      </c>
      <c r="L24" s="38">
        <f t="shared" si="0"/>
        <v>9000</v>
      </c>
      <c r="M24" s="38">
        <f t="shared" si="0"/>
        <v>9000</v>
      </c>
      <c r="N24" s="38">
        <f t="shared" si="0"/>
        <v>9000</v>
      </c>
      <c r="O24" s="38">
        <f>+N24+G20</f>
        <v>21000</v>
      </c>
    </row>
    <row r="25" spans="2:15" ht="18.75">
      <c r="B25" s="28" t="s">
        <v>87</v>
      </c>
      <c r="C25" s="28"/>
      <c r="D25" s="38">
        <f>-G19</f>
        <v>-6000</v>
      </c>
      <c r="E25" s="38">
        <f>+D25</f>
        <v>-6000</v>
      </c>
      <c r="F25" s="38">
        <f t="shared" si="0"/>
        <v>-6000</v>
      </c>
      <c r="G25" s="38">
        <f t="shared" si="0"/>
        <v>-6000</v>
      </c>
      <c r="H25" s="38">
        <f t="shared" si="0"/>
        <v>-6000</v>
      </c>
      <c r="I25" s="38">
        <f t="shared" si="0"/>
        <v>-6000</v>
      </c>
      <c r="J25" s="38">
        <f t="shared" si="0"/>
        <v>-6000</v>
      </c>
      <c r="K25" s="38">
        <f t="shared" si="0"/>
        <v>-6000</v>
      </c>
      <c r="L25" s="38">
        <f t="shared" si="0"/>
        <v>-6000</v>
      </c>
      <c r="M25" s="38">
        <f t="shared" si="0"/>
        <v>-6000</v>
      </c>
      <c r="N25" s="38">
        <f t="shared" si="0"/>
        <v>-6000</v>
      </c>
      <c r="O25" s="38">
        <f t="shared" si="0"/>
        <v>-6000</v>
      </c>
    </row>
    <row r="26" spans="2:15" ht="18.75">
      <c r="B26" s="28" t="s">
        <v>90</v>
      </c>
      <c r="C26" s="30">
        <f>-G15</f>
        <v>-18000</v>
      </c>
      <c r="D26" s="28"/>
      <c r="E26" s="28"/>
      <c r="F26" s="30"/>
      <c r="G26" s="28"/>
      <c r="H26" s="28"/>
      <c r="I26" s="28"/>
      <c r="J26" s="30"/>
      <c r="K26" s="30">
        <f>-G16</f>
        <v>-10000</v>
      </c>
      <c r="L26" s="28"/>
      <c r="M26" s="28"/>
      <c r="N26" s="28"/>
      <c r="O26" s="30"/>
    </row>
    <row r="27" spans="2:15" ht="18.75"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</row>
    <row r="28" spans="2:15" ht="18.75">
      <c r="B28" s="28" t="s">
        <v>91</v>
      </c>
      <c r="C28" s="39">
        <f>+C26</f>
        <v>-18000</v>
      </c>
      <c r="D28" s="38">
        <f>+D24+D25+D26</f>
        <v>3000</v>
      </c>
      <c r="E28" s="38">
        <f t="shared" ref="E28:O28" si="1">+E24+E25+E26</f>
        <v>3000</v>
      </c>
      <c r="F28" s="38">
        <f t="shared" si="1"/>
        <v>3000</v>
      </c>
      <c r="G28" s="38">
        <f t="shared" si="1"/>
        <v>3000</v>
      </c>
      <c r="H28" s="38">
        <f t="shared" si="1"/>
        <v>3000</v>
      </c>
      <c r="I28" s="38">
        <f t="shared" si="1"/>
        <v>3000</v>
      </c>
      <c r="J28" s="38">
        <f t="shared" si="1"/>
        <v>3000</v>
      </c>
      <c r="K28" s="38">
        <f t="shared" si="1"/>
        <v>-7000</v>
      </c>
      <c r="L28" s="38">
        <f t="shared" si="1"/>
        <v>3000</v>
      </c>
      <c r="M28" s="38">
        <f t="shared" si="1"/>
        <v>3000</v>
      </c>
      <c r="N28" s="38">
        <f t="shared" si="1"/>
        <v>3000</v>
      </c>
      <c r="O28" s="38">
        <f t="shared" si="1"/>
        <v>15000</v>
      </c>
    </row>
    <row r="29" spans="2:15" ht="18.75"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</row>
    <row r="30" spans="2:15" ht="18.75">
      <c r="B30" s="28" t="s">
        <v>20</v>
      </c>
      <c r="C30" s="40">
        <f>+C28/POWER(1+$E$21,C23)</f>
        <v>-18000</v>
      </c>
      <c r="D30" s="41">
        <f t="shared" ref="D30:O30" si="2">+D28/POWER(1+$E$21,D23)</f>
        <v>2727.272727272727</v>
      </c>
      <c r="E30" s="41">
        <f t="shared" si="2"/>
        <v>2479.3388429752063</v>
      </c>
      <c r="F30" s="41">
        <f t="shared" si="2"/>
        <v>2253.9444027047325</v>
      </c>
      <c r="G30" s="41">
        <f t="shared" si="2"/>
        <v>2049.0403660952115</v>
      </c>
      <c r="H30" s="41">
        <f t="shared" si="2"/>
        <v>1862.7639691774648</v>
      </c>
      <c r="I30" s="41">
        <f t="shared" si="2"/>
        <v>1693.4217901613315</v>
      </c>
      <c r="J30" s="41">
        <f t="shared" si="2"/>
        <v>1539.4743546921193</v>
      </c>
      <c r="K30" s="41">
        <f t="shared" si="2"/>
        <v>-3265.5516614681324</v>
      </c>
      <c r="L30" s="41">
        <f t="shared" si="2"/>
        <v>1272.2928551174539</v>
      </c>
      <c r="M30" s="41">
        <f t="shared" si="2"/>
        <v>1156.6298682885945</v>
      </c>
      <c r="N30" s="41">
        <f t="shared" si="2"/>
        <v>1051.4816984441766</v>
      </c>
      <c r="O30" s="41">
        <f t="shared" si="2"/>
        <v>4779.4622656553483</v>
      </c>
    </row>
    <row r="31" spans="2:15" ht="18.75"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</row>
    <row r="32" spans="2:15" ht="28.5">
      <c r="B32" s="42" t="s">
        <v>92</v>
      </c>
      <c r="C32" s="43">
        <f>+SUM(C30:O30)</f>
        <v>1599.5714791162354</v>
      </c>
      <c r="D32" s="44"/>
      <c r="E32" s="45"/>
      <c r="F32" s="51">
        <f>+NPV(E21,D28:O28)+C28</f>
        <v>1599.5714791162318</v>
      </c>
      <c r="G32" s="28"/>
      <c r="H32" s="28"/>
      <c r="I32" s="28"/>
      <c r="J32" s="28"/>
      <c r="K32" s="28"/>
      <c r="L32" s="28"/>
      <c r="M32" s="28"/>
      <c r="N32" s="28"/>
      <c r="O32" s="28"/>
    </row>
    <row r="33" spans="2:15" ht="28.5">
      <c r="B33" s="44" t="s">
        <v>93</v>
      </c>
      <c r="C33" s="46">
        <f>+IRR(C28:O28)</f>
        <v>0.11591263100464166</v>
      </c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</row>
    <row r="34" spans="2:15" ht="28.5">
      <c r="B34" s="44"/>
      <c r="C34" s="46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</row>
    <row r="35" spans="2:15" ht="18.75">
      <c r="B35" s="28" t="s">
        <v>82</v>
      </c>
      <c r="C35" s="28">
        <v>0</v>
      </c>
      <c r="D35" s="28">
        <v>1</v>
      </c>
      <c r="E35" s="28">
        <v>2</v>
      </c>
      <c r="F35" s="28">
        <v>3</v>
      </c>
      <c r="G35" s="28">
        <v>4</v>
      </c>
      <c r="H35" s="28">
        <v>5</v>
      </c>
      <c r="I35" s="28">
        <v>6</v>
      </c>
      <c r="J35" s="28">
        <v>7</v>
      </c>
      <c r="K35" s="28">
        <v>8</v>
      </c>
      <c r="L35" s="28">
        <v>9</v>
      </c>
      <c r="M35" s="28">
        <v>10</v>
      </c>
      <c r="N35" s="28">
        <v>11</v>
      </c>
      <c r="O35" s="28">
        <v>12</v>
      </c>
    </row>
    <row r="36" spans="2:15" ht="18.75">
      <c r="B36" s="28" t="s">
        <v>8</v>
      </c>
      <c r="C36" s="28"/>
      <c r="D36" s="38">
        <f>+C19</f>
        <v>10000</v>
      </c>
      <c r="E36" s="38">
        <f>+D36</f>
        <v>10000</v>
      </c>
      <c r="F36" s="38">
        <f t="shared" ref="F36:O37" si="3">+E36</f>
        <v>10000</v>
      </c>
      <c r="G36" s="38">
        <f t="shared" si="3"/>
        <v>10000</v>
      </c>
      <c r="H36" s="38">
        <f t="shared" si="3"/>
        <v>10000</v>
      </c>
      <c r="I36" s="38">
        <f t="shared" si="3"/>
        <v>10000</v>
      </c>
      <c r="J36" s="38">
        <f t="shared" si="3"/>
        <v>10000</v>
      </c>
      <c r="K36" s="38">
        <f t="shared" si="3"/>
        <v>10000</v>
      </c>
      <c r="L36" s="38">
        <f t="shared" si="3"/>
        <v>10000</v>
      </c>
      <c r="M36" s="38">
        <f t="shared" si="3"/>
        <v>10000</v>
      </c>
      <c r="N36" s="38">
        <f t="shared" si="3"/>
        <v>10000</v>
      </c>
      <c r="O36" s="38">
        <f t="shared" si="3"/>
        <v>10000</v>
      </c>
    </row>
    <row r="37" spans="2:15" ht="18.75">
      <c r="B37" s="28" t="s">
        <v>87</v>
      </c>
      <c r="C37" s="28"/>
      <c r="D37" s="38">
        <f>-C20</f>
        <v>-5000</v>
      </c>
      <c r="E37" s="38">
        <f>+D37</f>
        <v>-5000</v>
      </c>
      <c r="F37" s="38">
        <f t="shared" si="3"/>
        <v>-5000</v>
      </c>
      <c r="G37" s="38">
        <f t="shared" si="3"/>
        <v>-5000</v>
      </c>
      <c r="H37" s="38">
        <f t="shared" si="3"/>
        <v>-5000</v>
      </c>
      <c r="I37" s="38">
        <f t="shared" si="3"/>
        <v>-5000</v>
      </c>
      <c r="J37" s="38">
        <f t="shared" si="3"/>
        <v>-5000</v>
      </c>
      <c r="K37" s="38">
        <f t="shared" si="3"/>
        <v>-5000</v>
      </c>
      <c r="L37" s="38">
        <f t="shared" si="3"/>
        <v>-5000</v>
      </c>
      <c r="M37" s="38">
        <f t="shared" si="3"/>
        <v>-5000</v>
      </c>
      <c r="N37" s="38">
        <f t="shared" si="3"/>
        <v>-5000</v>
      </c>
      <c r="O37" s="38">
        <f t="shared" si="3"/>
        <v>-5000</v>
      </c>
    </row>
    <row r="38" spans="2:15" ht="18.75">
      <c r="B38" s="28" t="s">
        <v>90</v>
      </c>
      <c r="C38" s="30">
        <f>-C15</f>
        <v>-25000</v>
      </c>
      <c r="D38" s="28"/>
      <c r="E38" s="28"/>
      <c r="F38" s="30">
        <f>-C16</f>
        <v>-5000</v>
      </c>
      <c r="G38" s="28"/>
      <c r="H38" s="28"/>
      <c r="I38" s="28"/>
      <c r="J38" s="30">
        <f>-C17</f>
        <v>-8000</v>
      </c>
      <c r="K38" s="28"/>
      <c r="L38" s="28"/>
      <c r="M38" s="28"/>
      <c r="N38" s="28"/>
      <c r="O38" s="28"/>
    </row>
    <row r="39" spans="2:15" ht="18.75"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</row>
    <row r="40" spans="2:15" ht="18.75">
      <c r="B40" s="28" t="s">
        <v>91</v>
      </c>
      <c r="C40" s="39">
        <f>+C38</f>
        <v>-25000</v>
      </c>
      <c r="D40" s="38">
        <f>+D36+D37+D38</f>
        <v>5000</v>
      </c>
      <c r="E40" s="38">
        <f t="shared" ref="E40:O40" si="4">+E36+E37+E38</f>
        <v>5000</v>
      </c>
      <c r="F40" s="38">
        <f t="shared" si="4"/>
        <v>0</v>
      </c>
      <c r="G40" s="38">
        <f t="shared" si="4"/>
        <v>5000</v>
      </c>
      <c r="H40" s="38">
        <f t="shared" si="4"/>
        <v>5000</v>
      </c>
      <c r="I40" s="38">
        <f t="shared" si="4"/>
        <v>5000</v>
      </c>
      <c r="J40" s="38">
        <f t="shared" si="4"/>
        <v>-3000</v>
      </c>
      <c r="K40" s="38">
        <f t="shared" si="4"/>
        <v>5000</v>
      </c>
      <c r="L40" s="38">
        <f t="shared" si="4"/>
        <v>5000</v>
      </c>
      <c r="M40" s="38">
        <f t="shared" si="4"/>
        <v>5000</v>
      </c>
      <c r="N40" s="38">
        <f t="shared" si="4"/>
        <v>5000</v>
      </c>
      <c r="O40" s="38">
        <f t="shared" si="4"/>
        <v>5000</v>
      </c>
    </row>
    <row r="41" spans="2:15" ht="18.75"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</row>
    <row r="42" spans="2:15" ht="18.75">
      <c r="B42" s="28" t="s">
        <v>20</v>
      </c>
      <c r="C42" s="40">
        <f>+C40/POWER(1+$E$21,C35)</f>
        <v>-25000</v>
      </c>
      <c r="D42" s="41">
        <f t="shared" ref="D42:O42" si="5">+D40/POWER(1+$E$21,D35)</f>
        <v>4545.454545454545</v>
      </c>
      <c r="E42" s="41">
        <f t="shared" si="5"/>
        <v>4132.2314049586766</v>
      </c>
      <c r="F42" s="41">
        <f t="shared" si="5"/>
        <v>0</v>
      </c>
      <c r="G42" s="41">
        <f t="shared" si="5"/>
        <v>3415.0672768253526</v>
      </c>
      <c r="H42" s="41">
        <f t="shared" si="5"/>
        <v>3104.6066152957746</v>
      </c>
      <c r="I42" s="41">
        <f t="shared" si="5"/>
        <v>2822.3696502688858</v>
      </c>
      <c r="J42" s="41">
        <f t="shared" si="5"/>
        <v>-1539.4743546921193</v>
      </c>
      <c r="K42" s="41">
        <f t="shared" si="5"/>
        <v>2332.5369010486656</v>
      </c>
      <c r="L42" s="41">
        <f t="shared" si="5"/>
        <v>2120.4880918624235</v>
      </c>
      <c r="M42" s="41">
        <f t="shared" si="5"/>
        <v>1927.7164471476574</v>
      </c>
      <c r="N42" s="41">
        <f t="shared" si="5"/>
        <v>1752.469497406961</v>
      </c>
      <c r="O42" s="41">
        <f t="shared" si="5"/>
        <v>1593.1540885517827</v>
      </c>
    </row>
    <row r="43" spans="2:15" ht="18.75"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</row>
    <row r="44" spans="2:15" ht="28.5">
      <c r="B44" s="42" t="s">
        <v>94</v>
      </c>
      <c r="C44" s="43">
        <f>+SUM(C42:O42)</f>
        <v>1206.6201641286038</v>
      </c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</row>
    <row r="45" spans="2:15" ht="28.5">
      <c r="B45" s="44" t="s">
        <v>95</v>
      </c>
      <c r="C45" s="46">
        <f>+IRR(C40:O40)</f>
        <v>0.10960677484391224</v>
      </c>
      <c r="D45" s="44"/>
      <c r="E45" s="44"/>
      <c r="F45" s="28"/>
      <c r="G45" s="28"/>
      <c r="H45" s="28"/>
      <c r="I45" s="28"/>
      <c r="J45" s="28"/>
      <c r="K45" s="28"/>
      <c r="L45" s="28"/>
      <c r="M45" s="28"/>
      <c r="N45" s="28"/>
      <c r="O45" s="28"/>
    </row>
    <row r="46" spans="2:15" ht="28.5">
      <c r="B46" s="44"/>
      <c r="C46" s="44"/>
    </row>
    <row r="50" spans="2:11">
      <c r="B50" s="67" t="s">
        <v>22</v>
      </c>
      <c r="C50" s="67"/>
      <c r="D50" s="67"/>
      <c r="E50" s="67"/>
      <c r="F50" s="67"/>
      <c r="G50" s="67"/>
      <c r="H50" s="67"/>
      <c r="I50" s="67"/>
      <c r="J50" s="67"/>
      <c r="K50" s="67"/>
    </row>
    <row r="51" spans="2:11">
      <c r="B51" s="66" t="s">
        <v>37</v>
      </c>
      <c r="C51" s="66"/>
      <c r="D51" s="66"/>
      <c r="E51" s="66"/>
      <c r="F51" s="66"/>
      <c r="G51" s="66"/>
      <c r="H51" s="66"/>
      <c r="I51" s="66"/>
      <c r="J51" s="66"/>
      <c r="K51" s="66"/>
    </row>
    <row r="52" spans="2:11">
      <c r="B52" s="66" t="s">
        <v>39</v>
      </c>
      <c r="C52" s="66"/>
      <c r="D52" s="66"/>
      <c r="E52" s="66"/>
      <c r="F52" s="66"/>
      <c r="G52" s="66"/>
      <c r="H52" s="66"/>
      <c r="I52" s="66"/>
      <c r="J52" s="66"/>
      <c r="K52" s="66"/>
    </row>
    <row r="53" spans="2:11">
      <c r="B53" s="66" t="s">
        <v>42</v>
      </c>
      <c r="C53" s="66"/>
      <c r="D53" s="66"/>
      <c r="E53" s="66"/>
      <c r="F53" s="66"/>
      <c r="G53" s="66"/>
      <c r="H53" s="66"/>
      <c r="I53" s="66"/>
      <c r="J53" s="66"/>
      <c r="K53" s="66"/>
    </row>
    <row r="54" spans="2:11">
      <c r="B54" s="66" t="s">
        <v>40</v>
      </c>
      <c r="C54" s="66"/>
      <c r="D54" s="66"/>
      <c r="E54" s="66"/>
      <c r="F54" s="66"/>
      <c r="G54" s="66"/>
      <c r="H54" s="66"/>
      <c r="I54" s="66"/>
      <c r="J54" s="66"/>
      <c r="K54" s="66"/>
    </row>
    <row r="55" spans="2:11">
      <c r="B55" s="66" t="s">
        <v>41</v>
      </c>
      <c r="C55" s="66"/>
      <c r="D55" s="66"/>
      <c r="E55" s="66"/>
      <c r="F55" s="66"/>
      <c r="G55" s="66"/>
      <c r="H55" s="66"/>
      <c r="I55" s="66"/>
      <c r="J55" s="66"/>
      <c r="K55" s="66"/>
    </row>
    <row r="56" spans="2:11">
      <c r="B56" s="66" t="s">
        <v>38</v>
      </c>
      <c r="C56" s="66"/>
      <c r="D56" s="66"/>
      <c r="E56" s="66"/>
      <c r="F56" s="66"/>
      <c r="G56" s="66"/>
      <c r="H56" s="66"/>
      <c r="I56" s="66"/>
      <c r="J56" s="66"/>
      <c r="K56" s="66"/>
    </row>
    <row r="59" spans="2:11">
      <c r="C59" s="66" t="s">
        <v>82</v>
      </c>
      <c r="G59" s="66" t="s">
        <v>83</v>
      </c>
    </row>
    <row r="60" spans="2:11">
      <c r="C60" s="66" t="s">
        <v>19</v>
      </c>
      <c r="D60" s="68">
        <v>25000</v>
      </c>
      <c r="G60" s="66" t="s">
        <v>19</v>
      </c>
      <c r="H60" s="68">
        <v>18000</v>
      </c>
    </row>
    <row r="61" spans="2:11">
      <c r="C61" s="66" t="s">
        <v>84</v>
      </c>
      <c r="D61" s="68">
        <v>5000</v>
      </c>
      <c r="G61" s="66" t="s">
        <v>85</v>
      </c>
      <c r="H61" s="68">
        <v>10000</v>
      </c>
    </row>
    <row r="62" spans="2:11">
      <c r="C62" s="66" t="s">
        <v>86</v>
      </c>
      <c r="D62" s="68">
        <v>8000</v>
      </c>
      <c r="G62" s="66" t="s">
        <v>48</v>
      </c>
      <c r="H62" s="66">
        <v>12</v>
      </c>
    </row>
    <row r="63" spans="2:11">
      <c r="C63" s="66" t="s">
        <v>48</v>
      </c>
      <c r="D63" s="66">
        <v>12</v>
      </c>
      <c r="G63" s="66" t="s">
        <v>8</v>
      </c>
      <c r="H63" s="68">
        <v>9000</v>
      </c>
    </row>
    <row r="64" spans="2:11">
      <c r="C64" s="66" t="s">
        <v>8</v>
      </c>
      <c r="D64" s="68">
        <v>10000</v>
      </c>
      <c r="G64" s="66" t="s">
        <v>87</v>
      </c>
      <c r="H64" s="68">
        <v>6000</v>
      </c>
    </row>
    <row r="65" spans="3:16">
      <c r="C65" s="66" t="s">
        <v>87</v>
      </c>
      <c r="D65" s="68">
        <v>5000</v>
      </c>
      <c r="G65" s="66" t="s">
        <v>88</v>
      </c>
      <c r="H65" s="68">
        <v>12000</v>
      </c>
    </row>
    <row r="66" spans="3:16">
      <c r="E66" s="69" t="s">
        <v>89</v>
      </c>
      <c r="F66" s="70">
        <v>0.1</v>
      </c>
    </row>
    <row r="74" spans="3:16">
      <c r="C74" s="71" t="s">
        <v>141</v>
      </c>
      <c r="D74" s="72">
        <v>0</v>
      </c>
      <c r="E74" s="72">
        <v>1</v>
      </c>
      <c r="F74" s="72">
        <v>2</v>
      </c>
      <c r="G74" s="72">
        <v>3</v>
      </c>
      <c r="H74" s="72">
        <v>4</v>
      </c>
      <c r="I74" s="72">
        <v>5</v>
      </c>
      <c r="J74" s="72">
        <v>6</v>
      </c>
      <c r="K74" s="72">
        <v>7</v>
      </c>
      <c r="L74" s="72">
        <v>8</v>
      </c>
      <c r="M74" s="72">
        <v>9</v>
      </c>
      <c r="N74" s="72">
        <v>10</v>
      </c>
      <c r="O74" s="72">
        <v>11</v>
      </c>
      <c r="P74" s="73">
        <v>12</v>
      </c>
    </row>
    <row r="75" spans="3:16">
      <c r="C75" s="74" t="s">
        <v>142</v>
      </c>
      <c r="E75" s="66">
        <v>9000</v>
      </c>
      <c r="F75" s="66">
        <v>9000</v>
      </c>
      <c r="G75" s="66">
        <v>9000</v>
      </c>
      <c r="H75" s="66">
        <v>9000</v>
      </c>
      <c r="I75" s="66">
        <v>9000</v>
      </c>
      <c r="J75" s="66">
        <v>9000</v>
      </c>
      <c r="K75" s="66">
        <v>9000</v>
      </c>
      <c r="L75" s="66">
        <v>9000</v>
      </c>
      <c r="M75" s="66">
        <v>9000</v>
      </c>
      <c r="N75" s="66">
        <v>9000</v>
      </c>
      <c r="O75" s="66">
        <v>9000</v>
      </c>
      <c r="P75" s="75">
        <v>21000</v>
      </c>
    </row>
    <row r="76" spans="3:16">
      <c r="C76" s="74" t="s">
        <v>143</v>
      </c>
      <c r="E76" s="66">
        <v>-6000</v>
      </c>
      <c r="F76" s="66">
        <v>-6000</v>
      </c>
      <c r="G76" s="66">
        <v>-6000</v>
      </c>
      <c r="H76" s="66">
        <v>-6000</v>
      </c>
      <c r="I76" s="66">
        <v>-6000</v>
      </c>
      <c r="J76" s="66">
        <v>-6000</v>
      </c>
      <c r="K76" s="66">
        <v>-6000</v>
      </c>
      <c r="L76" s="66">
        <v>-6000</v>
      </c>
      <c r="M76" s="66">
        <v>-6000</v>
      </c>
      <c r="N76" s="66">
        <v>-6000</v>
      </c>
      <c r="O76" s="66">
        <v>-6000</v>
      </c>
      <c r="P76" s="75">
        <v>-6000</v>
      </c>
    </row>
    <row r="77" spans="3:16">
      <c r="C77" s="76" t="s">
        <v>144</v>
      </c>
      <c r="D77" s="77">
        <v>-18000</v>
      </c>
      <c r="E77" s="77"/>
      <c r="F77" s="77"/>
      <c r="G77" s="77"/>
      <c r="H77" s="77"/>
      <c r="I77" s="77"/>
      <c r="J77" s="77"/>
      <c r="K77" s="77"/>
      <c r="L77" s="77">
        <v>-10000</v>
      </c>
      <c r="M77" s="77"/>
      <c r="N77" s="77"/>
      <c r="O77" s="77"/>
      <c r="P77" s="78"/>
    </row>
    <row r="79" spans="3:16">
      <c r="C79" s="79" t="s">
        <v>17</v>
      </c>
      <c r="D79" s="79">
        <f t="shared" ref="D79:P79" si="6">SUM(D75:D77)</f>
        <v>-18000</v>
      </c>
      <c r="E79" s="79">
        <f t="shared" si="6"/>
        <v>3000</v>
      </c>
      <c r="F79" s="79">
        <f t="shared" si="6"/>
        <v>3000</v>
      </c>
      <c r="G79" s="79">
        <f t="shared" si="6"/>
        <v>3000</v>
      </c>
      <c r="H79" s="79">
        <f t="shared" si="6"/>
        <v>3000</v>
      </c>
      <c r="I79" s="79">
        <f t="shared" si="6"/>
        <v>3000</v>
      </c>
      <c r="J79" s="79">
        <f t="shared" si="6"/>
        <v>3000</v>
      </c>
      <c r="K79" s="79">
        <f t="shared" si="6"/>
        <v>3000</v>
      </c>
      <c r="L79" s="79">
        <f t="shared" si="6"/>
        <v>-7000</v>
      </c>
      <c r="M79" s="79">
        <f t="shared" si="6"/>
        <v>3000</v>
      </c>
      <c r="N79" s="79">
        <f t="shared" si="6"/>
        <v>3000</v>
      </c>
      <c r="O79" s="79">
        <f t="shared" si="6"/>
        <v>3000</v>
      </c>
      <c r="P79" s="79">
        <f t="shared" si="6"/>
        <v>15000</v>
      </c>
    </row>
    <row r="80" spans="3:16">
      <c r="C80" s="79" t="s">
        <v>20</v>
      </c>
      <c r="D80" s="80">
        <f t="shared" ref="D80:P80" si="7">D79 / POWER((1+$E$70),D74)</f>
        <v>-18000</v>
      </c>
      <c r="E80" s="80">
        <f t="shared" si="7"/>
        <v>3000</v>
      </c>
      <c r="F80" s="80">
        <f t="shared" si="7"/>
        <v>3000</v>
      </c>
      <c r="G80" s="80">
        <f t="shared" si="7"/>
        <v>3000</v>
      </c>
      <c r="H80" s="80">
        <f t="shared" si="7"/>
        <v>3000</v>
      </c>
      <c r="I80" s="80">
        <f t="shared" si="7"/>
        <v>3000</v>
      </c>
      <c r="J80" s="80">
        <f t="shared" si="7"/>
        <v>3000</v>
      </c>
      <c r="K80" s="80">
        <f t="shared" si="7"/>
        <v>3000</v>
      </c>
      <c r="L80" s="80">
        <f t="shared" si="7"/>
        <v>-7000</v>
      </c>
      <c r="M80" s="80">
        <f t="shared" si="7"/>
        <v>3000</v>
      </c>
      <c r="N80" s="80">
        <f t="shared" si="7"/>
        <v>3000</v>
      </c>
      <c r="O80" s="80">
        <f t="shared" si="7"/>
        <v>3000</v>
      </c>
      <c r="P80" s="80">
        <f t="shared" si="7"/>
        <v>15000</v>
      </c>
    </row>
    <row r="82" spans="3:16">
      <c r="C82" s="66" t="s">
        <v>145</v>
      </c>
      <c r="D82" s="81">
        <f>+SUM(D80:P80)</f>
        <v>20000</v>
      </c>
    </row>
    <row r="83" spans="3:16">
      <c r="C83" s="66" t="s">
        <v>93</v>
      </c>
      <c r="D83" s="82">
        <f>IRR(D79:P79)</f>
        <v>0.11591263100464166</v>
      </c>
    </row>
    <row r="84" spans="3:16">
      <c r="C84" s="71" t="s">
        <v>146</v>
      </c>
      <c r="D84" s="72">
        <v>0</v>
      </c>
      <c r="E84" s="72">
        <v>1</v>
      </c>
      <c r="F84" s="72">
        <v>2</v>
      </c>
      <c r="G84" s="72">
        <v>3</v>
      </c>
      <c r="H84" s="72">
        <v>4</v>
      </c>
      <c r="I84" s="72">
        <v>5</v>
      </c>
      <c r="J84" s="72">
        <v>6</v>
      </c>
      <c r="K84" s="72">
        <v>7</v>
      </c>
      <c r="L84" s="72">
        <v>8</v>
      </c>
      <c r="M84" s="72">
        <v>9</v>
      </c>
      <c r="N84" s="72">
        <v>10</v>
      </c>
      <c r="O84" s="72">
        <v>11</v>
      </c>
      <c r="P84" s="73">
        <v>12</v>
      </c>
    </row>
    <row r="85" spans="3:16">
      <c r="C85" s="74" t="s">
        <v>142</v>
      </c>
      <c r="E85" s="66">
        <v>10000</v>
      </c>
      <c r="F85" s="66">
        <v>10000</v>
      </c>
      <c r="G85" s="66">
        <v>10000</v>
      </c>
      <c r="H85" s="66">
        <v>10000</v>
      </c>
      <c r="I85" s="66">
        <v>10000</v>
      </c>
      <c r="J85" s="66">
        <v>10000</v>
      </c>
      <c r="K85" s="66">
        <v>10000</v>
      </c>
      <c r="L85" s="66">
        <v>10000</v>
      </c>
      <c r="M85" s="66">
        <v>10000</v>
      </c>
      <c r="N85" s="66">
        <v>10000</v>
      </c>
      <c r="O85" s="66">
        <v>10000</v>
      </c>
      <c r="P85" s="75">
        <v>10000</v>
      </c>
    </row>
    <row r="86" spans="3:16">
      <c r="C86" s="74" t="s">
        <v>143</v>
      </c>
      <c r="E86" s="66">
        <v>-5000</v>
      </c>
      <c r="F86" s="66">
        <v>-5000</v>
      </c>
      <c r="G86" s="66">
        <v>-5000</v>
      </c>
      <c r="H86" s="66">
        <v>-5000</v>
      </c>
      <c r="I86" s="66">
        <v>-5000</v>
      </c>
      <c r="J86" s="66">
        <v>-5000</v>
      </c>
      <c r="K86" s="66">
        <v>-5000</v>
      </c>
      <c r="L86" s="66">
        <v>-5000</v>
      </c>
      <c r="M86" s="66">
        <v>-5000</v>
      </c>
      <c r="N86" s="66">
        <v>-5000</v>
      </c>
      <c r="O86" s="66">
        <v>-5000</v>
      </c>
      <c r="P86" s="75">
        <v>-5000</v>
      </c>
    </row>
    <row r="87" spans="3:16">
      <c r="C87" s="76" t="s">
        <v>144</v>
      </c>
      <c r="D87" s="77">
        <v>-25000</v>
      </c>
      <c r="E87" s="77"/>
      <c r="F87" s="77"/>
      <c r="G87" s="77">
        <v>-5000</v>
      </c>
      <c r="H87" s="77"/>
      <c r="I87" s="77"/>
      <c r="J87" s="77"/>
      <c r="K87" s="77">
        <v>-8000</v>
      </c>
      <c r="L87" s="77"/>
      <c r="M87" s="77"/>
      <c r="N87" s="77"/>
      <c r="O87" s="77"/>
      <c r="P87" s="78"/>
    </row>
    <row r="89" spans="3:16">
      <c r="C89" s="79" t="s">
        <v>17</v>
      </c>
      <c r="D89" s="79">
        <f t="shared" ref="D89:P89" si="8">SUM(D85:D87)</f>
        <v>-25000</v>
      </c>
      <c r="E89" s="79">
        <f t="shared" si="8"/>
        <v>5000</v>
      </c>
      <c r="F89" s="79">
        <f t="shared" si="8"/>
        <v>5000</v>
      </c>
      <c r="G89" s="79">
        <f t="shared" si="8"/>
        <v>0</v>
      </c>
      <c r="H89" s="79">
        <f t="shared" si="8"/>
        <v>5000</v>
      </c>
      <c r="I89" s="79">
        <f t="shared" si="8"/>
        <v>5000</v>
      </c>
      <c r="J89" s="79">
        <f t="shared" si="8"/>
        <v>5000</v>
      </c>
      <c r="K89" s="79">
        <f t="shared" si="8"/>
        <v>-3000</v>
      </c>
      <c r="L89" s="79">
        <f t="shared" si="8"/>
        <v>5000</v>
      </c>
      <c r="M89" s="79">
        <f t="shared" si="8"/>
        <v>5000</v>
      </c>
      <c r="N89" s="79">
        <f t="shared" si="8"/>
        <v>5000</v>
      </c>
      <c r="O89" s="79">
        <f t="shared" si="8"/>
        <v>5000</v>
      </c>
      <c r="P89" s="79">
        <f t="shared" si="8"/>
        <v>5000</v>
      </c>
    </row>
    <row r="90" spans="3:16">
      <c r="C90" s="79" t="s">
        <v>20</v>
      </c>
      <c r="D90" s="80">
        <f t="shared" ref="D90:P90" si="9">D89 /POWER((1+$E$70),D84)</f>
        <v>-25000</v>
      </c>
      <c r="E90" s="80">
        <f t="shared" si="9"/>
        <v>5000</v>
      </c>
      <c r="F90" s="80">
        <f t="shared" si="9"/>
        <v>5000</v>
      </c>
      <c r="G90" s="80">
        <f t="shared" si="9"/>
        <v>0</v>
      </c>
      <c r="H90" s="80">
        <f t="shared" si="9"/>
        <v>5000</v>
      </c>
      <c r="I90" s="80">
        <f t="shared" si="9"/>
        <v>5000</v>
      </c>
      <c r="J90" s="80">
        <f t="shared" si="9"/>
        <v>5000</v>
      </c>
      <c r="K90" s="80">
        <f t="shared" si="9"/>
        <v>-3000</v>
      </c>
      <c r="L90" s="80">
        <f t="shared" si="9"/>
        <v>5000</v>
      </c>
      <c r="M90" s="80">
        <f t="shared" si="9"/>
        <v>5000</v>
      </c>
      <c r="N90" s="80">
        <f t="shared" si="9"/>
        <v>5000</v>
      </c>
      <c r="O90" s="80">
        <f t="shared" si="9"/>
        <v>5000</v>
      </c>
      <c r="P90" s="80">
        <f t="shared" si="9"/>
        <v>5000</v>
      </c>
    </row>
    <row r="92" spans="3:16">
      <c r="C92" s="66" t="s">
        <v>147</v>
      </c>
      <c r="D92" s="81">
        <f>SUM(D90:P90)</f>
        <v>22000</v>
      </c>
    </row>
    <row r="93" spans="3:16">
      <c r="C93" s="66" t="s">
        <v>148</v>
      </c>
      <c r="D93" s="82">
        <f>IRR(D89:P89)</f>
        <v>0.10960677484391224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B050"/>
  </sheetPr>
  <dimension ref="B2:Q65"/>
  <sheetViews>
    <sheetView zoomScale="120" zoomScaleNormal="120" workbookViewId="0">
      <selection activeCell="K51" sqref="K51"/>
    </sheetView>
  </sheetViews>
  <sheetFormatPr baseColWidth="10" defaultRowHeight="15" outlineLevelRow="1"/>
  <cols>
    <col min="1" max="1" width="4.5703125" customWidth="1"/>
    <col min="4" max="4" width="15.42578125" style="2" bestFit="1" customWidth="1"/>
    <col min="5" max="5" width="18.42578125" style="2" customWidth="1"/>
    <col min="6" max="8" width="13.7109375" style="2" bestFit="1" customWidth="1"/>
    <col min="9" max="9" width="15.42578125" style="2" bestFit="1" customWidth="1"/>
    <col min="10" max="10" width="13.7109375" bestFit="1" customWidth="1"/>
  </cols>
  <sheetData>
    <row r="2" spans="2:11" s="20" customFormat="1">
      <c r="B2" s="19" t="s">
        <v>22</v>
      </c>
      <c r="C2" s="19"/>
      <c r="D2" s="19"/>
      <c r="E2" s="19"/>
      <c r="F2" s="19"/>
      <c r="G2" s="19"/>
      <c r="H2" s="19"/>
      <c r="I2" s="19"/>
      <c r="J2" s="19"/>
      <c r="K2" s="19"/>
    </row>
    <row r="4" spans="2:11" ht="85.5" customHeight="1">
      <c r="B4" s="104" t="s">
        <v>139</v>
      </c>
      <c r="C4" s="104"/>
      <c r="D4" s="104"/>
      <c r="E4" s="104"/>
      <c r="F4" s="104"/>
      <c r="G4" s="104"/>
      <c r="H4" s="104"/>
      <c r="I4" s="104"/>
      <c r="J4" s="104"/>
      <c r="K4" s="104"/>
    </row>
    <row r="5" spans="2:11">
      <c r="B5" s="18"/>
      <c r="C5" s="18"/>
      <c r="D5" s="18"/>
      <c r="E5" s="18"/>
      <c r="F5" s="18"/>
      <c r="G5" s="18"/>
      <c r="H5" s="18"/>
      <c r="I5" s="18"/>
      <c r="J5" s="18"/>
      <c r="K5" s="18"/>
    </row>
    <row r="6" spans="2:11">
      <c r="B6" s="18"/>
      <c r="C6" s="18"/>
      <c r="D6" s="18"/>
      <c r="E6" s="18"/>
      <c r="F6" s="18"/>
      <c r="G6" s="18"/>
      <c r="H6" s="18"/>
      <c r="I6" s="18"/>
      <c r="J6" s="18"/>
      <c r="K6" s="18"/>
    </row>
    <row r="7" spans="2:11" s="20" customFormat="1">
      <c r="B7" s="19" t="s">
        <v>23</v>
      </c>
      <c r="C7" s="19"/>
      <c r="D7" s="19"/>
      <c r="E7" s="19"/>
      <c r="F7" s="19"/>
      <c r="G7" s="19"/>
      <c r="H7" s="19"/>
      <c r="I7" s="19"/>
      <c r="J7" s="19"/>
      <c r="K7" s="19"/>
    </row>
    <row r="8" spans="2:11">
      <c r="B8" s="18"/>
      <c r="C8" s="18"/>
      <c r="D8" s="18"/>
      <c r="E8" s="18"/>
      <c r="F8" s="18"/>
      <c r="G8" s="18"/>
      <c r="H8" s="18"/>
      <c r="I8" s="18"/>
      <c r="J8" s="18"/>
      <c r="K8" s="18"/>
    </row>
    <row r="9" spans="2:11" outlineLevel="1">
      <c r="E9" s="2">
        <v>1</v>
      </c>
      <c r="F9" s="2">
        <v>2</v>
      </c>
      <c r="G9" s="2">
        <v>3</v>
      </c>
      <c r="H9" s="2">
        <v>4</v>
      </c>
      <c r="I9" s="2">
        <v>5</v>
      </c>
      <c r="J9" s="2">
        <v>6</v>
      </c>
    </row>
    <row r="10" spans="2:11" outlineLevel="1">
      <c r="C10" t="s">
        <v>12</v>
      </c>
      <c r="E10" s="2">
        <v>2000</v>
      </c>
      <c r="F10" s="2">
        <v>2000</v>
      </c>
      <c r="G10" s="2">
        <v>2000</v>
      </c>
      <c r="H10" s="2">
        <v>2000</v>
      </c>
      <c r="I10" s="2">
        <v>2000</v>
      </c>
      <c r="J10" s="2">
        <v>2000</v>
      </c>
    </row>
    <row r="11" spans="2:11" outlineLevel="1">
      <c r="C11" t="s">
        <v>13</v>
      </c>
      <c r="E11" s="3">
        <v>800</v>
      </c>
      <c r="F11" s="3">
        <v>800</v>
      </c>
      <c r="G11" s="3">
        <v>800</v>
      </c>
      <c r="H11" s="3">
        <v>800</v>
      </c>
      <c r="I11" s="3">
        <v>800</v>
      </c>
      <c r="J11" s="3">
        <v>800</v>
      </c>
    </row>
    <row r="12" spans="2:11" outlineLevel="1">
      <c r="C12" t="s">
        <v>14</v>
      </c>
      <c r="E12" s="3">
        <v>400</v>
      </c>
      <c r="F12" s="3">
        <v>400</v>
      </c>
      <c r="G12" s="3">
        <v>400</v>
      </c>
      <c r="H12" s="3">
        <v>400</v>
      </c>
      <c r="I12" s="3">
        <v>400</v>
      </c>
      <c r="J12" s="3">
        <v>400</v>
      </c>
    </row>
    <row r="13" spans="2:11" outlineLevel="1"/>
    <row r="14" spans="2:11" outlineLevel="1">
      <c r="D14" s="2" t="s">
        <v>10</v>
      </c>
      <c r="E14" s="2" t="s">
        <v>2</v>
      </c>
      <c r="F14" s="2" t="s">
        <v>3</v>
      </c>
      <c r="G14" s="2" t="s">
        <v>4</v>
      </c>
      <c r="H14" s="2" t="s">
        <v>5</v>
      </c>
      <c r="I14" s="2" t="s">
        <v>6</v>
      </c>
      <c r="J14" s="2" t="s">
        <v>7</v>
      </c>
    </row>
    <row r="15" spans="2:11" outlineLevel="1">
      <c r="C15" t="s">
        <v>8</v>
      </c>
      <c r="E15" s="4">
        <f>+E10*E11</f>
        <v>1600000</v>
      </c>
      <c r="F15" s="4">
        <f t="shared" ref="F15:J15" si="0">+F10*F11</f>
        <v>1600000</v>
      </c>
      <c r="G15" s="4">
        <f t="shared" si="0"/>
        <v>1600000</v>
      </c>
      <c r="H15" s="4">
        <f t="shared" si="0"/>
        <v>1600000</v>
      </c>
      <c r="I15" s="4">
        <f t="shared" si="0"/>
        <v>1600000</v>
      </c>
      <c r="J15" s="4">
        <f t="shared" si="0"/>
        <v>1600000</v>
      </c>
    </row>
    <row r="16" spans="2:11" outlineLevel="1">
      <c r="C16" t="s">
        <v>9</v>
      </c>
      <c r="E16" s="5">
        <f>+E17+E18</f>
        <v>840000</v>
      </c>
      <c r="F16" s="5">
        <f t="shared" ref="F16:J16" si="1">+F17+F18</f>
        <v>840000</v>
      </c>
      <c r="G16" s="5">
        <f t="shared" si="1"/>
        <v>840000</v>
      </c>
      <c r="H16" s="5">
        <f t="shared" si="1"/>
        <v>840000</v>
      </c>
      <c r="I16" s="5">
        <f t="shared" si="1"/>
        <v>840000</v>
      </c>
      <c r="J16" s="5">
        <f t="shared" si="1"/>
        <v>840000</v>
      </c>
    </row>
    <row r="17" spans="3:10" outlineLevel="1">
      <c r="C17" s="2" t="s">
        <v>15</v>
      </c>
      <c r="E17" s="9">
        <v>40000</v>
      </c>
      <c r="F17" s="9">
        <v>40000</v>
      </c>
      <c r="G17" s="9">
        <v>40000</v>
      </c>
      <c r="H17" s="9">
        <v>40000</v>
      </c>
      <c r="I17" s="9">
        <v>40000</v>
      </c>
      <c r="J17" s="9">
        <v>40000</v>
      </c>
    </row>
    <row r="18" spans="3:10" outlineLevel="1">
      <c r="C18" s="2" t="s">
        <v>14</v>
      </c>
      <c r="E18" s="10">
        <f>+E10*E12</f>
        <v>800000</v>
      </c>
      <c r="F18" s="10">
        <f t="shared" ref="F18:J18" si="2">+F10*F12</f>
        <v>800000</v>
      </c>
      <c r="G18" s="10">
        <f t="shared" si="2"/>
        <v>800000</v>
      </c>
      <c r="H18" s="10">
        <f t="shared" si="2"/>
        <v>800000</v>
      </c>
      <c r="I18" s="10">
        <f t="shared" si="2"/>
        <v>800000</v>
      </c>
      <c r="J18" s="10">
        <f t="shared" si="2"/>
        <v>800000</v>
      </c>
    </row>
    <row r="19" spans="3:10" outlineLevel="1">
      <c r="C19" t="s">
        <v>18</v>
      </c>
      <c r="E19" s="4">
        <f>+E15-E16</f>
        <v>760000</v>
      </c>
      <c r="F19" s="4">
        <f t="shared" ref="F19:J19" si="3">+F15-F16</f>
        <v>760000</v>
      </c>
      <c r="G19" s="4">
        <f t="shared" si="3"/>
        <v>760000</v>
      </c>
      <c r="H19" s="4">
        <f t="shared" si="3"/>
        <v>760000</v>
      </c>
      <c r="I19" s="4">
        <f t="shared" si="3"/>
        <v>760000</v>
      </c>
      <c r="J19" s="4">
        <f t="shared" si="3"/>
        <v>760000</v>
      </c>
    </row>
    <row r="20" spans="3:10" outlineLevel="1"/>
    <row r="21" spans="3:10" outlineLevel="1">
      <c r="C21" t="s">
        <v>11</v>
      </c>
      <c r="D21" s="8">
        <v>-2000000</v>
      </c>
    </row>
    <row r="22" spans="3:10" outlineLevel="1">
      <c r="C22" t="s">
        <v>16</v>
      </c>
      <c r="J22" s="7">
        <f>-D21*0.1</f>
        <v>200000</v>
      </c>
    </row>
    <row r="23" spans="3:10" outlineLevel="1">
      <c r="D23" s="2" t="s">
        <v>19</v>
      </c>
    </row>
    <row r="24" spans="3:10" outlineLevel="1">
      <c r="C24" t="s">
        <v>17</v>
      </c>
      <c r="D24" s="11">
        <f>+SUM(D19:D22)</f>
        <v>-2000000</v>
      </c>
      <c r="E24" s="12">
        <f t="shared" ref="E24:J24" si="4">+SUM(E19:E22)</f>
        <v>760000</v>
      </c>
      <c r="F24" s="12">
        <f t="shared" si="4"/>
        <v>760000</v>
      </c>
      <c r="G24" s="12">
        <f t="shared" si="4"/>
        <v>760000</v>
      </c>
      <c r="H24" s="12">
        <f t="shared" si="4"/>
        <v>760000</v>
      </c>
      <c r="I24" s="12">
        <f t="shared" si="4"/>
        <v>760000</v>
      </c>
      <c r="J24" s="12">
        <f t="shared" si="4"/>
        <v>960000</v>
      </c>
    </row>
    <row r="25" spans="3:10" outlineLevel="1">
      <c r="C25" t="s">
        <v>20</v>
      </c>
      <c r="D25" s="13">
        <f t="shared" ref="D25:J25" si="5">+D24/POWER(1+$D$26,D9)</f>
        <v>-2000000</v>
      </c>
      <c r="E25" s="13">
        <f t="shared" si="5"/>
        <v>655172.41379310354</v>
      </c>
      <c r="F25" s="13">
        <f t="shared" si="5"/>
        <v>564803.80499405472</v>
      </c>
      <c r="G25" s="13">
        <f t="shared" si="5"/>
        <v>486899.83189142653</v>
      </c>
      <c r="H25" s="13">
        <f t="shared" si="5"/>
        <v>419741.23438916082</v>
      </c>
      <c r="I25" s="13">
        <f t="shared" si="5"/>
        <v>361845.8917147938</v>
      </c>
      <c r="J25" s="13">
        <f t="shared" si="5"/>
        <v>394024.56448071921</v>
      </c>
    </row>
    <row r="26" spans="3:10" outlineLevel="1">
      <c r="C26" s="2" t="s">
        <v>0</v>
      </c>
      <c r="D26" s="17">
        <v>0.16</v>
      </c>
    </row>
    <row r="27" spans="3:10" outlineLevel="1">
      <c r="C27" s="15" t="s">
        <v>21</v>
      </c>
      <c r="D27" s="16">
        <f>+D25+SUM(E25:J25)</f>
        <v>882487.74126325874</v>
      </c>
    </row>
    <row r="28" spans="3:10" outlineLevel="1"/>
    <row r="29" spans="3:10" outlineLevel="1">
      <c r="C29" t="s">
        <v>21</v>
      </c>
    </row>
    <row r="30" spans="3:10" outlineLevel="1"/>
    <row r="31" spans="3:10" outlineLevel="1">
      <c r="C31" t="s">
        <v>20</v>
      </c>
      <c r="D31" s="13">
        <f t="shared" ref="D31:J31" si="6">+D24/POWER(1+$I$32,D9)</f>
        <v>-2000000</v>
      </c>
      <c r="E31" s="14">
        <f>+E24/POWER(1+$I$32,E9)</f>
        <v>579524.52818318515</v>
      </c>
      <c r="F31" s="14">
        <f t="shared" si="6"/>
        <v>441906.15627097804</v>
      </c>
      <c r="G31" s="14">
        <f t="shared" si="6"/>
        <v>336967.70620287291</v>
      </c>
      <c r="H31" s="14">
        <f t="shared" si="6"/>
        <v>256948.75125025012</v>
      </c>
      <c r="I31" s="14">
        <f t="shared" si="6"/>
        <v>195931.71557310497</v>
      </c>
      <c r="J31" s="14">
        <f t="shared" si="6"/>
        <v>188721.16624425325</v>
      </c>
    </row>
    <row r="32" spans="3:10" outlineLevel="1">
      <c r="H32" s="2" t="s">
        <v>0</v>
      </c>
      <c r="I32" s="17">
        <v>0.31141990207490816</v>
      </c>
    </row>
    <row r="33" spans="3:17" outlineLevel="1">
      <c r="D33" s="53"/>
      <c r="H33" s="15" t="s">
        <v>21</v>
      </c>
      <c r="I33" s="52">
        <f>+D31+SUM(E31:J31)</f>
        <v>2.372464444488287E-2</v>
      </c>
    </row>
    <row r="34" spans="3:17" outlineLevel="1"/>
    <row r="42" spans="3:17">
      <c r="C42" s="66" t="s">
        <v>179</v>
      </c>
      <c r="D42" s="66">
        <v>2000000</v>
      </c>
      <c r="E42" s="87"/>
      <c r="F42" s="87"/>
      <c r="G42" s="87"/>
      <c r="H42" s="87"/>
      <c r="I42" s="87"/>
      <c r="J42" s="87"/>
    </row>
    <row r="43" spans="3:17">
      <c r="C43" s="66" t="s">
        <v>180</v>
      </c>
      <c r="D43" s="66">
        <v>800</v>
      </c>
      <c r="E43" s="87"/>
      <c r="F43" s="87"/>
      <c r="G43" s="87"/>
      <c r="H43" s="87"/>
      <c r="I43" s="87"/>
      <c r="J43" s="87"/>
    </row>
    <row r="44" spans="3:17">
      <c r="C44" s="66" t="s">
        <v>181</v>
      </c>
      <c r="D44" s="66">
        <v>2000</v>
      </c>
      <c r="E44" s="87" t="s">
        <v>182</v>
      </c>
      <c r="F44" s="87"/>
      <c r="G44" s="87"/>
      <c r="H44" s="87"/>
      <c r="I44" s="87"/>
      <c r="J44" s="87"/>
      <c r="Q44" s="66">
        <f>2000/6</f>
        <v>333.33333333333331</v>
      </c>
    </row>
    <row r="45" spans="3:17">
      <c r="C45" s="66" t="s">
        <v>14</v>
      </c>
      <c r="D45" s="66">
        <v>400</v>
      </c>
      <c r="E45" s="87"/>
      <c r="F45" s="87"/>
      <c r="G45" s="87"/>
      <c r="H45" s="87"/>
      <c r="I45" s="87"/>
      <c r="J45" s="87"/>
    </row>
    <row r="46" spans="3:17">
      <c r="C46" s="66" t="s">
        <v>15</v>
      </c>
      <c r="D46" s="66">
        <v>40000</v>
      </c>
      <c r="E46" s="87"/>
      <c r="F46" s="87"/>
      <c r="G46" s="87"/>
      <c r="H46" s="87"/>
      <c r="I46" s="87"/>
      <c r="J46" s="87"/>
    </row>
    <row r="47" spans="3:17">
      <c r="C47" s="66" t="s">
        <v>149</v>
      </c>
      <c r="D47" s="66">
        <v>6</v>
      </c>
      <c r="E47" s="87"/>
      <c r="F47" s="87"/>
      <c r="G47" s="87"/>
      <c r="H47" s="87"/>
      <c r="I47" s="87"/>
      <c r="J47" s="87"/>
    </row>
    <row r="48" spans="3:17">
      <c r="C48" s="66" t="s">
        <v>183</v>
      </c>
      <c r="D48" s="66" t="s">
        <v>184</v>
      </c>
      <c r="E48" s="87"/>
      <c r="F48" s="87"/>
      <c r="G48" s="87"/>
      <c r="H48" s="87"/>
      <c r="I48" s="87"/>
      <c r="J48" s="87"/>
    </row>
    <row r="49" spans="3:11">
      <c r="C49" s="66" t="s">
        <v>185</v>
      </c>
      <c r="D49"/>
      <c r="E49" s="87"/>
      <c r="F49" s="87"/>
      <c r="G49" s="87"/>
      <c r="H49" s="87"/>
      <c r="I49" s="87"/>
      <c r="J49" s="87"/>
    </row>
    <row r="50" spans="3:11">
      <c r="C50" s="66" t="s">
        <v>186</v>
      </c>
      <c r="D50" s="82">
        <v>0.16</v>
      </c>
      <c r="E50" s="87"/>
      <c r="F50" s="87"/>
      <c r="G50" s="87"/>
      <c r="H50" s="87"/>
      <c r="I50" s="87"/>
      <c r="J50" s="87"/>
    </row>
    <row r="51" spans="3:11">
      <c r="D51"/>
      <c r="E51" s="87"/>
      <c r="F51" s="87"/>
      <c r="G51" s="87"/>
      <c r="H51" s="87"/>
      <c r="I51" s="87"/>
      <c r="J51" s="87"/>
    </row>
    <row r="52" spans="3:11">
      <c r="D52" s="66" t="s">
        <v>187</v>
      </c>
      <c r="E52" s="87">
        <v>0</v>
      </c>
      <c r="F52" s="87">
        <v>1</v>
      </c>
      <c r="G52" s="87">
        <v>2</v>
      </c>
      <c r="H52" s="87">
        <v>3</v>
      </c>
      <c r="I52" s="87">
        <v>4</v>
      </c>
      <c r="J52" s="87">
        <v>5</v>
      </c>
      <c r="K52" s="87">
        <v>6</v>
      </c>
    </row>
    <row r="53" spans="3:11" ht="18.75">
      <c r="D53" s="88" t="s">
        <v>8</v>
      </c>
      <c r="E53" s="87"/>
      <c r="F53" s="87">
        <f t="shared" ref="F53:K53" si="7">(800*(2000))</f>
        <v>1600000</v>
      </c>
      <c r="G53" s="87">
        <f t="shared" si="7"/>
        <v>1600000</v>
      </c>
      <c r="H53" s="87">
        <f t="shared" si="7"/>
        <v>1600000</v>
      </c>
      <c r="I53" s="87">
        <f t="shared" si="7"/>
        <v>1600000</v>
      </c>
      <c r="J53" s="87">
        <f t="shared" si="7"/>
        <v>1600000</v>
      </c>
      <c r="K53" s="87">
        <f t="shared" si="7"/>
        <v>1600000</v>
      </c>
    </row>
    <row r="54" spans="3:11" ht="18.75">
      <c r="D54" s="88" t="s">
        <v>87</v>
      </c>
      <c r="E54" s="87"/>
      <c r="F54" s="87">
        <f t="shared" ref="F54:K54" si="8">-((400*2000))</f>
        <v>-800000</v>
      </c>
      <c r="G54" s="87">
        <f t="shared" si="8"/>
        <v>-800000</v>
      </c>
      <c r="H54" s="87">
        <f t="shared" si="8"/>
        <v>-800000</v>
      </c>
      <c r="I54" s="87">
        <f t="shared" si="8"/>
        <v>-800000</v>
      </c>
      <c r="J54" s="87">
        <f t="shared" si="8"/>
        <v>-800000</v>
      </c>
      <c r="K54" s="87">
        <f t="shared" si="8"/>
        <v>-800000</v>
      </c>
    </row>
    <row r="55" spans="3:11" ht="18.75">
      <c r="D55" s="88" t="s">
        <v>90</v>
      </c>
      <c r="E55" s="87">
        <v>-2000000</v>
      </c>
      <c r="F55" s="87">
        <v>-40000</v>
      </c>
      <c r="G55" s="87">
        <v>-40000</v>
      </c>
      <c r="H55" s="87">
        <v>-40000</v>
      </c>
      <c r="I55" s="87">
        <v>-40000</v>
      </c>
      <c r="J55" s="87">
        <v>-40000</v>
      </c>
      <c r="K55" s="66">
        <f>-(40000) + (0.1*2000000)</f>
        <v>160000</v>
      </c>
    </row>
    <row r="56" spans="3:11">
      <c r="D56"/>
      <c r="E56" s="87"/>
      <c r="F56" s="87"/>
      <c r="G56" s="87"/>
      <c r="H56" s="87"/>
      <c r="I56" s="87"/>
      <c r="J56" s="87"/>
    </row>
    <row r="57" spans="3:11" ht="18.75">
      <c r="D57" s="88" t="s">
        <v>91</v>
      </c>
      <c r="E57" s="87">
        <f t="shared" ref="E57:K57" si="9">SUM(E53:E55)</f>
        <v>-2000000</v>
      </c>
      <c r="F57" s="87">
        <f t="shared" si="9"/>
        <v>760000</v>
      </c>
      <c r="G57" s="87">
        <f t="shared" si="9"/>
        <v>760000</v>
      </c>
      <c r="H57" s="87">
        <f t="shared" si="9"/>
        <v>760000</v>
      </c>
      <c r="I57" s="87">
        <f t="shared" si="9"/>
        <v>760000</v>
      </c>
      <c r="J57" s="87">
        <f t="shared" si="9"/>
        <v>760000</v>
      </c>
      <c r="K57" s="87">
        <f t="shared" si="9"/>
        <v>960000</v>
      </c>
    </row>
    <row r="58" spans="3:11" ht="18.75">
      <c r="D58" s="88" t="s">
        <v>20</v>
      </c>
      <c r="E58" s="87">
        <f t="shared" ref="E58:K58" si="10">E57/POWER(1+0.16,E52)</f>
        <v>-2000000</v>
      </c>
      <c r="F58" s="87">
        <f t="shared" si="10"/>
        <v>655172.41379310354</v>
      </c>
      <c r="G58" s="87">
        <f t="shared" si="10"/>
        <v>564803.80499405472</v>
      </c>
      <c r="H58" s="87">
        <f t="shared" si="10"/>
        <v>486899.83189142653</v>
      </c>
      <c r="I58" s="87">
        <f t="shared" si="10"/>
        <v>419741.23438916082</v>
      </c>
      <c r="J58" s="87">
        <f t="shared" si="10"/>
        <v>361845.8917147938</v>
      </c>
      <c r="K58" s="87">
        <f t="shared" si="10"/>
        <v>394024.56448071921</v>
      </c>
    </row>
    <row r="59" spans="3:11">
      <c r="D59"/>
      <c r="E59" s="87"/>
      <c r="F59" s="87"/>
      <c r="G59" s="87"/>
      <c r="H59" s="87"/>
      <c r="I59" s="87"/>
      <c r="J59" s="87"/>
    </row>
    <row r="60" spans="3:11">
      <c r="D60" s="66" t="s">
        <v>188</v>
      </c>
      <c r="E60" s="87">
        <f>SUM(E58:K58)</f>
        <v>882487.74126325862</v>
      </c>
      <c r="F60" s="87"/>
      <c r="G60" s="87"/>
      <c r="H60" s="87"/>
      <c r="I60" s="87"/>
      <c r="J60" s="87"/>
    </row>
    <row r="61" spans="3:11">
      <c r="D61" s="66" t="s">
        <v>189</v>
      </c>
      <c r="E61" s="89">
        <f>IRR(E57:K57)</f>
        <v>0.31141990761692062</v>
      </c>
      <c r="F61" s="87"/>
      <c r="G61" s="87"/>
      <c r="H61" s="87"/>
      <c r="I61" s="87"/>
      <c r="J61" s="87"/>
    </row>
    <row r="62" spans="3:11" ht="17.25">
      <c r="D62" s="66" t="s">
        <v>190</v>
      </c>
      <c r="E62" s="90" t="e">
        <f>E57/POWER(1+$D$55,E52)</f>
        <v>#VALUE!</v>
      </c>
      <c r="F62" s="90" t="e">
        <f>F57/POWER(1+$D$55,F52)</f>
        <v>#VALUE!</v>
      </c>
      <c r="G62" s="90" t="e">
        <f t="shared" ref="G62:K62" si="11">G57/POWER(1+$D$55,G52)</f>
        <v>#VALUE!</v>
      </c>
      <c r="H62" s="90" t="e">
        <f t="shared" si="11"/>
        <v>#VALUE!</v>
      </c>
      <c r="I62" s="90" t="e">
        <f t="shared" si="11"/>
        <v>#VALUE!</v>
      </c>
      <c r="J62" s="90" t="e">
        <f t="shared" si="11"/>
        <v>#VALUE!</v>
      </c>
      <c r="K62" s="90" t="e">
        <f t="shared" si="11"/>
        <v>#VALUE!</v>
      </c>
    </row>
    <row r="63" spans="3:11">
      <c r="D63" s="66" t="s">
        <v>188</v>
      </c>
      <c r="E63" s="91" t="e">
        <f>SUM(E62:K62)</f>
        <v>#VALUE!</v>
      </c>
      <c r="F63" s="87"/>
      <c r="G63" s="87"/>
      <c r="H63" s="87"/>
      <c r="I63" s="87"/>
      <c r="J63" s="87"/>
    </row>
    <row r="64" spans="3:11">
      <c r="D64"/>
      <c r="E64" s="87"/>
      <c r="F64" s="87"/>
      <c r="G64" s="87"/>
      <c r="H64" s="87"/>
      <c r="I64" s="87"/>
      <c r="J64" s="87"/>
    </row>
    <row r="65" spans="4:10">
      <c r="D65"/>
      <c r="E65" s="87"/>
      <c r="F65" s="87"/>
      <c r="G65" s="87"/>
      <c r="H65" s="87"/>
      <c r="I65" s="87"/>
      <c r="J65" s="87"/>
    </row>
  </sheetData>
  <mergeCells count="1">
    <mergeCell ref="B4:K4"/>
  </mergeCells>
  <pageMargins left="0.7" right="0.7" top="0.75" bottom="0.75" header="0.3" footer="0.3"/>
  <pageSetup paperSize="9" orientation="portrait" horizontalDpi="1200" verticalDpi="12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6046CD-5811-4E27-AE90-4D9E8B38568F}">
  <sheetPr>
    <tabColor rgb="FFFF0000"/>
  </sheetPr>
  <dimension ref="B2:M22"/>
  <sheetViews>
    <sheetView workbookViewId="0">
      <selection activeCell="H27" sqref="H27"/>
    </sheetView>
  </sheetViews>
  <sheetFormatPr baseColWidth="10" defaultRowHeight="15"/>
  <cols>
    <col min="6" max="6" width="37.85546875" customWidth="1"/>
  </cols>
  <sheetData>
    <row r="2" spans="2:13">
      <c r="B2" s="92" t="s">
        <v>22</v>
      </c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</row>
    <row r="4" spans="2:13" ht="15.75">
      <c r="B4" s="94" t="s">
        <v>191</v>
      </c>
      <c r="C4" s="94"/>
      <c r="D4" s="94"/>
      <c r="E4" s="94"/>
      <c r="F4" s="94"/>
      <c r="G4" s="94"/>
      <c r="H4" s="94"/>
      <c r="I4" s="94"/>
      <c r="J4" s="94"/>
      <c r="K4" s="94"/>
      <c r="L4" s="94"/>
      <c r="M4" s="94"/>
    </row>
    <row r="5" spans="2:13" ht="15.75">
      <c r="B5" s="94" t="s">
        <v>192</v>
      </c>
      <c r="C5" s="94"/>
      <c r="D5" s="94"/>
      <c r="E5" s="94"/>
      <c r="F5" s="94"/>
      <c r="G5" s="94"/>
      <c r="H5" s="94"/>
      <c r="I5" s="94"/>
      <c r="J5" s="94"/>
      <c r="K5" s="94"/>
      <c r="L5" s="94"/>
      <c r="M5" s="94"/>
    </row>
    <row r="6" spans="2:13" ht="15.75">
      <c r="B6" s="94" t="s">
        <v>193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</row>
    <row r="7" spans="2:13" ht="15.75">
      <c r="B7" s="95" t="s">
        <v>194</v>
      </c>
      <c r="C7" s="95">
        <v>3</v>
      </c>
      <c r="D7" s="95" t="s">
        <v>195</v>
      </c>
      <c r="E7" s="95">
        <v>4.2</v>
      </c>
      <c r="F7" s="94"/>
      <c r="G7" s="94"/>
      <c r="H7" s="94"/>
      <c r="I7" s="94"/>
      <c r="J7" s="94"/>
      <c r="K7" s="94"/>
      <c r="L7" s="94"/>
      <c r="M7" s="94"/>
    </row>
    <row r="8" spans="2:13" ht="15.75">
      <c r="B8" s="95" t="s">
        <v>196</v>
      </c>
      <c r="C8" s="95">
        <v>3.45</v>
      </c>
      <c r="D8" s="95" t="s">
        <v>197</v>
      </c>
      <c r="E8" s="95">
        <f t="shared" ref="E8:E11" si="0">+E7</f>
        <v>4.2</v>
      </c>
      <c r="F8" s="94"/>
      <c r="G8" s="94"/>
      <c r="H8" s="94"/>
      <c r="I8" s="94"/>
      <c r="J8" s="94"/>
      <c r="K8" s="94"/>
      <c r="L8" s="94"/>
      <c r="M8" s="94"/>
    </row>
    <row r="9" spans="2:13" ht="15.75">
      <c r="B9" s="95" t="s">
        <v>198</v>
      </c>
      <c r="C9" s="95">
        <v>4.5</v>
      </c>
      <c r="D9" s="95" t="s">
        <v>199</v>
      </c>
      <c r="E9" s="95">
        <f t="shared" si="0"/>
        <v>4.2</v>
      </c>
      <c r="F9" s="94"/>
      <c r="G9" s="94"/>
      <c r="H9" s="94"/>
      <c r="I9" s="94"/>
      <c r="J9" s="94"/>
      <c r="K9" s="94"/>
      <c r="L9" s="94"/>
      <c r="M9" s="94"/>
    </row>
    <row r="10" spans="2:13" ht="15.75">
      <c r="B10" s="95" t="s">
        <v>200</v>
      </c>
      <c r="C10" s="95">
        <v>4.8</v>
      </c>
      <c r="D10" s="95" t="s">
        <v>201</v>
      </c>
      <c r="E10" s="95">
        <f t="shared" si="0"/>
        <v>4.2</v>
      </c>
      <c r="F10" s="94"/>
      <c r="G10" s="94"/>
      <c r="H10" s="94"/>
      <c r="I10" s="94"/>
      <c r="J10" s="94"/>
      <c r="K10" s="94"/>
      <c r="L10" s="94"/>
      <c r="M10" s="94"/>
    </row>
    <row r="11" spans="2:13" ht="15.75">
      <c r="B11" s="95" t="s">
        <v>202</v>
      </c>
      <c r="C11" s="95">
        <v>4.05</v>
      </c>
      <c r="D11" s="95" t="s">
        <v>203</v>
      </c>
      <c r="E11" s="95">
        <f t="shared" si="0"/>
        <v>4.2</v>
      </c>
      <c r="F11" s="94"/>
      <c r="G11" s="94"/>
      <c r="H11" s="94"/>
      <c r="I11" s="94"/>
      <c r="J11" s="94"/>
      <c r="K11" s="94"/>
      <c r="L11" s="94"/>
      <c r="M11" s="94"/>
    </row>
    <row r="12" spans="2:13" ht="15.75">
      <c r="B12" s="94" t="s">
        <v>204</v>
      </c>
      <c r="C12" s="94"/>
      <c r="D12" s="94"/>
      <c r="E12" s="94"/>
      <c r="F12" s="94"/>
      <c r="G12" s="94"/>
      <c r="H12" s="94"/>
      <c r="I12" s="94"/>
      <c r="J12" s="94"/>
      <c r="K12" s="94"/>
      <c r="L12" s="94"/>
      <c r="M12" s="94"/>
    </row>
    <row r="13" spans="2:13" ht="15.75">
      <c r="B13" s="94"/>
      <c r="C13" s="94"/>
      <c r="D13" s="94"/>
      <c r="E13" s="94"/>
      <c r="F13" s="94" t="s">
        <v>205</v>
      </c>
      <c r="G13" s="96">
        <v>100000</v>
      </c>
      <c r="H13" s="94" t="s">
        <v>206</v>
      </c>
      <c r="I13" s="94"/>
      <c r="J13" s="94"/>
      <c r="K13" s="94"/>
      <c r="L13" s="94"/>
      <c r="M13" s="94"/>
    </row>
    <row r="14" spans="2:13" ht="15.75">
      <c r="B14" s="94"/>
      <c r="C14" s="94"/>
      <c r="D14" s="94"/>
      <c r="E14" s="94"/>
      <c r="F14" s="94" t="s">
        <v>207</v>
      </c>
      <c r="G14" s="96">
        <v>15000</v>
      </c>
      <c r="H14" s="94" t="s">
        <v>208</v>
      </c>
      <c r="I14" s="94"/>
      <c r="J14" s="94"/>
      <c r="K14" s="94"/>
      <c r="L14" s="94"/>
      <c r="M14" s="94"/>
    </row>
    <row r="15" spans="2:13" ht="15.75">
      <c r="B15" s="94"/>
      <c r="C15" s="94"/>
      <c r="D15" s="94"/>
      <c r="E15" s="94"/>
      <c r="F15" s="94" t="s">
        <v>209</v>
      </c>
      <c r="G15" s="96">
        <v>15000</v>
      </c>
      <c r="H15" s="94" t="s">
        <v>210</v>
      </c>
      <c r="I15" s="94"/>
      <c r="J15" s="94"/>
      <c r="K15" s="94"/>
      <c r="L15" s="94"/>
      <c r="M15" s="94"/>
    </row>
    <row r="16" spans="2:13" ht="15.75">
      <c r="B16" s="94"/>
      <c r="C16" s="94"/>
      <c r="D16" s="94"/>
      <c r="E16" s="94"/>
      <c r="F16" s="94"/>
      <c r="G16" s="94"/>
      <c r="H16" s="94"/>
      <c r="I16" s="94"/>
      <c r="J16" s="94"/>
      <c r="K16" s="94"/>
      <c r="L16" s="94"/>
      <c r="M16" s="94"/>
    </row>
    <row r="17" spans="2:13" ht="15.75">
      <c r="B17" s="94" t="s">
        <v>211</v>
      </c>
      <c r="C17" s="94"/>
      <c r="D17" s="94"/>
      <c r="E17" s="94"/>
      <c r="F17" s="94"/>
      <c r="G17" s="94"/>
      <c r="H17" s="94"/>
      <c r="I17" s="94"/>
      <c r="J17" s="94"/>
      <c r="K17" s="94"/>
      <c r="L17" s="94"/>
      <c r="M17" s="94"/>
    </row>
    <row r="18" spans="2:13" ht="15.75">
      <c r="B18" s="94" t="s">
        <v>212</v>
      </c>
      <c r="C18" s="94"/>
      <c r="D18" s="94"/>
      <c r="E18" s="97">
        <v>0.12</v>
      </c>
      <c r="F18" s="94"/>
      <c r="G18" s="94"/>
      <c r="H18" s="94"/>
      <c r="I18" s="94"/>
      <c r="J18" s="94"/>
      <c r="K18" s="94"/>
      <c r="L18" s="94"/>
      <c r="M18" s="94"/>
    </row>
    <row r="19" spans="2:13" ht="15.75">
      <c r="B19" s="94"/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</row>
    <row r="20" spans="2:13" ht="15.75">
      <c r="B20" s="94" t="s">
        <v>213</v>
      </c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</row>
    <row r="22" spans="2:13">
      <c r="B22" s="92" t="s">
        <v>23</v>
      </c>
      <c r="C22" s="93"/>
      <c r="D22" s="93"/>
      <c r="E22" s="93"/>
      <c r="F22" s="93"/>
      <c r="G22" s="93"/>
      <c r="H22" s="93"/>
      <c r="I22" s="93"/>
      <c r="J22" s="93"/>
      <c r="K22" s="93"/>
      <c r="L22" s="93"/>
      <c r="M22" s="9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A1:I12"/>
  <sheetViews>
    <sheetView workbookViewId="0">
      <selection sqref="A1:J12"/>
    </sheetView>
  </sheetViews>
  <sheetFormatPr baseColWidth="10" defaultRowHeight="15"/>
  <cols>
    <col min="2" max="2" width="15.85546875" bestFit="1" customWidth="1"/>
    <col min="6" max="6" width="15.85546875" bestFit="1" customWidth="1"/>
  </cols>
  <sheetData>
    <row r="1" spans="1:9">
      <c r="A1" s="35" t="s">
        <v>103</v>
      </c>
      <c r="B1" s="35"/>
      <c r="C1" s="35"/>
      <c r="D1" s="35"/>
      <c r="E1" s="35"/>
      <c r="F1" s="35"/>
      <c r="G1" s="35"/>
      <c r="H1" s="35"/>
      <c r="I1" s="35"/>
    </row>
    <row r="2" spans="1:9">
      <c r="A2" s="98" t="s">
        <v>104</v>
      </c>
      <c r="B2" s="98"/>
      <c r="C2" s="98"/>
      <c r="D2" s="98"/>
      <c r="E2" s="98"/>
      <c r="F2" s="98"/>
      <c r="G2" s="98"/>
      <c r="H2" s="98"/>
      <c r="I2" s="98"/>
    </row>
    <row r="3" spans="1:9">
      <c r="A3" s="98"/>
      <c r="B3" s="98"/>
      <c r="C3" s="98"/>
      <c r="D3" s="98"/>
      <c r="E3" s="98"/>
      <c r="F3" s="98"/>
      <c r="G3" s="98"/>
      <c r="H3" s="98"/>
      <c r="I3" s="98"/>
    </row>
    <row r="5" spans="1:9">
      <c r="A5" s="54" t="s">
        <v>43</v>
      </c>
      <c r="B5" s="6">
        <v>50</v>
      </c>
    </row>
    <row r="6" spans="1:9">
      <c r="A6" s="54" t="s">
        <v>48</v>
      </c>
      <c r="B6" s="54">
        <v>5</v>
      </c>
    </row>
    <row r="7" spans="1:9">
      <c r="A7" s="54" t="s">
        <v>50</v>
      </c>
      <c r="B7" s="55">
        <v>0.1</v>
      </c>
    </row>
    <row r="8" spans="1:9">
      <c r="A8" s="54" t="s">
        <v>52</v>
      </c>
      <c r="B8" s="6">
        <f>+((1+B7)^B6-1)/((1+B7)^B6*B7)*B5</f>
        <v>189.53933847042254</v>
      </c>
    </row>
    <row r="9" spans="1:9" ht="18.75">
      <c r="A9" s="54"/>
      <c r="B9" s="54"/>
      <c r="E9" s="28"/>
      <c r="F9" s="29"/>
    </row>
    <row r="10" spans="1:9" ht="18.75">
      <c r="A10" s="54" t="s">
        <v>105</v>
      </c>
      <c r="B10" s="6">
        <v>200</v>
      </c>
      <c r="E10" s="28"/>
      <c r="F10" s="28"/>
    </row>
    <row r="11" spans="1:9" ht="18.75">
      <c r="E11" s="28"/>
      <c r="F11" s="31"/>
    </row>
    <row r="12" spans="1:9" ht="18.75">
      <c r="A12" t="s">
        <v>106</v>
      </c>
      <c r="B12" t="s">
        <v>107</v>
      </c>
      <c r="E12" s="28"/>
      <c r="F12" s="29"/>
    </row>
  </sheetData>
  <mergeCells count="1">
    <mergeCell ref="A2:I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A1:F9"/>
  <sheetViews>
    <sheetView workbookViewId="0">
      <selection sqref="A1:I7"/>
    </sheetView>
  </sheetViews>
  <sheetFormatPr baseColWidth="10" defaultRowHeight="15"/>
  <cols>
    <col min="2" max="2" width="15.85546875" bestFit="1" customWidth="1"/>
    <col min="6" max="6" width="15.85546875" bestFit="1" customWidth="1"/>
  </cols>
  <sheetData>
    <row r="1" spans="1:6">
      <c r="A1" s="35" t="s">
        <v>108</v>
      </c>
    </row>
    <row r="2" spans="1:6" ht="14.45" customHeight="1">
      <c r="A2" t="s">
        <v>110</v>
      </c>
      <c r="B2" s="6"/>
    </row>
    <row r="3" spans="1:6">
      <c r="A3" t="s">
        <v>109</v>
      </c>
      <c r="B3" s="54"/>
    </row>
    <row r="4" spans="1:6">
      <c r="A4" s="54"/>
      <c r="B4" s="55"/>
    </row>
    <row r="5" spans="1:6">
      <c r="A5" s="54"/>
      <c r="B5" s="6" t="s">
        <v>217</v>
      </c>
    </row>
    <row r="6" spans="1:6" ht="18.75">
      <c r="A6" s="54" t="s">
        <v>106</v>
      </c>
      <c r="B6" s="6">
        <f>200/5%</f>
        <v>4000</v>
      </c>
      <c r="E6" s="28"/>
      <c r="F6" s="29"/>
    </row>
    <row r="7" spans="1:6" ht="18.75">
      <c r="A7" s="54"/>
      <c r="B7" s="6"/>
      <c r="E7" s="28"/>
      <c r="F7" s="28"/>
    </row>
    <row r="8" spans="1:6" ht="18.75">
      <c r="E8" s="28"/>
      <c r="F8" s="31"/>
    </row>
    <row r="9" spans="1:6" ht="18.75">
      <c r="E9" s="28"/>
      <c r="F9" s="29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50"/>
  </sheetPr>
  <dimension ref="A1:I12"/>
  <sheetViews>
    <sheetView workbookViewId="0">
      <selection sqref="A1:I12"/>
    </sheetView>
  </sheetViews>
  <sheetFormatPr baseColWidth="10" defaultRowHeight="15"/>
  <cols>
    <col min="2" max="2" width="15.85546875" bestFit="1" customWidth="1"/>
    <col min="6" max="6" width="15.85546875" bestFit="1" customWidth="1"/>
  </cols>
  <sheetData>
    <row r="1" spans="1:9">
      <c r="A1" s="35" t="s">
        <v>111</v>
      </c>
      <c r="B1" s="35"/>
      <c r="C1" s="35"/>
      <c r="D1" s="35"/>
      <c r="E1" s="35"/>
      <c r="F1" s="35"/>
      <c r="G1" s="35"/>
      <c r="H1" s="35"/>
      <c r="I1" s="35"/>
    </row>
    <row r="2" spans="1:9">
      <c r="A2" s="98" t="s">
        <v>112</v>
      </c>
      <c r="B2" s="98"/>
      <c r="C2" s="98"/>
      <c r="D2" s="98"/>
      <c r="E2" s="98"/>
      <c r="F2" s="98"/>
      <c r="G2" s="98"/>
      <c r="H2" s="98"/>
      <c r="I2" s="98"/>
    </row>
    <row r="3" spans="1:9">
      <c r="A3" s="98"/>
      <c r="B3" s="98"/>
      <c r="C3" s="98"/>
      <c r="D3" s="98"/>
      <c r="E3" s="98"/>
      <c r="F3" s="98"/>
      <c r="G3" s="98"/>
      <c r="H3" s="98"/>
      <c r="I3" s="98"/>
    </row>
    <row r="4" spans="1:9">
      <c r="A4" s="98"/>
      <c r="B4" s="98"/>
      <c r="C4" s="98"/>
      <c r="D4" s="98"/>
      <c r="E4" s="98"/>
      <c r="F4" s="98"/>
      <c r="G4" s="98"/>
      <c r="H4" s="98"/>
      <c r="I4" s="98"/>
    </row>
    <row r="5" spans="1:9">
      <c r="A5" t="s">
        <v>113</v>
      </c>
    </row>
    <row r="6" spans="1:9" ht="18.75">
      <c r="E6" s="28"/>
      <c r="F6" s="31"/>
    </row>
    <row r="7" spans="1:9" ht="18.75">
      <c r="A7" t="s">
        <v>106</v>
      </c>
      <c r="B7" t="s">
        <v>114</v>
      </c>
      <c r="C7" s="6">
        <v>100</v>
      </c>
      <c r="E7" s="28"/>
      <c r="F7" s="29"/>
    </row>
    <row r="8" spans="1:9">
      <c r="B8" t="s">
        <v>115</v>
      </c>
      <c r="C8" s="56">
        <v>0.05</v>
      </c>
    </row>
    <row r="9" spans="1:9">
      <c r="B9" s="57" t="s">
        <v>116</v>
      </c>
      <c r="C9" s="58">
        <f>+C7*C8</f>
        <v>5</v>
      </c>
    </row>
    <row r="12" spans="1:9">
      <c r="B12" t="s">
        <v>117</v>
      </c>
      <c r="C12" s="6">
        <f>+C9/C8</f>
        <v>100</v>
      </c>
    </row>
  </sheetData>
  <mergeCells count="1">
    <mergeCell ref="A2:I4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B050"/>
  </sheetPr>
  <dimension ref="B2:R94"/>
  <sheetViews>
    <sheetView workbookViewId="0">
      <selection activeCell="D17" sqref="D17"/>
    </sheetView>
  </sheetViews>
  <sheetFormatPr baseColWidth="10" defaultRowHeight="15"/>
  <cols>
    <col min="3" max="3" width="17.140625" bestFit="1" customWidth="1"/>
    <col min="4" max="4" width="21.7109375" bestFit="1" customWidth="1"/>
    <col min="5" max="5" width="15.5703125" customWidth="1"/>
    <col min="6" max="7" width="13" bestFit="1" customWidth="1"/>
    <col min="8" max="8" width="12" bestFit="1" customWidth="1"/>
    <col min="9" max="9" width="16.7109375" bestFit="1" customWidth="1"/>
    <col min="10" max="10" width="12.85546875" bestFit="1" customWidth="1"/>
    <col min="11" max="11" width="21.7109375" bestFit="1" customWidth="1"/>
    <col min="12" max="12" width="16.140625" customWidth="1"/>
    <col min="13" max="13" width="16.7109375" customWidth="1"/>
    <col min="14" max="14" width="13" bestFit="1" customWidth="1"/>
  </cols>
  <sheetData>
    <row r="2" spans="2:16" s="21" customFormat="1">
      <c r="B2" s="21" t="s">
        <v>22</v>
      </c>
    </row>
    <row r="3" spans="2:16" ht="14.45" customHeight="1">
      <c r="B3" s="25" t="s">
        <v>34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2:16" ht="14.45" customHeight="1">
      <c r="B4" s="25" t="s">
        <v>35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2:16" ht="15.75">
      <c r="B5" s="25" t="s">
        <v>36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2:16" ht="15.75">
      <c r="B6" s="25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2:16" ht="15.75">
      <c r="B7" s="25" t="s">
        <v>29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2:16" ht="15.75">
      <c r="B8" s="26" t="s">
        <v>30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2:16" ht="15.75">
      <c r="B9" s="26" t="s">
        <v>31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2:16" ht="15.75">
      <c r="B10" s="26" t="s">
        <v>32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2:16" ht="15.75">
      <c r="B11" s="26" t="s">
        <v>33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2:16" ht="15.75">
      <c r="B12" s="26" t="s">
        <v>138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</row>
    <row r="13" spans="2:16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2:16" s="21" customFormat="1">
      <c r="B14" s="21" t="s">
        <v>23</v>
      </c>
    </row>
    <row r="18" spans="2:14">
      <c r="F18" t="s">
        <v>57</v>
      </c>
      <c r="G18" s="6">
        <v>200000</v>
      </c>
    </row>
    <row r="19" spans="2:14">
      <c r="F19" t="s">
        <v>48</v>
      </c>
      <c r="G19">
        <v>20</v>
      </c>
    </row>
    <row r="20" spans="2:14">
      <c r="F20" t="s">
        <v>58</v>
      </c>
      <c r="G20" s="33">
        <v>0.12</v>
      </c>
    </row>
    <row r="22" spans="2:14">
      <c r="F22" s="57" t="s">
        <v>43</v>
      </c>
      <c r="G22" s="32">
        <f>+G18</f>
        <v>200000</v>
      </c>
      <c r="H22">
        <f>+POWER(1+G20,G19)*G20</f>
        <v>1.1575551711929937</v>
      </c>
      <c r="I22" s="59">
        <f>+G22*H22/H23</f>
        <v>26775.75600793213</v>
      </c>
    </row>
    <row r="23" spans="2:14">
      <c r="H23">
        <f>+POWER(1+G20,G19)-1</f>
        <v>8.6462930932749469</v>
      </c>
    </row>
    <row r="27" spans="2:14">
      <c r="C27" s="99" t="s">
        <v>59</v>
      </c>
      <c r="D27" s="99"/>
      <c r="E27" s="99"/>
      <c r="F27" s="99"/>
      <c r="G27" s="99"/>
      <c r="I27" s="99" t="s">
        <v>60</v>
      </c>
      <c r="J27" s="99"/>
      <c r="K27" s="99"/>
      <c r="L27" s="99"/>
      <c r="M27" s="99"/>
      <c r="N27" s="99"/>
    </row>
    <row r="28" spans="2:14">
      <c r="C28" s="60" t="s">
        <v>132</v>
      </c>
      <c r="D28" s="60" t="s">
        <v>133</v>
      </c>
      <c r="E28" s="60" t="s">
        <v>134</v>
      </c>
      <c r="F28" s="60" t="s">
        <v>61</v>
      </c>
      <c r="G28" s="60" t="s">
        <v>135</v>
      </c>
      <c r="J28" s="60" t="s">
        <v>132</v>
      </c>
      <c r="K28" s="60" t="s">
        <v>133</v>
      </c>
      <c r="L28" s="60" t="s">
        <v>134</v>
      </c>
      <c r="M28" s="60" t="s">
        <v>61</v>
      </c>
      <c r="N28" s="60" t="s">
        <v>135</v>
      </c>
    </row>
    <row r="29" spans="2:14">
      <c r="B29" t="s">
        <v>62</v>
      </c>
      <c r="C29" s="61">
        <f>+G18</f>
        <v>200000</v>
      </c>
      <c r="D29" s="32">
        <f t="shared" ref="D29:D48" si="0">+F29-E29</f>
        <v>2775.7560079321302</v>
      </c>
      <c r="E29" s="6">
        <f>+C29*$G$20</f>
        <v>24000</v>
      </c>
      <c r="F29" s="34">
        <f>+$I$22</f>
        <v>26775.75600793213</v>
      </c>
      <c r="G29" s="32">
        <f>+C29-D29</f>
        <v>197224.24399206787</v>
      </c>
      <c r="H29" s="33"/>
      <c r="I29" t="str">
        <f t="shared" ref="I29:I48" si="1">+B29</f>
        <v>AÑO 1</v>
      </c>
      <c r="J29" s="61">
        <f>+G18</f>
        <v>200000</v>
      </c>
      <c r="K29" s="6">
        <f>+$G$18/$G$19</f>
        <v>10000</v>
      </c>
      <c r="L29" s="6">
        <f>+N29*G20</f>
        <v>22800</v>
      </c>
      <c r="M29" s="34">
        <f>+K29+L29</f>
        <v>32800</v>
      </c>
      <c r="N29" s="32">
        <f>+J29-K29</f>
        <v>190000</v>
      </c>
    </row>
    <row r="30" spans="2:14">
      <c r="B30" t="s">
        <v>63</v>
      </c>
      <c r="C30" s="32">
        <f>+G29</f>
        <v>197224.24399206787</v>
      </c>
      <c r="D30" s="32">
        <f t="shared" si="0"/>
        <v>3108.8467288839856</v>
      </c>
      <c r="E30" s="6">
        <f t="shared" ref="E30:E48" si="2">+C30*$G$20</f>
        <v>23666.909279048145</v>
      </c>
      <c r="F30" s="34">
        <f t="shared" ref="F30:F47" si="3">+$I$22</f>
        <v>26775.75600793213</v>
      </c>
      <c r="G30" s="32">
        <f t="shared" ref="G30:G48" si="4">+C30-D30</f>
        <v>194115.3972631839</v>
      </c>
      <c r="I30" t="str">
        <f t="shared" si="1"/>
        <v>AÑO 2</v>
      </c>
      <c r="J30" s="32">
        <f>+N29</f>
        <v>190000</v>
      </c>
      <c r="K30" s="6">
        <f t="shared" ref="K30:K48" si="5">+$G$18/$G$19</f>
        <v>10000</v>
      </c>
      <c r="L30" s="6">
        <f>+N30*$G$20</f>
        <v>21600</v>
      </c>
      <c r="M30" s="32">
        <f t="shared" ref="M30:M49" si="6">+K30+L30</f>
        <v>31600</v>
      </c>
      <c r="N30" s="32">
        <f>+J30-K30</f>
        <v>180000</v>
      </c>
    </row>
    <row r="31" spans="2:14">
      <c r="B31" t="s">
        <v>64</v>
      </c>
      <c r="C31" s="32">
        <f t="shared" ref="C31:C48" si="7">+G30</f>
        <v>194115.3972631839</v>
      </c>
      <c r="D31" s="32">
        <f t="shared" si="0"/>
        <v>3481.9083363500649</v>
      </c>
      <c r="E31" s="6">
        <f t="shared" si="2"/>
        <v>23293.847671582065</v>
      </c>
      <c r="F31" s="34">
        <f t="shared" si="3"/>
        <v>26775.75600793213</v>
      </c>
      <c r="G31" s="32">
        <f>+C31-D31</f>
        <v>190633.48892683384</v>
      </c>
      <c r="I31" t="str">
        <f t="shared" si="1"/>
        <v>AÑO 3</v>
      </c>
      <c r="J31" s="32">
        <f t="shared" ref="J31:J48" si="8">+N30</f>
        <v>180000</v>
      </c>
      <c r="K31" s="6">
        <f t="shared" si="5"/>
        <v>10000</v>
      </c>
      <c r="L31" s="6">
        <f t="shared" ref="L31:L48" si="9">+N31*$G$20</f>
        <v>20400</v>
      </c>
      <c r="M31" s="32">
        <f t="shared" si="6"/>
        <v>30400</v>
      </c>
      <c r="N31" s="32">
        <f t="shared" ref="N31:N48" si="10">+J31-K31</f>
        <v>170000</v>
      </c>
    </row>
    <row r="32" spans="2:14">
      <c r="B32" t="s">
        <v>65</v>
      </c>
      <c r="C32" s="32">
        <f t="shared" si="7"/>
        <v>190633.48892683384</v>
      </c>
      <c r="D32" s="32">
        <f t="shared" si="0"/>
        <v>3899.7373367120708</v>
      </c>
      <c r="E32" s="6">
        <f t="shared" si="2"/>
        <v>22876.018671220059</v>
      </c>
      <c r="F32" s="34">
        <f t="shared" si="3"/>
        <v>26775.75600793213</v>
      </c>
      <c r="G32" s="32">
        <f t="shared" si="4"/>
        <v>186733.75159012177</v>
      </c>
      <c r="I32" t="str">
        <f t="shared" si="1"/>
        <v>AÑO 4</v>
      </c>
      <c r="J32" s="32">
        <f t="shared" si="8"/>
        <v>170000</v>
      </c>
      <c r="K32" s="6">
        <f t="shared" si="5"/>
        <v>10000</v>
      </c>
      <c r="L32" s="6">
        <f t="shared" si="9"/>
        <v>19200</v>
      </c>
      <c r="M32" s="32">
        <f t="shared" si="6"/>
        <v>29200</v>
      </c>
      <c r="N32" s="32">
        <f t="shared" si="10"/>
        <v>160000</v>
      </c>
    </row>
    <row r="33" spans="2:14">
      <c r="B33" t="s">
        <v>66</v>
      </c>
      <c r="C33" s="32">
        <f t="shared" si="7"/>
        <v>186733.75159012177</v>
      </c>
      <c r="D33" s="32">
        <f t="shared" si="0"/>
        <v>4367.7058171175195</v>
      </c>
      <c r="E33" s="6">
        <f t="shared" si="2"/>
        <v>22408.050190814611</v>
      </c>
      <c r="F33" s="34">
        <f t="shared" si="3"/>
        <v>26775.75600793213</v>
      </c>
      <c r="G33" s="32">
        <f t="shared" si="4"/>
        <v>182366.04577300424</v>
      </c>
      <c r="I33" t="str">
        <f t="shared" si="1"/>
        <v>AÑO 5</v>
      </c>
      <c r="J33" s="32">
        <f t="shared" si="8"/>
        <v>160000</v>
      </c>
      <c r="K33" s="6">
        <f t="shared" si="5"/>
        <v>10000</v>
      </c>
      <c r="L33" s="6">
        <f t="shared" si="9"/>
        <v>18000</v>
      </c>
      <c r="M33" s="32">
        <f t="shared" si="6"/>
        <v>28000</v>
      </c>
      <c r="N33" s="32">
        <f t="shared" si="10"/>
        <v>150000</v>
      </c>
    </row>
    <row r="34" spans="2:14">
      <c r="B34" t="s">
        <v>67</v>
      </c>
      <c r="C34" s="32">
        <f t="shared" si="7"/>
        <v>182366.04577300424</v>
      </c>
      <c r="D34" s="32">
        <f t="shared" si="0"/>
        <v>4891.8305151716231</v>
      </c>
      <c r="E34" s="6">
        <f t="shared" si="2"/>
        <v>21883.925492760507</v>
      </c>
      <c r="F34" s="34">
        <f t="shared" si="3"/>
        <v>26775.75600793213</v>
      </c>
      <c r="G34" s="32">
        <f t="shared" si="4"/>
        <v>177474.21525783261</v>
      </c>
      <c r="I34" t="str">
        <f t="shared" si="1"/>
        <v>AÑO 6</v>
      </c>
      <c r="J34" s="32">
        <f t="shared" si="8"/>
        <v>150000</v>
      </c>
      <c r="K34" s="6">
        <f t="shared" si="5"/>
        <v>10000</v>
      </c>
      <c r="L34" s="6">
        <f t="shared" si="9"/>
        <v>16800</v>
      </c>
      <c r="M34" s="32">
        <f t="shared" si="6"/>
        <v>26800</v>
      </c>
      <c r="N34" s="32">
        <f t="shared" si="10"/>
        <v>140000</v>
      </c>
    </row>
    <row r="35" spans="2:14">
      <c r="B35" t="s">
        <v>68</v>
      </c>
      <c r="C35" s="32">
        <f t="shared" si="7"/>
        <v>177474.21525783261</v>
      </c>
      <c r="D35" s="32">
        <f t="shared" si="0"/>
        <v>5478.8501769922186</v>
      </c>
      <c r="E35" s="6">
        <f t="shared" si="2"/>
        <v>21296.905830939912</v>
      </c>
      <c r="F35" s="34">
        <f t="shared" si="3"/>
        <v>26775.75600793213</v>
      </c>
      <c r="G35" s="32">
        <f t="shared" si="4"/>
        <v>171995.36508084039</v>
      </c>
      <c r="I35" t="str">
        <f t="shared" si="1"/>
        <v>AÑO 7</v>
      </c>
      <c r="J35" s="32">
        <f t="shared" si="8"/>
        <v>140000</v>
      </c>
      <c r="K35" s="6">
        <f t="shared" si="5"/>
        <v>10000</v>
      </c>
      <c r="L35" s="6">
        <f t="shared" si="9"/>
        <v>15600</v>
      </c>
      <c r="M35" s="32">
        <f t="shared" si="6"/>
        <v>25600</v>
      </c>
      <c r="N35" s="32">
        <f t="shared" si="10"/>
        <v>130000</v>
      </c>
    </row>
    <row r="36" spans="2:14">
      <c r="B36" t="s">
        <v>69</v>
      </c>
      <c r="C36" s="32">
        <f t="shared" si="7"/>
        <v>171995.36508084039</v>
      </c>
      <c r="D36" s="32">
        <f t="shared" si="0"/>
        <v>6136.3121982312841</v>
      </c>
      <c r="E36" s="6">
        <f t="shared" si="2"/>
        <v>20639.443809700846</v>
      </c>
      <c r="F36" s="34">
        <f t="shared" si="3"/>
        <v>26775.75600793213</v>
      </c>
      <c r="G36" s="32">
        <f t="shared" si="4"/>
        <v>165859.0528826091</v>
      </c>
      <c r="I36" t="str">
        <f t="shared" si="1"/>
        <v>AÑO 8</v>
      </c>
      <c r="J36" s="32">
        <f t="shared" si="8"/>
        <v>130000</v>
      </c>
      <c r="K36" s="6">
        <f t="shared" si="5"/>
        <v>10000</v>
      </c>
      <c r="L36" s="6">
        <f t="shared" si="9"/>
        <v>14400</v>
      </c>
      <c r="M36" s="32">
        <f t="shared" si="6"/>
        <v>24400</v>
      </c>
      <c r="N36" s="32">
        <f t="shared" si="10"/>
        <v>120000</v>
      </c>
    </row>
    <row r="37" spans="2:14">
      <c r="B37" t="s">
        <v>70</v>
      </c>
      <c r="C37" s="32">
        <f t="shared" si="7"/>
        <v>165859.0528826091</v>
      </c>
      <c r="D37" s="32">
        <f t="shared" si="0"/>
        <v>6872.6696620190378</v>
      </c>
      <c r="E37" s="6">
        <f t="shared" si="2"/>
        <v>19903.086345913092</v>
      </c>
      <c r="F37" s="34">
        <f t="shared" si="3"/>
        <v>26775.75600793213</v>
      </c>
      <c r="G37" s="32">
        <f t="shared" si="4"/>
        <v>158986.38322059007</v>
      </c>
      <c r="I37" t="str">
        <f t="shared" si="1"/>
        <v>AÑO 9</v>
      </c>
      <c r="J37" s="32">
        <f t="shared" si="8"/>
        <v>120000</v>
      </c>
      <c r="K37" s="6">
        <f t="shared" si="5"/>
        <v>10000</v>
      </c>
      <c r="L37" s="6">
        <f t="shared" si="9"/>
        <v>13200</v>
      </c>
      <c r="M37" s="32">
        <f t="shared" si="6"/>
        <v>23200</v>
      </c>
      <c r="N37" s="32">
        <f t="shared" si="10"/>
        <v>110000</v>
      </c>
    </row>
    <row r="38" spans="2:14">
      <c r="B38" t="s">
        <v>71</v>
      </c>
      <c r="C38" s="32">
        <f t="shared" si="7"/>
        <v>158986.38322059007</v>
      </c>
      <c r="D38" s="32">
        <f t="shared" si="0"/>
        <v>7697.3900214613241</v>
      </c>
      <c r="E38" s="6">
        <f t="shared" si="2"/>
        <v>19078.365986470806</v>
      </c>
      <c r="F38" s="34">
        <f t="shared" si="3"/>
        <v>26775.75600793213</v>
      </c>
      <c r="G38" s="32">
        <f t="shared" si="4"/>
        <v>151288.99319912874</v>
      </c>
      <c r="I38" t="str">
        <f t="shared" si="1"/>
        <v>AÑO 10</v>
      </c>
      <c r="J38" s="32">
        <f t="shared" si="8"/>
        <v>110000</v>
      </c>
      <c r="K38" s="6">
        <f t="shared" si="5"/>
        <v>10000</v>
      </c>
      <c r="L38" s="6">
        <f t="shared" si="9"/>
        <v>12000</v>
      </c>
      <c r="M38" s="32">
        <f t="shared" si="6"/>
        <v>22000</v>
      </c>
      <c r="N38" s="32">
        <f t="shared" si="10"/>
        <v>100000</v>
      </c>
    </row>
    <row r="39" spans="2:14">
      <c r="B39" t="s">
        <v>72</v>
      </c>
      <c r="C39" s="32">
        <f t="shared" si="7"/>
        <v>151288.99319912874</v>
      </c>
      <c r="D39" s="32">
        <f t="shared" si="0"/>
        <v>8621.0768240366815</v>
      </c>
      <c r="E39" s="6">
        <f t="shared" si="2"/>
        <v>18154.679183895449</v>
      </c>
      <c r="F39" s="34">
        <f t="shared" si="3"/>
        <v>26775.75600793213</v>
      </c>
      <c r="G39" s="32">
        <f t="shared" si="4"/>
        <v>142667.91637509206</v>
      </c>
      <c r="I39" t="str">
        <f t="shared" si="1"/>
        <v>AÑO 11</v>
      </c>
      <c r="J39" s="32">
        <f t="shared" si="8"/>
        <v>100000</v>
      </c>
      <c r="K39" s="6">
        <f t="shared" si="5"/>
        <v>10000</v>
      </c>
      <c r="L39" s="6">
        <f t="shared" si="9"/>
        <v>10800</v>
      </c>
      <c r="M39" s="32">
        <f t="shared" si="6"/>
        <v>20800</v>
      </c>
      <c r="N39" s="32">
        <f t="shared" si="10"/>
        <v>90000</v>
      </c>
    </row>
    <row r="40" spans="2:14">
      <c r="B40" t="s">
        <v>73</v>
      </c>
      <c r="C40" s="32">
        <f t="shared" si="7"/>
        <v>142667.91637509206</v>
      </c>
      <c r="D40" s="32">
        <f t="shared" si="0"/>
        <v>9655.6060429210847</v>
      </c>
      <c r="E40" s="6">
        <f t="shared" si="2"/>
        <v>17120.149965011045</v>
      </c>
      <c r="F40" s="34">
        <f t="shared" si="3"/>
        <v>26775.75600793213</v>
      </c>
      <c r="G40" s="32">
        <f t="shared" si="4"/>
        <v>133012.31033217098</v>
      </c>
      <c r="I40" t="str">
        <f t="shared" si="1"/>
        <v>AÑO 12</v>
      </c>
      <c r="J40" s="32">
        <f t="shared" si="8"/>
        <v>90000</v>
      </c>
      <c r="K40" s="6">
        <f t="shared" si="5"/>
        <v>10000</v>
      </c>
      <c r="L40" s="6">
        <f t="shared" si="9"/>
        <v>9600</v>
      </c>
      <c r="M40" s="32">
        <f t="shared" si="6"/>
        <v>19600</v>
      </c>
      <c r="N40" s="32">
        <f>+J40-K40</f>
        <v>80000</v>
      </c>
    </row>
    <row r="41" spans="2:14">
      <c r="B41" t="s">
        <v>74</v>
      </c>
      <c r="C41" s="32">
        <f t="shared" si="7"/>
        <v>133012.31033217098</v>
      </c>
      <c r="D41" s="32">
        <f t="shared" si="0"/>
        <v>10814.278768071614</v>
      </c>
      <c r="E41" s="6">
        <f t="shared" si="2"/>
        <v>15961.477239860516</v>
      </c>
      <c r="F41" s="34">
        <f t="shared" si="3"/>
        <v>26775.75600793213</v>
      </c>
      <c r="G41" s="32">
        <f t="shared" si="4"/>
        <v>122198.03156409936</v>
      </c>
      <c r="I41" t="str">
        <f t="shared" si="1"/>
        <v>AÑO 13</v>
      </c>
      <c r="J41" s="32">
        <f t="shared" si="8"/>
        <v>80000</v>
      </c>
      <c r="K41" s="6">
        <f t="shared" si="5"/>
        <v>10000</v>
      </c>
      <c r="L41" s="6">
        <f t="shared" si="9"/>
        <v>8400</v>
      </c>
      <c r="M41" s="32">
        <f t="shared" si="6"/>
        <v>18400</v>
      </c>
      <c r="N41" s="32">
        <f t="shared" si="10"/>
        <v>70000</v>
      </c>
    </row>
    <row r="42" spans="2:14">
      <c r="B42" t="s">
        <v>75</v>
      </c>
      <c r="C42" s="32">
        <f t="shared" si="7"/>
        <v>122198.03156409936</v>
      </c>
      <c r="D42" s="32">
        <f t="shared" si="0"/>
        <v>12111.992220240207</v>
      </c>
      <c r="E42" s="6">
        <f t="shared" si="2"/>
        <v>14663.763787691923</v>
      </c>
      <c r="F42" s="34">
        <f t="shared" si="3"/>
        <v>26775.75600793213</v>
      </c>
      <c r="G42" s="32">
        <f t="shared" si="4"/>
        <v>110086.03934385916</v>
      </c>
      <c r="I42" t="str">
        <f t="shared" si="1"/>
        <v>AÑO 14</v>
      </c>
      <c r="J42" s="32">
        <f t="shared" si="8"/>
        <v>70000</v>
      </c>
      <c r="K42" s="6">
        <f t="shared" si="5"/>
        <v>10000</v>
      </c>
      <c r="L42" s="6">
        <f t="shared" si="9"/>
        <v>7200</v>
      </c>
      <c r="M42" s="32">
        <f t="shared" si="6"/>
        <v>17200</v>
      </c>
      <c r="N42" s="32">
        <f t="shared" si="10"/>
        <v>60000</v>
      </c>
    </row>
    <row r="43" spans="2:14">
      <c r="B43" t="s">
        <v>76</v>
      </c>
      <c r="C43" s="32">
        <f t="shared" si="7"/>
        <v>110086.03934385916</v>
      </c>
      <c r="D43" s="32">
        <f t="shared" si="0"/>
        <v>13565.431286669032</v>
      </c>
      <c r="E43" s="6">
        <f t="shared" si="2"/>
        <v>13210.324721263098</v>
      </c>
      <c r="F43" s="34">
        <f t="shared" si="3"/>
        <v>26775.75600793213</v>
      </c>
      <c r="G43" s="32">
        <f t="shared" si="4"/>
        <v>96520.608057190126</v>
      </c>
      <c r="I43" t="str">
        <f t="shared" si="1"/>
        <v>AÑO 15</v>
      </c>
      <c r="J43" s="32">
        <f t="shared" si="8"/>
        <v>60000</v>
      </c>
      <c r="K43" s="6">
        <f t="shared" si="5"/>
        <v>10000</v>
      </c>
      <c r="L43" s="6">
        <f t="shared" si="9"/>
        <v>6000</v>
      </c>
      <c r="M43" s="32">
        <f t="shared" si="6"/>
        <v>16000</v>
      </c>
      <c r="N43" s="32">
        <f t="shared" si="10"/>
        <v>50000</v>
      </c>
    </row>
    <row r="44" spans="2:14">
      <c r="B44" t="s">
        <v>77</v>
      </c>
      <c r="C44" s="32">
        <f t="shared" si="7"/>
        <v>96520.608057190126</v>
      </c>
      <c r="D44" s="32">
        <f t="shared" si="0"/>
        <v>15193.283041069315</v>
      </c>
      <c r="E44" s="6">
        <f t="shared" si="2"/>
        <v>11582.472966862815</v>
      </c>
      <c r="F44" s="34">
        <f t="shared" si="3"/>
        <v>26775.75600793213</v>
      </c>
      <c r="G44" s="32">
        <f t="shared" si="4"/>
        <v>81327.325016120813</v>
      </c>
      <c r="I44" t="str">
        <f t="shared" si="1"/>
        <v>AÑO 16</v>
      </c>
      <c r="J44" s="32">
        <f t="shared" si="8"/>
        <v>50000</v>
      </c>
      <c r="K44" s="6">
        <f t="shared" si="5"/>
        <v>10000</v>
      </c>
      <c r="L44" s="6">
        <f t="shared" si="9"/>
        <v>4800</v>
      </c>
      <c r="M44" s="32">
        <f t="shared" si="6"/>
        <v>14800</v>
      </c>
      <c r="N44" s="32">
        <f t="shared" si="10"/>
        <v>40000</v>
      </c>
    </row>
    <row r="45" spans="2:14">
      <c r="B45" t="s">
        <v>78</v>
      </c>
      <c r="C45" s="32">
        <f t="shared" si="7"/>
        <v>81327.325016120813</v>
      </c>
      <c r="D45" s="32">
        <f t="shared" si="0"/>
        <v>17016.477005997633</v>
      </c>
      <c r="E45" s="6">
        <f t="shared" si="2"/>
        <v>9759.2790019344975</v>
      </c>
      <c r="F45" s="34">
        <f t="shared" si="3"/>
        <v>26775.75600793213</v>
      </c>
      <c r="G45" s="32">
        <f t="shared" si="4"/>
        <v>64310.848010123183</v>
      </c>
      <c r="I45" t="str">
        <f t="shared" si="1"/>
        <v>AÑO 17</v>
      </c>
      <c r="J45" s="32">
        <f t="shared" si="8"/>
        <v>40000</v>
      </c>
      <c r="K45" s="6">
        <f t="shared" si="5"/>
        <v>10000</v>
      </c>
      <c r="L45" s="6">
        <f t="shared" si="9"/>
        <v>3600</v>
      </c>
      <c r="M45" s="32">
        <f t="shared" si="6"/>
        <v>13600</v>
      </c>
      <c r="N45" s="32">
        <f t="shared" si="10"/>
        <v>30000</v>
      </c>
    </row>
    <row r="46" spans="2:14">
      <c r="B46" t="s">
        <v>79</v>
      </c>
      <c r="C46" s="32">
        <f t="shared" si="7"/>
        <v>64310.848010123183</v>
      </c>
      <c r="D46" s="32">
        <f t="shared" si="0"/>
        <v>19058.454246717349</v>
      </c>
      <c r="E46" s="6">
        <f t="shared" si="2"/>
        <v>7717.3017612147814</v>
      </c>
      <c r="F46" s="34">
        <f t="shared" si="3"/>
        <v>26775.75600793213</v>
      </c>
      <c r="G46" s="32">
        <f t="shared" si="4"/>
        <v>45252.393763405838</v>
      </c>
      <c r="I46" t="str">
        <f t="shared" si="1"/>
        <v>AÑO 18</v>
      </c>
      <c r="J46" s="32">
        <f t="shared" si="8"/>
        <v>30000</v>
      </c>
      <c r="K46" s="6">
        <f t="shared" si="5"/>
        <v>10000</v>
      </c>
      <c r="L46" s="6">
        <f t="shared" si="9"/>
        <v>2400</v>
      </c>
      <c r="M46" s="32">
        <f t="shared" si="6"/>
        <v>12400</v>
      </c>
      <c r="N46" s="32">
        <f t="shared" si="10"/>
        <v>20000</v>
      </c>
    </row>
    <row r="47" spans="2:14">
      <c r="B47" t="s">
        <v>80</v>
      </c>
      <c r="C47" s="32">
        <f t="shared" si="7"/>
        <v>45252.393763405838</v>
      </c>
      <c r="D47" s="32">
        <f t="shared" si="0"/>
        <v>21345.468756323429</v>
      </c>
      <c r="E47" s="6">
        <f t="shared" si="2"/>
        <v>5430.2872516087</v>
      </c>
      <c r="F47" s="34">
        <f t="shared" si="3"/>
        <v>26775.75600793213</v>
      </c>
      <c r="G47" s="32">
        <f t="shared" si="4"/>
        <v>23906.925007082409</v>
      </c>
      <c r="I47" t="str">
        <f t="shared" si="1"/>
        <v>AÑO 19</v>
      </c>
      <c r="J47" s="32">
        <f t="shared" si="8"/>
        <v>20000</v>
      </c>
      <c r="K47" s="6">
        <f t="shared" si="5"/>
        <v>10000</v>
      </c>
      <c r="L47" s="6">
        <f t="shared" si="9"/>
        <v>1200</v>
      </c>
      <c r="M47" s="32">
        <f t="shared" si="6"/>
        <v>11200</v>
      </c>
      <c r="N47" s="32">
        <f t="shared" si="10"/>
        <v>10000</v>
      </c>
    </row>
    <row r="48" spans="2:14">
      <c r="B48" t="s">
        <v>81</v>
      </c>
      <c r="C48" s="32">
        <f t="shared" si="7"/>
        <v>23906.925007082409</v>
      </c>
      <c r="D48" s="32">
        <f t="shared" si="0"/>
        <v>23906.925007082242</v>
      </c>
      <c r="E48" s="6">
        <f t="shared" si="2"/>
        <v>2868.8310008498888</v>
      </c>
      <c r="F48" s="34">
        <f>+$I$22</f>
        <v>26775.75600793213</v>
      </c>
      <c r="G48" s="61">
        <f t="shared" si="4"/>
        <v>1.673470251262188E-10</v>
      </c>
      <c r="I48" t="str">
        <f t="shared" si="1"/>
        <v>AÑO 20</v>
      </c>
      <c r="J48" s="32">
        <f t="shared" si="8"/>
        <v>10000</v>
      </c>
      <c r="K48" s="6">
        <f t="shared" si="5"/>
        <v>10000</v>
      </c>
      <c r="L48" s="6">
        <f t="shared" si="9"/>
        <v>0</v>
      </c>
      <c r="M48" s="32">
        <f t="shared" si="6"/>
        <v>10000</v>
      </c>
      <c r="N48" s="61">
        <f t="shared" si="10"/>
        <v>0</v>
      </c>
    </row>
    <row r="49" spans="3:15">
      <c r="D49" s="61">
        <f>SUM(D29:D48)</f>
        <v>199999.99999999983</v>
      </c>
      <c r="E49" s="65">
        <f>SUM(E29:E48)</f>
        <v>335515.12015864282</v>
      </c>
      <c r="F49" s="64">
        <f>SUM(F29:F48)</f>
        <v>535515.12015864265</v>
      </c>
      <c r="K49" s="61">
        <f>SUM(K29:K48)</f>
        <v>200000</v>
      </c>
      <c r="L49" s="65">
        <f>SUM(L29:L48)</f>
        <v>228000</v>
      </c>
      <c r="M49" s="64">
        <f t="shared" si="6"/>
        <v>428000</v>
      </c>
    </row>
    <row r="51" spans="3:15">
      <c r="C51" t="s">
        <v>136</v>
      </c>
      <c r="D51" s="64">
        <f>+D49+E49</f>
        <v>535515.12015864265</v>
      </c>
      <c r="J51" t="s">
        <v>136</v>
      </c>
      <c r="K51" s="64">
        <f>+K49+L49</f>
        <v>428000</v>
      </c>
    </row>
    <row r="60" spans="3:15">
      <c r="C60" s="83" t="s">
        <v>22</v>
      </c>
      <c r="D60" s="83"/>
      <c r="E60" s="83"/>
      <c r="F60" s="83"/>
      <c r="G60" s="83"/>
      <c r="H60" s="83"/>
      <c r="I60" s="83"/>
      <c r="J60" s="83"/>
      <c r="K60" s="83"/>
      <c r="L60" s="83"/>
    </row>
    <row r="61" spans="3:15" ht="15.75">
      <c r="C61" s="84" t="s">
        <v>34</v>
      </c>
      <c r="D61" s="85"/>
      <c r="E61" s="85"/>
      <c r="F61" s="85"/>
      <c r="G61" s="85"/>
      <c r="H61" s="85"/>
      <c r="I61" s="85"/>
      <c r="J61" s="85"/>
      <c r="K61" s="85"/>
      <c r="L61" s="85"/>
    </row>
    <row r="62" spans="3:15" ht="15.75">
      <c r="C62" s="84" t="s">
        <v>35</v>
      </c>
      <c r="D62" s="85"/>
      <c r="E62" s="85"/>
      <c r="F62" s="85"/>
      <c r="G62" s="85"/>
      <c r="H62" s="85"/>
      <c r="I62" s="85"/>
      <c r="J62" s="85"/>
      <c r="K62" s="85"/>
      <c r="L62" s="85"/>
    </row>
    <row r="63" spans="3:15" ht="15.75">
      <c r="C63" s="84" t="s">
        <v>36</v>
      </c>
      <c r="D63" s="85"/>
      <c r="E63" s="85"/>
      <c r="F63" s="85"/>
      <c r="G63" s="85"/>
      <c r="H63" s="85"/>
      <c r="I63" s="85"/>
      <c r="J63" s="85"/>
      <c r="K63" s="85"/>
      <c r="L63" s="85"/>
    </row>
    <row r="64" spans="3:15" ht="15.75">
      <c r="C64" s="84"/>
      <c r="D64" s="85"/>
      <c r="E64" s="85"/>
      <c r="F64" s="85"/>
      <c r="G64" s="85"/>
      <c r="H64" s="85"/>
      <c r="I64" s="85"/>
      <c r="J64" s="85"/>
      <c r="K64" s="85"/>
      <c r="L64" s="85"/>
      <c r="N64" s="66" t="s">
        <v>57</v>
      </c>
      <c r="O64" s="66">
        <v>200000</v>
      </c>
    </row>
    <row r="65" spans="2:18" ht="15.75">
      <c r="C65" s="84" t="s">
        <v>29</v>
      </c>
      <c r="D65" s="85"/>
      <c r="E65" s="85"/>
      <c r="F65" s="85"/>
      <c r="G65" s="85"/>
      <c r="H65" s="85"/>
      <c r="I65" s="85"/>
      <c r="J65" s="85"/>
      <c r="K65" s="85"/>
      <c r="L65" s="85"/>
      <c r="N65" s="66" t="s">
        <v>149</v>
      </c>
      <c r="O65" s="66">
        <v>20</v>
      </c>
    </row>
    <row r="66" spans="2:18" ht="15.75">
      <c r="C66" s="86" t="s">
        <v>150</v>
      </c>
      <c r="D66" s="85"/>
      <c r="E66" s="85"/>
      <c r="F66" s="85"/>
      <c r="G66" s="85"/>
      <c r="H66" s="85"/>
      <c r="I66" s="85"/>
      <c r="J66" s="85"/>
      <c r="K66" s="85"/>
      <c r="L66" s="85"/>
      <c r="N66" s="66" t="s">
        <v>151</v>
      </c>
      <c r="O66" s="82">
        <v>0.12</v>
      </c>
    </row>
    <row r="67" spans="2:18" ht="15.75">
      <c r="C67" s="86" t="s">
        <v>152</v>
      </c>
      <c r="D67" s="85"/>
      <c r="E67" s="85"/>
      <c r="F67" s="85"/>
      <c r="G67" s="85"/>
      <c r="H67" s="85"/>
      <c r="I67" s="85"/>
      <c r="J67" s="85"/>
      <c r="K67" s="85"/>
      <c r="L67" s="85"/>
    </row>
    <row r="68" spans="2:18" ht="15.75">
      <c r="C68" s="86" t="s">
        <v>153</v>
      </c>
      <c r="D68" s="85"/>
      <c r="E68" s="85"/>
      <c r="F68" s="85"/>
      <c r="G68" s="85"/>
      <c r="H68" s="85"/>
      <c r="I68" s="85"/>
      <c r="J68" s="85"/>
      <c r="K68" s="85"/>
      <c r="L68" s="85"/>
    </row>
    <row r="69" spans="2:18" ht="15.75">
      <c r="C69" s="86" t="s">
        <v>154</v>
      </c>
      <c r="D69" s="85"/>
      <c r="E69" s="85"/>
      <c r="F69" s="85"/>
      <c r="G69" s="85"/>
      <c r="H69" s="85"/>
      <c r="I69" s="85"/>
      <c r="J69" s="85"/>
      <c r="K69" s="85"/>
      <c r="L69" s="85"/>
      <c r="O69" s="66" t="s">
        <v>155</v>
      </c>
      <c r="P69" s="66">
        <f>(POWER(1+0.12,20) -1)</f>
        <v>8.6462930932749469</v>
      </c>
      <c r="Q69" s="66">
        <f>P70/P69</f>
        <v>0.13387878003966064</v>
      </c>
      <c r="R69" s="66">
        <f>200000*Q69</f>
        <v>26775.756007932127</v>
      </c>
    </row>
    <row r="70" spans="2:18" ht="15.75">
      <c r="C70" s="86" t="s">
        <v>156</v>
      </c>
      <c r="D70" s="85"/>
      <c r="E70" s="85"/>
      <c r="F70" s="85"/>
      <c r="G70" s="85"/>
      <c r="H70" s="85"/>
      <c r="I70" s="85"/>
      <c r="J70" s="85"/>
      <c r="K70" s="85"/>
      <c r="L70" s="85"/>
      <c r="P70" s="66">
        <f>(POWER(1+0.12,20) * 0.12)</f>
        <v>1.1575551711929937</v>
      </c>
    </row>
    <row r="72" spans="2:18">
      <c r="B72" s="66" t="s">
        <v>157</v>
      </c>
      <c r="J72" s="66" t="s">
        <v>158</v>
      </c>
    </row>
    <row r="73" spans="2:18">
      <c r="C73" s="66" t="s">
        <v>159</v>
      </c>
      <c r="D73" s="66" t="s">
        <v>160</v>
      </c>
      <c r="E73" s="66" t="s">
        <v>161</v>
      </c>
      <c r="F73" s="66" t="s">
        <v>162</v>
      </c>
      <c r="J73" s="66" t="s">
        <v>163</v>
      </c>
      <c r="K73" s="66" t="s">
        <v>160</v>
      </c>
      <c r="L73" s="66" t="s">
        <v>164</v>
      </c>
      <c r="M73" s="66" t="s">
        <v>159</v>
      </c>
    </row>
    <row r="74" spans="2:18">
      <c r="B74" s="66" t="s">
        <v>2</v>
      </c>
      <c r="C74" s="81">
        <f>R69</f>
        <v>26775.756007932127</v>
      </c>
      <c r="D74" s="81">
        <v>200000</v>
      </c>
      <c r="E74" s="81">
        <f t="shared" ref="E74:E93" si="11">D74*12%</f>
        <v>24000</v>
      </c>
      <c r="F74" s="81">
        <f t="shared" ref="F74:F93" si="12">C74-E74</f>
        <v>2775.7560079321265</v>
      </c>
      <c r="I74" s="66" t="s">
        <v>2</v>
      </c>
      <c r="J74" s="81">
        <f t="shared" ref="J74:J93" si="13">200000/20</f>
        <v>10000</v>
      </c>
      <c r="K74" s="81">
        <v>200000</v>
      </c>
      <c r="L74" s="81">
        <f>K74*0.12</f>
        <v>24000</v>
      </c>
      <c r="M74" s="81">
        <f>J74+L74</f>
        <v>34000</v>
      </c>
    </row>
    <row r="75" spans="2:18">
      <c r="B75" s="66" t="s">
        <v>3</v>
      </c>
      <c r="C75" s="81">
        <v>26775.759999999998</v>
      </c>
      <c r="D75" s="81">
        <f t="shared" ref="D75:D93" si="14">D74-F74</f>
        <v>197224.24399206787</v>
      </c>
      <c r="E75" s="81">
        <f t="shared" si="11"/>
        <v>23666.909279048145</v>
      </c>
      <c r="F75" s="81">
        <f t="shared" si="12"/>
        <v>3108.8507209518539</v>
      </c>
      <c r="I75" s="66" t="s">
        <v>3</v>
      </c>
      <c r="J75" s="81">
        <f t="shared" si="13"/>
        <v>10000</v>
      </c>
      <c r="K75" s="81">
        <f>K74-J74</f>
        <v>190000</v>
      </c>
      <c r="L75" s="81">
        <f t="shared" ref="L75:L93" si="15">K75*0.12</f>
        <v>22800</v>
      </c>
      <c r="M75" s="81">
        <f t="shared" ref="M75:M93" si="16">J75+L75</f>
        <v>32800</v>
      </c>
    </row>
    <row r="76" spans="2:18">
      <c r="B76" s="66" t="s">
        <v>4</v>
      </c>
      <c r="C76" s="81">
        <v>26775.759999999998</v>
      </c>
      <c r="D76" s="81">
        <f t="shared" si="14"/>
        <v>194115.39327111602</v>
      </c>
      <c r="E76" s="81">
        <f t="shared" si="11"/>
        <v>23293.847192533922</v>
      </c>
      <c r="F76" s="81">
        <f t="shared" si="12"/>
        <v>3481.9128074660766</v>
      </c>
      <c r="I76" s="66" t="s">
        <v>4</v>
      </c>
      <c r="J76" s="81">
        <f t="shared" si="13"/>
        <v>10000</v>
      </c>
      <c r="K76" s="81">
        <f t="shared" ref="K76:K93" si="17">K75-J75</f>
        <v>180000</v>
      </c>
      <c r="L76" s="81">
        <f t="shared" si="15"/>
        <v>21600</v>
      </c>
      <c r="M76" s="81">
        <f t="shared" si="16"/>
        <v>31600</v>
      </c>
    </row>
    <row r="77" spans="2:18">
      <c r="B77" s="66" t="s">
        <v>5</v>
      </c>
      <c r="C77" s="81">
        <v>26775.759999999998</v>
      </c>
      <c r="D77" s="81">
        <f t="shared" si="14"/>
        <v>190633.48046364993</v>
      </c>
      <c r="E77" s="81">
        <f t="shared" si="11"/>
        <v>22876.017655637992</v>
      </c>
      <c r="F77" s="81">
        <f t="shared" si="12"/>
        <v>3899.7423443620064</v>
      </c>
      <c r="I77" s="66" t="s">
        <v>5</v>
      </c>
      <c r="J77" s="81">
        <f t="shared" si="13"/>
        <v>10000</v>
      </c>
      <c r="K77" s="81">
        <f t="shared" si="17"/>
        <v>170000</v>
      </c>
      <c r="L77" s="81">
        <f t="shared" si="15"/>
        <v>20400</v>
      </c>
      <c r="M77" s="81">
        <f t="shared" si="16"/>
        <v>30400</v>
      </c>
    </row>
    <row r="78" spans="2:18">
      <c r="B78" s="66" t="s">
        <v>6</v>
      </c>
      <c r="C78" s="81">
        <v>26775.759999999998</v>
      </c>
      <c r="D78" s="81">
        <f t="shared" si="14"/>
        <v>186733.73811928794</v>
      </c>
      <c r="E78" s="81">
        <f t="shared" si="11"/>
        <v>22408.048574314551</v>
      </c>
      <c r="F78" s="81">
        <f t="shared" si="12"/>
        <v>4367.7114256854475</v>
      </c>
      <c r="I78" s="66" t="s">
        <v>6</v>
      </c>
      <c r="J78" s="81">
        <f t="shared" si="13"/>
        <v>10000</v>
      </c>
      <c r="K78" s="81">
        <f t="shared" si="17"/>
        <v>160000</v>
      </c>
      <c r="L78" s="81">
        <f t="shared" si="15"/>
        <v>19200</v>
      </c>
      <c r="M78" s="81">
        <f t="shared" si="16"/>
        <v>29200</v>
      </c>
    </row>
    <row r="79" spans="2:18">
      <c r="B79" s="66" t="s">
        <v>7</v>
      </c>
      <c r="C79" s="81">
        <v>26775.759999999998</v>
      </c>
      <c r="D79" s="81">
        <f t="shared" si="14"/>
        <v>182366.0266936025</v>
      </c>
      <c r="E79" s="81">
        <f t="shared" si="11"/>
        <v>21883.923203232298</v>
      </c>
      <c r="F79" s="81">
        <f t="shared" si="12"/>
        <v>4891.8367967677004</v>
      </c>
      <c r="I79" s="66" t="s">
        <v>7</v>
      </c>
      <c r="J79" s="81">
        <f t="shared" si="13"/>
        <v>10000</v>
      </c>
      <c r="K79" s="81">
        <f t="shared" si="17"/>
        <v>150000</v>
      </c>
      <c r="L79" s="81">
        <f t="shared" si="15"/>
        <v>18000</v>
      </c>
      <c r="M79" s="81">
        <f t="shared" si="16"/>
        <v>28000</v>
      </c>
    </row>
    <row r="80" spans="2:18">
      <c r="B80" s="66" t="s">
        <v>165</v>
      </c>
      <c r="C80" s="81">
        <v>26775.759999999998</v>
      </c>
      <c r="D80" s="81">
        <f t="shared" si="14"/>
        <v>177474.18989683481</v>
      </c>
      <c r="E80" s="81">
        <f t="shared" si="11"/>
        <v>21296.902787620176</v>
      </c>
      <c r="F80" s="81">
        <f t="shared" si="12"/>
        <v>5478.8572123798222</v>
      </c>
      <c r="I80" s="66" t="s">
        <v>165</v>
      </c>
      <c r="J80" s="81">
        <f t="shared" si="13"/>
        <v>10000</v>
      </c>
      <c r="K80" s="81">
        <f t="shared" si="17"/>
        <v>140000</v>
      </c>
      <c r="L80" s="81">
        <f t="shared" si="15"/>
        <v>16800</v>
      </c>
      <c r="M80" s="81">
        <f t="shared" si="16"/>
        <v>26800</v>
      </c>
    </row>
    <row r="81" spans="2:13">
      <c r="B81" s="66" t="s">
        <v>166</v>
      </c>
      <c r="C81" s="81">
        <v>26775.759999999998</v>
      </c>
      <c r="D81" s="81">
        <f t="shared" si="14"/>
        <v>171995.33268445497</v>
      </c>
      <c r="E81" s="81">
        <f t="shared" si="11"/>
        <v>20639.439922134596</v>
      </c>
      <c r="F81" s="81">
        <f t="shared" si="12"/>
        <v>6136.3200778654027</v>
      </c>
      <c r="I81" s="66" t="s">
        <v>166</v>
      </c>
      <c r="J81" s="81">
        <f t="shared" si="13"/>
        <v>10000</v>
      </c>
      <c r="K81" s="81">
        <f t="shared" si="17"/>
        <v>130000</v>
      </c>
      <c r="L81" s="81">
        <f t="shared" si="15"/>
        <v>15600</v>
      </c>
      <c r="M81" s="81">
        <f t="shared" si="16"/>
        <v>25600</v>
      </c>
    </row>
    <row r="82" spans="2:13">
      <c r="B82" s="66" t="s">
        <v>167</v>
      </c>
      <c r="C82" s="81">
        <v>26775.759999999998</v>
      </c>
      <c r="D82" s="81">
        <f t="shared" si="14"/>
        <v>165859.01260658956</v>
      </c>
      <c r="E82" s="81">
        <f t="shared" si="11"/>
        <v>19903.081512790748</v>
      </c>
      <c r="F82" s="81">
        <f t="shared" si="12"/>
        <v>6872.6784872092503</v>
      </c>
      <c r="I82" s="66" t="s">
        <v>167</v>
      </c>
      <c r="J82" s="81">
        <f t="shared" si="13"/>
        <v>10000</v>
      </c>
      <c r="K82" s="81">
        <f t="shared" si="17"/>
        <v>120000</v>
      </c>
      <c r="L82" s="81">
        <f t="shared" si="15"/>
        <v>14400</v>
      </c>
      <c r="M82" s="81">
        <f t="shared" si="16"/>
        <v>24400</v>
      </c>
    </row>
    <row r="83" spans="2:13">
      <c r="B83" s="66" t="s">
        <v>168</v>
      </c>
      <c r="C83" s="81">
        <v>26775.759999999998</v>
      </c>
      <c r="D83" s="81">
        <f t="shared" si="14"/>
        <v>158986.33411938031</v>
      </c>
      <c r="E83" s="81">
        <f t="shared" si="11"/>
        <v>19078.360094325635</v>
      </c>
      <c r="F83" s="81">
        <f t="shared" si="12"/>
        <v>7697.3999056743633</v>
      </c>
      <c r="I83" s="66" t="s">
        <v>168</v>
      </c>
      <c r="J83" s="81">
        <f t="shared" si="13"/>
        <v>10000</v>
      </c>
      <c r="K83" s="81">
        <f t="shared" si="17"/>
        <v>110000</v>
      </c>
      <c r="L83" s="81">
        <f t="shared" si="15"/>
        <v>13200</v>
      </c>
      <c r="M83" s="81">
        <f t="shared" si="16"/>
        <v>23200</v>
      </c>
    </row>
    <row r="84" spans="2:13">
      <c r="B84" s="66" t="s">
        <v>169</v>
      </c>
      <c r="C84" s="81">
        <v>26775.759999999998</v>
      </c>
      <c r="D84" s="81">
        <f t="shared" si="14"/>
        <v>151288.93421370594</v>
      </c>
      <c r="E84" s="81">
        <f t="shared" si="11"/>
        <v>18154.672105644713</v>
      </c>
      <c r="F84" s="81">
        <f t="shared" si="12"/>
        <v>8621.0878943552852</v>
      </c>
      <c r="I84" s="66" t="s">
        <v>169</v>
      </c>
      <c r="J84" s="81">
        <f t="shared" si="13"/>
        <v>10000</v>
      </c>
      <c r="K84" s="81">
        <f t="shared" si="17"/>
        <v>100000</v>
      </c>
      <c r="L84" s="81">
        <f t="shared" si="15"/>
        <v>12000</v>
      </c>
      <c r="M84" s="81">
        <f t="shared" si="16"/>
        <v>22000</v>
      </c>
    </row>
    <row r="85" spans="2:13">
      <c r="B85" s="66" t="s">
        <v>170</v>
      </c>
      <c r="C85" s="81">
        <v>26775.759999999998</v>
      </c>
      <c r="D85" s="81">
        <f t="shared" si="14"/>
        <v>142667.84631935065</v>
      </c>
      <c r="E85" s="81">
        <f t="shared" si="11"/>
        <v>17120.141558322077</v>
      </c>
      <c r="F85" s="81">
        <f t="shared" si="12"/>
        <v>9655.6184416779215</v>
      </c>
      <c r="I85" s="66" t="s">
        <v>170</v>
      </c>
      <c r="J85" s="81">
        <f t="shared" si="13"/>
        <v>10000</v>
      </c>
      <c r="K85" s="81">
        <f t="shared" si="17"/>
        <v>90000</v>
      </c>
      <c r="L85" s="81">
        <f t="shared" si="15"/>
        <v>10800</v>
      </c>
      <c r="M85" s="81">
        <f t="shared" si="16"/>
        <v>20800</v>
      </c>
    </row>
    <row r="86" spans="2:13">
      <c r="B86" s="66" t="s">
        <v>171</v>
      </c>
      <c r="C86" s="81">
        <v>26775.759999999998</v>
      </c>
      <c r="D86" s="81">
        <f t="shared" si="14"/>
        <v>133012.22787767273</v>
      </c>
      <c r="E86" s="81">
        <f t="shared" si="11"/>
        <v>15961.467345320727</v>
      </c>
      <c r="F86" s="81">
        <f t="shared" si="12"/>
        <v>10814.292654679271</v>
      </c>
      <c r="I86" s="66" t="s">
        <v>171</v>
      </c>
      <c r="J86" s="81">
        <f t="shared" si="13"/>
        <v>10000</v>
      </c>
      <c r="K86" s="81">
        <f t="shared" si="17"/>
        <v>80000</v>
      </c>
      <c r="L86" s="81">
        <f t="shared" si="15"/>
        <v>9600</v>
      </c>
      <c r="M86" s="81">
        <f t="shared" si="16"/>
        <v>19600</v>
      </c>
    </row>
    <row r="87" spans="2:13">
      <c r="B87" s="66" t="s">
        <v>172</v>
      </c>
      <c r="C87" s="81">
        <v>26775.759999999998</v>
      </c>
      <c r="D87" s="81">
        <f t="shared" si="14"/>
        <v>122197.93522299346</v>
      </c>
      <c r="E87" s="81">
        <f t="shared" si="11"/>
        <v>14663.752226759214</v>
      </c>
      <c r="F87" s="81">
        <f t="shared" si="12"/>
        <v>12112.007773240784</v>
      </c>
      <c r="I87" s="66" t="s">
        <v>172</v>
      </c>
      <c r="J87" s="81">
        <f t="shared" si="13"/>
        <v>10000</v>
      </c>
      <c r="K87" s="81">
        <f t="shared" si="17"/>
        <v>70000</v>
      </c>
      <c r="L87" s="81">
        <f t="shared" si="15"/>
        <v>8400</v>
      </c>
      <c r="M87" s="81">
        <f t="shared" si="16"/>
        <v>18400</v>
      </c>
    </row>
    <row r="88" spans="2:13">
      <c r="B88" s="66" t="s">
        <v>173</v>
      </c>
      <c r="C88" s="81">
        <v>26775.759999999998</v>
      </c>
      <c r="D88" s="81">
        <f t="shared" si="14"/>
        <v>110085.92744975268</v>
      </c>
      <c r="E88" s="81">
        <f t="shared" si="11"/>
        <v>13210.311293970321</v>
      </c>
      <c r="F88" s="81">
        <f t="shared" si="12"/>
        <v>13565.448706029678</v>
      </c>
      <c r="I88" s="66" t="s">
        <v>173</v>
      </c>
      <c r="J88" s="81">
        <f t="shared" si="13"/>
        <v>10000</v>
      </c>
      <c r="K88" s="81">
        <f t="shared" si="17"/>
        <v>60000</v>
      </c>
      <c r="L88" s="81">
        <f t="shared" si="15"/>
        <v>7200</v>
      </c>
      <c r="M88" s="81">
        <f t="shared" si="16"/>
        <v>17200</v>
      </c>
    </row>
    <row r="89" spans="2:13">
      <c r="B89" s="66" t="s">
        <v>174</v>
      </c>
      <c r="C89" s="81">
        <v>26775.759999999998</v>
      </c>
      <c r="D89" s="81">
        <f t="shared" si="14"/>
        <v>96520.478743722997</v>
      </c>
      <c r="E89" s="81">
        <f t="shared" si="11"/>
        <v>11582.45744924676</v>
      </c>
      <c r="F89" s="81">
        <f t="shared" si="12"/>
        <v>15193.302550753238</v>
      </c>
      <c r="I89" s="66" t="s">
        <v>174</v>
      </c>
      <c r="J89" s="81">
        <f t="shared" si="13"/>
        <v>10000</v>
      </c>
      <c r="K89" s="81">
        <f t="shared" si="17"/>
        <v>50000</v>
      </c>
      <c r="L89" s="81">
        <f t="shared" si="15"/>
        <v>6000</v>
      </c>
      <c r="M89" s="81">
        <f t="shared" si="16"/>
        <v>16000</v>
      </c>
    </row>
    <row r="90" spans="2:13">
      <c r="B90" s="66" t="s">
        <v>175</v>
      </c>
      <c r="C90" s="81">
        <v>26775.759999999998</v>
      </c>
      <c r="D90" s="81">
        <f t="shared" si="14"/>
        <v>81327.176192969753</v>
      </c>
      <c r="E90" s="81">
        <f t="shared" si="11"/>
        <v>9759.2611431563691</v>
      </c>
      <c r="F90" s="81">
        <f t="shared" si="12"/>
        <v>17016.498856843631</v>
      </c>
      <c r="I90" s="66" t="s">
        <v>175</v>
      </c>
      <c r="J90" s="81">
        <f t="shared" si="13"/>
        <v>10000</v>
      </c>
      <c r="K90" s="81">
        <f t="shared" si="17"/>
        <v>40000</v>
      </c>
      <c r="L90" s="81">
        <f t="shared" si="15"/>
        <v>4800</v>
      </c>
      <c r="M90" s="81">
        <f t="shared" si="16"/>
        <v>14800</v>
      </c>
    </row>
    <row r="91" spans="2:13">
      <c r="B91" s="66" t="s">
        <v>176</v>
      </c>
      <c r="C91" s="81">
        <v>26775.759999999998</v>
      </c>
      <c r="D91" s="81">
        <f t="shared" si="14"/>
        <v>64310.677336126122</v>
      </c>
      <c r="E91" s="81">
        <f t="shared" si="11"/>
        <v>7717.2812803351344</v>
      </c>
      <c r="F91" s="81">
        <f t="shared" si="12"/>
        <v>19058.478719664865</v>
      </c>
      <c r="I91" s="66" t="s">
        <v>176</v>
      </c>
      <c r="J91" s="81">
        <f t="shared" si="13"/>
        <v>10000</v>
      </c>
      <c r="K91" s="81">
        <f t="shared" si="17"/>
        <v>30000</v>
      </c>
      <c r="L91" s="81">
        <f t="shared" si="15"/>
        <v>3600</v>
      </c>
      <c r="M91" s="81">
        <f t="shared" si="16"/>
        <v>13600</v>
      </c>
    </row>
    <row r="92" spans="2:13">
      <c r="B92" s="66" t="s">
        <v>177</v>
      </c>
      <c r="C92" s="81">
        <v>26775.759999999998</v>
      </c>
      <c r="D92" s="81">
        <f t="shared" si="14"/>
        <v>45252.198616461261</v>
      </c>
      <c r="E92" s="81">
        <f t="shared" si="11"/>
        <v>5430.2638339753512</v>
      </c>
      <c r="F92" s="81">
        <f t="shared" si="12"/>
        <v>21345.496166024648</v>
      </c>
      <c r="I92" s="66" t="s">
        <v>177</v>
      </c>
      <c r="J92" s="81">
        <f t="shared" si="13"/>
        <v>10000</v>
      </c>
      <c r="K92" s="81">
        <f t="shared" si="17"/>
        <v>20000</v>
      </c>
      <c r="L92" s="81">
        <f t="shared" si="15"/>
        <v>2400</v>
      </c>
      <c r="M92" s="81">
        <f t="shared" si="16"/>
        <v>12400</v>
      </c>
    </row>
    <row r="93" spans="2:13">
      <c r="B93" s="66" t="s">
        <v>178</v>
      </c>
      <c r="C93" s="81">
        <v>26775.759999999998</v>
      </c>
      <c r="D93" s="81">
        <f t="shared" si="14"/>
        <v>23906.702450436613</v>
      </c>
      <c r="E93" s="81">
        <f t="shared" si="11"/>
        <v>2868.8042940523933</v>
      </c>
      <c r="F93" s="81">
        <f t="shared" si="12"/>
        <v>23906.955705947606</v>
      </c>
      <c r="I93" s="66" t="s">
        <v>178</v>
      </c>
      <c r="J93" s="81">
        <f t="shared" si="13"/>
        <v>10000</v>
      </c>
      <c r="K93" s="81">
        <f t="shared" si="17"/>
        <v>10000</v>
      </c>
      <c r="L93" s="81">
        <f t="shared" si="15"/>
        <v>1200</v>
      </c>
      <c r="M93" s="81">
        <f t="shared" si="16"/>
        <v>11200</v>
      </c>
    </row>
    <row r="94" spans="2:13">
      <c r="B94" s="66"/>
      <c r="C94" s="81">
        <f>SUM(C74:C93)</f>
        <v>535515.19600793219</v>
      </c>
      <c r="E94" s="81">
        <f>SUM(E74:E93)</f>
        <v>335514.94275242119</v>
      </c>
      <c r="F94" s="81">
        <f>SUM(F74:F93)</f>
        <v>200000.25325551099</v>
      </c>
      <c r="J94" s="81">
        <f>SUM(J74:J93)</f>
        <v>200000</v>
      </c>
      <c r="K94" s="81"/>
      <c r="L94" s="81">
        <f t="shared" ref="L94:M94" si="18">SUM(L74:L93)</f>
        <v>252000</v>
      </c>
      <c r="M94" s="81">
        <f t="shared" si="18"/>
        <v>452000</v>
      </c>
    </row>
  </sheetData>
  <mergeCells count="2">
    <mergeCell ref="C27:G27"/>
    <mergeCell ref="I27:N27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AC6FF-6FE6-44A7-90AF-93637B47B360}">
  <sheetPr>
    <tabColor rgb="FF00B050"/>
  </sheetPr>
  <dimension ref="A3:P12"/>
  <sheetViews>
    <sheetView topLeftCell="E1" zoomScale="85" zoomScaleNormal="85" workbookViewId="0">
      <selection activeCell="I181" sqref="I181"/>
    </sheetView>
  </sheetViews>
  <sheetFormatPr baseColWidth="10" defaultRowHeight="15"/>
  <sheetData>
    <row r="3" spans="1:16">
      <c r="A3" s="83"/>
      <c r="B3" s="83" t="s">
        <v>22</v>
      </c>
      <c r="C3" s="83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</row>
    <row r="5" spans="1:16">
      <c r="B5" s="100" t="s">
        <v>214</v>
      </c>
      <c r="C5" s="101"/>
      <c r="D5" s="101"/>
      <c r="E5" s="101"/>
      <c r="F5" s="101"/>
      <c r="G5" s="101"/>
      <c r="H5" s="101"/>
      <c r="I5" s="101"/>
      <c r="J5" s="101"/>
      <c r="K5" s="101"/>
      <c r="L5" s="101"/>
      <c r="M5" s="101"/>
      <c r="N5" s="101"/>
      <c r="O5" s="101"/>
      <c r="P5" s="101"/>
    </row>
    <row r="6" spans="1:16">
      <c r="B6" s="101"/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1"/>
    </row>
    <row r="7" spans="1:16">
      <c r="B7" s="101"/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</row>
    <row r="8" spans="1:16">
      <c r="B8" s="85"/>
      <c r="C8" s="85"/>
      <c r="D8" s="85"/>
      <c r="E8" s="85"/>
      <c r="F8" s="85"/>
      <c r="G8" s="85"/>
      <c r="H8" s="85"/>
      <c r="I8" s="85"/>
      <c r="J8" s="85"/>
      <c r="K8" s="85"/>
      <c r="L8" s="85"/>
      <c r="M8" s="85"/>
      <c r="N8" s="85"/>
      <c r="O8" s="85"/>
      <c r="P8" s="85"/>
    </row>
    <row r="9" spans="1:16">
      <c r="B9" s="85"/>
      <c r="C9" s="85"/>
      <c r="D9" s="85"/>
      <c r="E9" s="85"/>
      <c r="F9" s="85"/>
      <c r="G9" s="85"/>
      <c r="H9" s="85"/>
      <c r="I9" s="85"/>
      <c r="J9" s="85"/>
      <c r="K9" s="85"/>
      <c r="L9" s="85"/>
      <c r="M9" s="85"/>
      <c r="N9" s="85"/>
      <c r="O9" s="85"/>
      <c r="P9" s="85"/>
    </row>
    <row r="10" spans="1:16">
      <c r="A10" s="83"/>
      <c r="B10" s="83" t="s">
        <v>23</v>
      </c>
      <c r="C10" s="83"/>
      <c r="D10" s="83"/>
      <c r="E10" s="83"/>
      <c r="F10" s="83"/>
      <c r="G10" s="83"/>
      <c r="H10" s="83"/>
      <c r="I10" s="83"/>
      <c r="J10" s="83"/>
      <c r="K10" s="83"/>
      <c r="L10" s="83"/>
      <c r="M10" s="83"/>
      <c r="N10" s="83"/>
      <c r="O10" s="83"/>
      <c r="P10" s="83"/>
    </row>
    <row r="12" spans="1:16">
      <c r="O12" s="66" t="s">
        <v>215</v>
      </c>
      <c r="P12" s="66">
        <v>200000</v>
      </c>
    </row>
  </sheetData>
  <mergeCells count="1">
    <mergeCell ref="B5:P7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07E78-B8D4-4F9C-80C6-A631341427CD}">
  <sheetPr>
    <tabColor rgb="FF00B050"/>
  </sheetPr>
  <dimension ref="A3:U9"/>
  <sheetViews>
    <sheetView topLeftCell="D1" zoomScaleNormal="100" workbookViewId="0">
      <selection activeCell="U14" sqref="U14"/>
    </sheetView>
  </sheetViews>
  <sheetFormatPr baseColWidth="10" defaultRowHeight="15"/>
  <sheetData>
    <row r="3" spans="1:21">
      <c r="A3" s="83"/>
      <c r="B3" s="83" t="s">
        <v>22</v>
      </c>
      <c r="C3" s="83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S3" s="83"/>
      <c r="T3" s="83"/>
      <c r="U3" s="83"/>
    </row>
    <row r="5" spans="1:21">
      <c r="B5" s="100" t="s">
        <v>216</v>
      </c>
      <c r="C5" s="101"/>
      <c r="D5" s="101"/>
      <c r="E5" s="101"/>
      <c r="F5" s="101"/>
      <c r="G5" s="101"/>
      <c r="H5" s="101"/>
      <c r="I5" s="101"/>
      <c r="J5" s="101"/>
      <c r="K5" s="101"/>
      <c r="L5" s="101"/>
      <c r="M5" s="101"/>
      <c r="N5" s="101"/>
      <c r="O5" s="101"/>
      <c r="P5" s="101"/>
    </row>
    <row r="6" spans="1:21">
      <c r="B6" s="101"/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1"/>
    </row>
    <row r="7" spans="1:21">
      <c r="B7" s="101"/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</row>
    <row r="8" spans="1:21">
      <c r="B8" s="85"/>
      <c r="C8" s="85"/>
      <c r="D8" s="85"/>
      <c r="E8" s="85"/>
      <c r="F8" s="85"/>
      <c r="G8" s="85"/>
      <c r="H8" s="85"/>
      <c r="I8" s="85"/>
      <c r="J8" s="85"/>
      <c r="K8" s="85"/>
      <c r="L8" s="85"/>
      <c r="M8" s="85"/>
      <c r="N8" s="85"/>
      <c r="O8" s="85"/>
      <c r="P8" s="85"/>
    </row>
    <row r="9" spans="1:21">
      <c r="B9" s="85"/>
      <c r="C9" s="85"/>
      <c r="D9" s="85"/>
      <c r="E9" s="85"/>
      <c r="F9" s="85"/>
      <c r="G9" s="85"/>
      <c r="H9" s="85"/>
      <c r="I9" s="85"/>
      <c r="J9" s="85"/>
      <c r="K9" s="85"/>
      <c r="L9" s="85"/>
      <c r="M9" s="85"/>
      <c r="N9" s="85"/>
      <c r="O9" s="85"/>
      <c r="P9" s="85"/>
    </row>
  </sheetData>
  <mergeCells count="1">
    <mergeCell ref="B5:P7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B050"/>
  </sheetPr>
  <dimension ref="B2:P52"/>
  <sheetViews>
    <sheetView topLeftCell="A19" zoomScaleNormal="100" workbookViewId="0">
      <selection activeCell="F46" sqref="F46"/>
    </sheetView>
  </sheetViews>
  <sheetFormatPr baseColWidth="10" defaultRowHeight="15"/>
  <cols>
    <col min="2" max="2" width="12.5703125" bestFit="1" customWidth="1"/>
    <col min="3" max="3" width="17.140625" bestFit="1" customWidth="1"/>
    <col min="4" max="4" width="21.42578125" customWidth="1"/>
    <col min="5" max="7" width="13" bestFit="1" customWidth="1"/>
    <col min="8" max="8" width="12" bestFit="1" customWidth="1"/>
    <col min="9" max="9" width="16.7109375" bestFit="1" customWidth="1"/>
    <col min="10" max="10" width="16.28515625" customWidth="1"/>
    <col min="11" max="11" width="21.7109375" bestFit="1" customWidth="1"/>
    <col min="12" max="12" width="13" bestFit="1" customWidth="1"/>
    <col min="13" max="13" width="14.85546875" customWidth="1"/>
    <col min="14" max="14" width="17.42578125" customWidth="1"/>
  </cols>
  <sheetData>
    <row r="2" spans="2:16" s="21" customFormat="1">
      <c r="B2" s="21" t="s">
        <v>22</v>
      </c>
    </row>
    <row r="3" spans="2:16" ht="14.45" customHeight="1">
      <c r="B3" s="103" t="s">
        <v>118</v>
      </c>
      <c r="C3" s="103"/>
      <c r="D3" s="103"/>
      <c r="E3" s="103"/>
      <c r="F3" s="103"/>
      <c r="G3" s="103"/>
      <c r="H3" s="103"/>
      <c r="I3" s="103"/>
      <c r="J3" s="103"/>
      <c r="K3" s="1"/>
      <c r="L3" s="1"/>
      <c r="M3" s="1"/>
      <c r="N3" s="1"/>
      <c r="O3" s="1"/>
      <c r="P3" s="1"/>
    </row>
    <row r="4" spans="2:16" ht="14.45" customHeight="1">
      <c r="B4" s="103"/>
      <c r="C4" s="103"/>
      <c r="D4" s="103"/>
      <c r="E4" s="103"/>
      <c r="F4" s="103"/>
      <c r="G4" s="103"/>
      <c r="H4" s="103"/>
      <c r="I4" s="103"/>
      <c r="J4" s="103"/>
      <c r="K4" s="1"/>
      <c r="L4" s="1"/>
      <c r="M4" s="1"/>
      <c r="N4" s="1"/>
      <c r="O4" s="1"/>
      <c r="P4" s="1"/>
    </row>
    <row r="5" spans="2:16" ht="15.75">
      <c r="B5" s="25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2:16" ht="15.75">
      <c r="B6" s="25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2:16" ht="15.75">
      <c r="B7" s="25" t="s">
        <v>29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2:16" ht="15.75">
      <c r="B8" s="25" t="s">
        <v>119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2:16" ht="15.75">
      <c r="B9" s="25" t="s">
        <v>137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2:16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2:16" s="21" customFormat="1">
      <c r="B11" s="21" t="s">
        <v>23</v>
      </c>
    </row>
    <row r="15" spans="2:16">
      <c r="F15" t="s">
        <v>57</v>
      </c>
      <c r="G15" s="6">
        <v>200000</v>
      </c>
    </row>
    <row r="16" spans="2:16">
      <c r="F16" t="s">
        <v>48</v>
      </c>
      <c r="G16">
        <v>12</v>
      </c>
    </row>
    <row r="17" spans="2:14">
      <c r="F17" t="s">
        <v>58</v>
      </c>
      <c r="G17" s="33">
        <v>0.12</v>
      </c>
    </row>
    <row r="19" spans="2:14">
      <c r="F19" s="57" t="s">
        <v>43</v>
      </c>
      <c r="G19" s="32">
        <f>+G15</f>
        <v>200000</v>
      </c>
      <c r="H19">
        <f>+POWER(1+G17,G16)*G17</f>
        <v>0.46751711910563742</v>
      </c>
      <c r="I19" s="59">
        <f>+G19*H19/H20</f>
        <v>32287.361518799145</v>
      </c>
      <c r="J19" s="47"/>
    </row>
    <row r="20" spans="2:14">
      <c r="H20">
        <f>+POWER(1+G17,G16)-1</f>
        <v>2.8959759925469788</v>
      </c>
    </row>
    <row r="24" spans="2:14">
      <c r="C24" s="99" t="s">
        <v>59</v>
      </c>
      <c r="D24" s="99"/>
      <c r="E24" s="99"/>
      <c r="F24" s="99"/>
      <c r="G24" s="99"/>
      <c r="I24" s="99" t="s">
        <v>60</v>
      </c>
      <c r="J24" s="99"/>
      <c r="K24" s="99"/>
      <c r="L24" s="99"/>
      <c r="M24" s="99"/>
      <c r="N24" s="99"/>
    </row>
    <row r="25" spans="2:14">
      <c r="C25" s="60" t="s">
        <v>132</v>
      </c>
      <c r="D25" s="60" t="s">
        <v>133</v>
      </c>
      <c r="E25" s="60" t="s">
        <v>134</v>
      </c>
      <c r="F25" s="60" t="s">
        <v>61</v>
      </c>
      <c r="G25" s="60" t="s">
        <v>135</v>
      </c>
      <c r="J25" s="60" t="s">
        <v>132</v>
      </c>
      <c r="K25" s="60" t="s">
        <v>133</v>
      </c>
      <c r="L25" s="60" t="s">
        <v>134</v>
      </c>
      <c r="M25" s="60" t="s">
        <v>61</v>
      </c>
      <c r="N25" s="60" t="s">
        <v>135</v>
      </c>
    </row>
    <row r="26" spans="2:14">
      <c r="B26" t="s">
        <v>120</v>
      </c>
      <c r="C26" s="62">
        <f>+G15</f>
        <v>200000</v>
      </c>
      <c r="D26" s="32">
        <f t="shared" ref="D26:D37" si="0">+F26-E26</f>
        <v>8287.3615187991454</v>
      </c>
      <c r="E26" s="6">
        <f>+C26*$G$17</f>
        <v>24000</v>
      </c>
      <c r="F26" s="34">
        <f>+$I$19</f>
        <v>32287.361518799145</v>
      </c>
      <c r="G26" s="32">
        <f>+C26-D26</f>
        <v>191712.63848120085</v>
      </c>
      <c r="H26" s="33"/>
      <c r="I26" t="str">
        <f t="shared" ref="I26:I37" si="1">+B26</f>
        <v>MES 1</v>
      </c>
      <c r="J26" s="61">
        <f>+G15</f>
        <v>200000</v>
      </c>
      <c r="K26" s="6">
        <f>+$G$15/$G$16</f>
        <v>16666.666666666668</v>
      </c>
      <c r="L26" s="6">
        <f>+J26*$G$17</f>
        <v>24000</v>
      </c>
      <c r="M26" s="63">
        <f t="shared" ref="M26:M38" si="2">+K26+L26</f>
        <v>40666.666666666672</v>
      </c>
      <c r="N26" s="32">
        <f>+J26-K26</f>
        <v>183333.33333333334</v>
      </c>
    </row>
    <row r="27" spans="2:14">
      <c r="B27" t="s">
        <v>121</v>
      </c>
      <c r="C27" s="32">
        <f>+G26</f>
        <v>191712.63848120085</v>
      </c>
      <c r="D27" s="32">
        <f t="shared" si="0"/>
        <v>9281.844901055043</v>
      </c>
      <c r="E27" s="6">
        <f t="shared" ref="E27:E37" si="3">+C27*$G$17</f>
        <v>23005.516617744102</v>
      </c>
      <c r="F27" s="34">
        <f t="shared" ref="F27:F37" si="4">+$I$19</f>
        <v>32287.361518799145</v>
      </c>
      <c r="G27" s="32">
        <f t="shared" ref="G27:G37" si="5">+C27-D27</f>
        <v>182430.79358014581</v>
      </c>
      <c r="I27" t="str">
        <f t="shared" si="1"/>
        <v>MES 2</v>
      </c>
      <c r="J27" s="32">
        <f>+N26</f>
        <v>183333.33333333334</v>
      </c>
      <c r="K27" s="6">
        <f t="shared" ref="K27:K37" si="6">+$G$15/$G$16</f>
        <v>16666.666666666668</v>
      </c>
      <c r="L27" s="6">
        <f>+J27*$G$17</f>
        <v>22000</v>
      </c>
      <c r="M27" s="32">
        <f t="shared" si="2"/>
        <v>38666.666666666672</v>
      </c>
      <c r="N27" s="32">
        <f t="shared" ref="N27:N37" si="7">+J27-K27</f>
        <v>166666.66666666669</v>
      </c>
    </row>
    <row r="28" spans="2:14">
      <c r="B28" t="s">
        <v>122</v>
      </c>
      <c r="C28" s="32">
        <f t="shared" ref="C28:C37" si="8">+G27</f>
        <v>182430.79358014581</v>
      </c>
      <c r="D28" s="32">
        <f t="shared" si="0"/>
        <v>10395.666289181649</v>
      </c>
      <c r="E28" s="6">
        <f t="shared" si="3"/>
        <v>21891.695229617497</v>
      </c>
      <c r="F28" s="34">
        <f t="shared" si="4"/>
        <v>32287.361518799145</v>
      </c>
      <c r="G28" s="32">
        <f t="shared" si="5"/>
        <v>172035.12729096416</v>
      </c>
      <c r="I28" t="str">
        <f t="shared" si="1"/>
        <v>MES 3</v>
      </c>
      <c r="J28" s="32">
        <f t="shared" ref="J28:J37" si="9">+N27</f>
        <v>166666.66666666669</v>
      </c>
      <c r="K28" s="6">
        <f t="shared" si="6"/>
        <v>16666.666666666668</v>
      </c>
      <c r="L28" s="6">
        <f t="shared" ref="L28:L37" si="10">+J28*$G$17</f>
        <v>20000</v>
      </c>
      <c r="M28" s="32">
        <f t="shared" si="2"/>
        <v>36666.666666666672</v>
      </c>
      <c r="N28" s="32">
        <f t="shared" si="7"/>
        <v>150000.00000000003</v>
      </c>
    </row>
    <row r="29" spans="2:14">
      <c r="B29" t="s">
        <v>123</v>
      </c>
      <c r="C29" s="32">
        <f t="shared" si="8"/>
        <v>172035.12729096416</v>
      </c>
      <c r="D29" s="32">
        <f t="shared" si="0"/>
        <v>11643.146243883446</v>
      </c>
      <c r="E29" s="6">
        <f t="shared" si="3"/>
        <v>20644.215274915699</v>
      </c>
      <c r="F29" s="34">
        <f t="shared" si="4"/>
        <v>32287.361518799145</v>
      </c>
      <c r="G29" s="32">
        <f t="shared" si="5"/>
        <v>160391.98104708071</v>
      </c>
      <c r="I29" t="str">
        <f t="shared" si="1"/>
        <v>MES 4</v>
      </c>
      <c r="J29" s="32">
        <f t="shared" si="9"/>
        <v>150000.00000000003</v>
      </c>
      <c r="K29" s="6">
        <f t="shared" si="6"/>
        <v>16666.666666666668</v>
      </c>
      <c r="L29" s="6">
        <f t="shared" si="10"/>
        <v>18000.000000000004</v>
      </c>
      <c r="M29" s="32">
        <f t="shared" si="2"/>
        <v>34666.666666666672</v>
      </c>
      <c r="N29" s="32">
        <f t="shared" si="7"/>
        <v>133333.33333333337</v>
      </c>
    </row>
    <row r="30" spans="2:14">
      <c r="B30" t="s">
        <v>124</v>
      </c>
      <c r="C30" s="32">
        <f t="shared" si="8"/>
        <v>160391.98104708071</v>
      </c>
      <c r="D30" s="32">
        <f t="shared" si="0"/>
        <v>13040.323793149462</v>
      </c>
      <c r="E30" s="6">
        <f t="shared" si="3"/>
        <v>19247.037725649683</v>
      </c>
      <c r="F30" s="34">
        <f t="shared" si="4"/>
        <v>32287.361518799145</v>
      </c>
      <c r="G30" s="32">
        <f t="shared" si="5"/>
        <v>147351.65725393125</v>
      </c>
      <c r="I30" t="str">
        <f t="shared" si="1"/>
        <v>MES 5</v>
      </c>
      <c r="J30" s="32">
        <f t="shared" si="9"/>
        <v>133333.33333333337</v>
      </c>
      <c r="K30" s="6">
        <f t="shared" si="6"/>
        <v>16666.666666666668</v>
      </c>
      <c r="L30" s="6">
        <f t="shared" si="10"/>
        <v>16000.000000000004</v>
      </c>
      <c r="M30" s="32">
        <f t="shared" si="2"/>
        <v>32666.666666666672</v>
      </c>
      <c r="N30" s="32">
        <f t="shared" si="7"/>
        <v>116666.6666666667</v>
      </c>
    </row>
    <row r="31" spans="2:14">
      <c r="B31" t="s">
        <v>125</v>
      </c>
      <c r="C31" s="32">
        <f t="shared" si="8"/>
        <v>147351.65725393125</v>
      </c>
      <c r="D31" s="32">
        <f t="shared" si="0"/>
        <v>14605.162648327398</v>
      </c>
      <c r="E31" s="6">
        <f t="shared" si="3"/>
        <v>17682.198870471748</v>
      </c>
      <c r="F31" s="34">
        <f t="shared" si="4"/>
        <v>32287.361518799145</v>
      </c>
      <c r="G31" s="32">
        <f t="shared" si="5"/>
        <v>132746.49460560386</v>
      </c>
      <c r="I31" t="str">
        <f t="shared" si="1"/>
        <v>MES 6</v>
      </c>
      <c r="J31" s="32">
        <f t="shared" si="9"/>
        <v>116666.6666666667</v>
      </c>
      <c r="K31" s="6">
        <f t="shared" si="6"/>
        <v>16666.666666666668</v>
      </c>
      <c r="L31" s="6">
        <f t="shared" si="10"/>
        <v>14000.000000000004</v>
      </c>
      <c r="M31" s="32">
        <f t="shared" si="2"/>
        <v>30666.666666666672</v>
      </c>
      <c r="N31" s="32">
        <f t="shared" si="7"/>
        <v>100000.00000000003</v>
      </c>
    </row>
    <row r="32" spans="2:14">
      <c r="B32" t="s">
        <v>126</v>
      </c>
      <c r="C32" s="32">
        <f t="shared" si="8"/>
        <v>132746.49460560386</v>
      </c>
      <c r="D32" s="32">
        <f t="shared" si="0"/>
        <v>16357.782166126683</v>
      </c>
      <c r="E32" s="6">
        <f t="shared" si="3"/>
        <v>15929.579352672463</v>
      </c>
      <c r="F32" s="34">
        <f t="shared" si="4"/>
        <v>32287.361518799145</v>
      </c>
      <c r="G32" s="32">
        <f t="shared" si="5"/>
        <v>116388.71243947718</v>
      </c>
      <c r="I32" t="str">
        <f t="shared" si="1"/>
        <v>MES 7</v>
      </c>
      <c r="J32" s="32">
        <f t="shared" si="9"/>
        <v>100000.00000000003</v>
      </c>
      <c r="K32" s="6">
        <f t="shared" si="6"/>
        <v>16666.666666666668</v>
      </c>
      <c r="L32" s="6">
        <f t="shared" si="10"/>
        <v>12000.000000000004</v>
      </c>
      <c r="M32" s="32">
        <f t="shared" si="2"/>
        <v>28666.666666666672</v>
      </c>
      <c r="N32" s="32">
        <f t="shared" si="7"/>
        <v>83333.333333333358</v>
      </c>
    </row>
    <row r="33" spans="2:14">
      <c r="B33" t="s">
        <v>127</v>
      </c>
      <c r="C33" s="32">
        <f t="shared" si="8"/>
        <v>116388.71243947718</v>
      </c>
      <c r="D33" s="32">
        <f t="shared" si="0"/>
        <v>18320.716026061884</v>
      </c>
      <c r="E33" s="6">
        <f t="shared" si="3"/>
        <v>13966.645492737262</v>
      </c>
      <c r="F33" s="34">
        <f t="shared" si="4"/>
        <v>32287.361518799145</v>
      </c>
      <c r="G33" s="32">
        <f t="shared" si="5"/>
        <v>98067.996413415298</v>
      </c>
      <c r="I33" t="str">
        <f t="shared" si="1"/>
        <v>MES 8</v>
      </c>
      <c r="J33" s="32">
        <f t="shared" si="9"/>
        <v>83333.333333333358</v>
      </c>
      <c r="K33" s="6">
        <f t="shared" si="6"/>
        <v>16666.666666666668</v>
      </c>
      <c r="L33" s="6">
        <f t="shared" si="10"/>
        <v>10000.000000000002</v>
      </c>
      <c r="M33" s="32">
        <f t="shared" si="2"/>
        <v>26666.666666666672</v>
      </c>
      <c r="N33" s="32">
        <f t="shared" si="7"/>
        <v>66666.666666666686</v>
      </c>
    </row>
    <row r="34" spans="2:14">
      <c r="B34" t="s">
        <v>128</v>
      </c>
      <c r="C34" s="32">
        <f t="shared" si="8"/>
        <v>98067.996413415298</v>
      </c>
      <c r="D34" s="32">
        <f t="shared" si="0"/>
        <v>20519.201949189308</v>
      </c>
      <c r="E34" s="6">
        <f t="shared" si="3"/>
        <v>11768.159569609836</v>
      </c>
      <c r="F34" s="34">
        <f t="shared" si="4"/>
        <v>32287.361518799145</v>
      </c>
      <c r="G34" s="32">
        <f t="shared" si="5"/>
        <v>77548.794464225997</v>
      </c>
      <c r="I34" t="str">
        <f t="shared" si="1"/>
        <v>MES 9</v>
      </c>
      <c r="J34" s="32">
        <f t="shared" si="9"/>
        <v>66666.666666666686</v>
      </c>
      <c r="K34" s="6">
        <f t="shared" si="6"/>
        <v>16666.666666666668</v>
      </c>
      <c r="L34" s="6">
        <f t="shared" si="10"/>
        <v>8000.0000000000018</v>
      </c>
      <c r="M34" s="32">
        <f t="shared" si="2"/>
        <v>24666.666666666672</v>
      </c>
      <c r="N34" s="32">
        <f t="shared" si="7"/>
        <v>50000.000000000015</v>
      </c>
    </row>
    <row r="35" spans="2:14">
      <c r="B35" t="s">
        <v>129</v>
      </c>
      <c r="C35" s="32">
        <f t="shared" si="8"/>
        <v>77548.794464225997</v>
      </c>
      <c r="D35" s="32">
        <f t="shared" si="0"/>
        <v>22981.506183092024</v>
      </c>
      <c r="E35" s="6">
        <f t="shared" si="3"/>
        <v>9305.8553357071196</v>
      </c>
      <c r="F35" s="34">
        <f t="shared" si="4"/>
        <v>32287.361518799145</v>
      </c>
      <c r="G35" s="32">
        <f t="shared" si="5"/>
        <v>54567.288281133973</v>
      </c>
      <c r="I35" t="str">
        <f t="shared" si="1"/>
        <v>MES 10</v>
      </c>
      <c r="J35" s="32">
        <f t="shared" si="9"/>
        <v>50000.000000000015</v>
      </c>
      <c r="K35" s="6">
        <f t="shared" si="6"/>
        <v>16666.666666666668</v>
      </c>
      <c r="L35" s="6">
        <f t="shared" si="10"/>
        <v>6000.0000000000018</v>
      </c>
      <c r="M35" s="32">
        <f t="shared" si="2"/>
        <v>22666.666666666672</v>
      </c>
      <c r="N35" s="32">
        <f t="shared" si="7"/>
        <v>33333.333333333343</v>
      </c>
    </row>
    <row r="36" spans="2:14">
      <c r="B36" t="s">
        <v>130</v>
      </c>
      <c r="C36" s="32">
        <f t="shared" si="8"/>
        <v>54567.288281133973</v>
      </c>
      <c r="D36" s="32">
        <f t="shared" si="0"/>
        <v>25739.286925063068</v>
      </c>
      <c r="E36" s="6">
        <f t="shared" si="3"/>
        <v>6548.0745937360762</v>
      </c>
      <c r="F36" s="34">
        <f t="shared" si="4"/>
        <v>32287.361518799145</v>
      </c>
      <c r="G36" s="32">
        <f t="shared" si="5"/>
        <v>28828.001356070905</v>
      </c>
      <c r="I36" t="str">
        <f t="shared" si="1"/>
        <v>MES 11</v>
      </c>
      <c r="J36" s="32">
        <f t="shared" si="9"/>
        <v>33333.333333333343</v>
      </c>
      <c r="K36" s="6">
        <f t="shared" si="6"/>
        <v>16666.666666666668</v>
      </c>
      <c r="L36" s="6">
        <f t="shared" si="10"/>
        <v>4000.0000000000009</v>
      </c>
      <c r="M36" s="32">
        <f t="shared" si="2"/>
        <v>20666.666666666668</v>
      </c>
      <c r="N36" s="32">
        <f t="shared" si="7"/>
        <v>16666.666666666675</v>
      </c>
    </row>
    <row r="37" spans="2:14">
      <c r="B37" t="s">
        <v>131</v>
      </c>
      <c r="C37" s="32">
        <f t="shared" si="8"/>
        <v>28828.001356070905</v>
      </c>
      <c r="D37" s="32">
        <f t="shared" si="0"/>
        <v>28828.001356070636</v>
      </c>
      <c r="E37" s="6">
        <f t="shared" si="3"/>
        <v>3459.3601627285084</v>
      </c>
      <c r="F37" s="34">
        <f t="shared" si="4"/>
        <v>32287.361518799145</v>
      </c>
      <c r="G37" s="61">
        <f t="shared" si="5"/>
        <v>2.6921043172478676E-10</v>
      </c>
      <c r="I37" t="str">
        <f t="shared" si="1"/>
        <v>MES 12</v>
      </c>
      <c r="J37" s="32">
        <f t="shared" si="9"/>
        <v>16666.666666666675</v>
      </c>
      <c r="K37" s="6">
        <f t="shared" si="6"/>
        <v>16666.666666666668</v>
      </c>
      <c r="L37" s="6">
        <f t="shared" si="10"/>
        <v>2000.0000000000009</v>
      </c>
      <c r="M37" s="32">
        <f t="shared" si="2"/>
        <v>18666.666666666668</v>
      </c>
      <c r="N37" s="61">
        <f t="shared" si="7"/>
        <v>0</v>
      </c>
    </row>
    <row r="38" spans="2:14">
      <c r="C38" s="32"/>
      <c r="D38" s="61">
        <f>SUM(D26:D37)</f>
        <v>199999.99999999974</v>
      </c>
      <c r="E38" s="65">
        <f>SUM(E26:E37)</f>
        <v>187448.33822558995</v>
      </c>
      <c r="F38" s="64">
        <f>SUM(F26:F37)</f>
        <v>387448.33822558977</v>
      </c>
      <c r="K38" s="61">
        <f>SUM(K26:K37)</f>
        <v>199999.99999999997</v>
      </c>
      <c r="L38" s="65">
        <f>SUM(L26:L37)</f>
        <v>156000</v>
      </c>
      <c r="M38" s="64">
        <f t="shared" si="2"/>
        <v>356000</v>
      </c>
    </row>
    <row r="40" spans="2:14">
      <c r="C40" t="s">
        <v>136</v>
      </c>
      <c r="D40" s="64">
        <f>+D38+E38</f>
        <v>387448.33822558972</v>
      </c>
      <c r="J40" t="s">
        <v>136</v>
      </c>
      <c r="K40" s="64">
        <f>+K38+L38</f>
        <v>356000</v>
      </c>
    </row>
    <row r="44" spans="2:14">
      <c r="B44" s="32"/>
    </row>
    <row r="47" spans="2:14">
      <c r="B47" s="6"/>
    </row>
    <row r="48" spans="2:14">
      <c r="B48" s="6"/>
    </row>
    <row r="49" spans="2:2">
      <c r="B49" s="6"/>
    </row>
    <row r="50" spans="2:2">
      <c r="B50" s="6"/>
    </row>
    <row r="51" spans="2:2">
      <c r="B51" s="6"/>
    </row>
    <row r="52" spans="2:2">
      <c r="B52" s="32"/>
    </row>
  </sheetData>
  <mergeCells count="3">
    <mergeCell ref="B3:J4"/>
    <mergeCell ref="C24:G24"/>
    <mergeCell ref="I24:N24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B050"/>
  </sheetPr>
  <dimension ref="A2:O53"/>
  <sheetViews>
    <sheetView tabSelected="1" zoomScaleNormal="100" workbookViewId="0">
      <selection activeCell="I17" sqref="I17"/>
    </sheetView>
  </sheetViews>
  <sheetFormatPr baseColWidth="10" defaultRowHeight="15"/>
  <sheetData>
    <row r="2" spans="1:13" s="22" customFormat="1">
      <c r="B2" s="23" t="s">
        <v>22</v>
      </c>
    </row>
    <row r="4" spans="1:13" ht="123.95" customHeight="1">
      <c r="A4" s="98" t="s">
        <v>140</v>
      </c>
      <c r="B4" s="98"/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</row>
    <row r="5" spans="1:13" ht="5.45" customHeight="1">
      <c r="A5" s="98"/>
      <c r="B5" s="98"/>
      <c r="C5" s="98"/>
      <c r="D5" s="98"/>
      <c r="E5" s="98"/>
      <c r="F5" s="98"/>
      <c r="G5" s="98"/>
      <c r="H5" s="98"/>
      <c r="I5" s="98"/>
      <c r="J5" s="98"/>
      <c r="K5" s="98"/>
      <c r="L5" s="98"/>
      <c r="M5" s="98"/>
    </row>
    <row r="10" spans="1:13" s="22" customFormat="1">
      <c r="B10" s="23" t="s">
        <v>23</v>
      </c>
    </row>
    <row r="12" spans="1:13" ht="15.75">
      <c r="D12" s="49" t="s">
        <v>96</v>
      </c>
    </row>
    <row r="14" spans="1:13">
      <c r="D14" t="s">
        <v>97</v>
      </c>
      <c r="E14">
        <v>3</v>
      </c>
      <c r="F14">
        <v>4</v>
      </c>
      <c r="G14">
        <v>5</v>
      </c>
      <c r="H14">
        <v>6</v>
      </c>
      <c r="I14">
        <v>7</v>
      </c>
      <c r="J14">
        <v>8</v>
      </c>
    </row>
    <row r="15" spans="1:13">
      <c r="D15" s="35" t="s">
        <v>98</v>
      </c>
      <c r="E15">
        <v>0</v>
      </c>
      <c r="F15">
        <v>1</v>
      </c>
      <c r="G15">
        <v>2</v>
      </c>
      <c r="H15">
        <v>3</v>
      </c>
      <c r="I15">
        <v>4</v>
      </c>
      <c r="J15">
        <v>5</v>
      </c>
    </row>
    <row r="17" spans="4:15">
      <c r="D17" t="s">
        <v>8</v>
      </c>
      <c r="J17">
        <v>200</v>
      </c>
    </row>
    <row r="18" spans="4:15">
      <c r="D18" t="s">
        <v>87</v>
      </c>
      <c r="F18">
        <v>-600</v>
      </c>
      <c r="G18">
        <v>-600</v>
      </c>
      <c r="H18">
        <v>-600</v>
      </c>
      <c r="I18">
        <v>-600</v>
      </c>
      <c r="J18">
        <v>-600</v>
      </c>
    </row>
    <row r="19" spans="4:15">
      <c r="D19" t="s">
        <v>17</v>
      </c>
      <c r="F19">
        <f>+F17+F18</f>
        <v>-600</v>
      </c>
      <c r="G19">
        <f t="shared" ref="G19:J19" si="0">+G17+G18</f>
        <v>-600</v>
      </c>
      <c r="H19">
        <f t="shared" si="0"/>
        <v>-600</v>
      </c>
      <c r="I19">
        <f t="shared" si="0"/>
        <v>-600</v>
      </c>
      <c r="J19">
        <f t="shared" si="0"/>
        <v>-400</v>
      </c>
    </row>
    <row r="21" spans="4:15">
      <c r="D21" t="s">
        <v>21</v>
      </c>
      <c r="E21" s="47">
        <f>+NPV(0.15,F19:J19)</f>
        <v>-1911.8577117471837</v>
      </c>
      <c r="F21" t="s">
        <v>99</v>
      </c>
      <c r="G21" s="47">
        <f>+PMT(0.15,5,-E21)</f>
        <v>-570.33688950769454</v>
      </c>
      <c r="J21" s="48"/>
    </row>
    <row r="24" spans="4:15">
      <c r="D24" t="str">
        <f>+D14</f>
        <v>Vida Util</v>
      </c>
      <c r="E24">
        <v>0</v>
      </c>
      <c r="F24">
        <v>1</v>
      </c>
      <c r="G24">
        <v>2</v>
      </c>
      <c r="H24">
        <v>3</v>
      </c>
      <c r="I24">
        <v>4</v>
      </c>
      <c r="J24">
        <v>5</v>
      </c>
      <c r="K24">
        <v>6</v>
      </c>
      <c r="L24">
        <v>7</v>
      </c>
      <c r="M24">
        <v>8</v>
      </c>
      <c r="N24">
        <v>9</v>
      </c>
      <c r="O24">
        <v>10</v>
      </c>
    </row>
    <row r="25" spans="4:15">
      <c r="D25" s="35" t="s">
        <v>100</v>
      </c>
    </row>
    <row r="27" spans="4:15">
      <c r="D27" t="s">
        <v>8</v>
      </c>
      <c r="E27">
        <v>400</v>
      </c>
      <c r="O27">
        <v>300</v>
      </c>
    </row>
    <row r="28" spans="4:15">
      <c r="D28" t="s">
        <v>87</v>
      </c>
      <c r="E28">
        <v>-1500</v>
      </c>
      <c r="F28">
        <v>-250</v>
      </c>
      <c r="G28">
        <v>-250</v>
      </c>
      <c r="H28">
        <v>-250</v>
      </c>
      <c r="I28">
        <v>-250</v>
      </c>
      <c r="J28">
        <v>-250</v>
      </c>
      <c r="K28">
        <v>-250</v>
      </c>
      <c r="L28">
        <v>-250</v>
      </c>
      <c r="M28">
        <v>-250</v>
      </c>
      <c r="N28">
        <v>-250</v>
      </c>
      <c r="O28">
        <v>-250</v>
      </c>
    </row>
    <row r="29" spans="4:15">
      <c r="D29" t="s">
        <v>17</v>
      </c>
      <c r="E29">
        <f>+E27+E28</f>
        <v>-1100</v>
      </c>
      <c r="F29">
        <f t="shared" ref="F29:O29" si="1">+F27+F28</f>
        <v>-250</v>
      </c>
      <c r="G29">
        <f t="shared" si="1"/>
        <v>-250</v>
      </c>
      <c r="H29">
        <f t="shared" si="1"/>
        <v>-250</v>
      </c>
      <c r="I29">
        <f t="shared" si="1"/>
        <v>-250</v>
      </c>
      <c r="J29">
        <f>+J27+J28</f>
        <v>-250</v>
      </c>
      <c r="K29">
        <f t="shared" si="1"/>
        <v>-250</v>
      </c>
      <c r="L29">
        <f t="shared" si="1"/>
        <v>-250</v>
      </c>
      <c r="M29">
        <f t="shared" si="1"/>
        <v>-250</v>
      </c>
      <c r="N29">
        <f t="shared" si="1"/>
        <v>-250</v>
      </c>
      <c r="O29">
        <f t="shared" si="1"/>
        <v>50</v>
      </c>
    </row>
    <row r="31" spans="4:15">
      <c r="D31" t="s">
        <v>21</v>
      </c>
      <c r="E31" s="47">
        <f>+NPV(0.15,F29:O29)+E29</f>
        <v>-2280.5367446269975</v>
      </c>
      <c r="F31" t="s">
        <v>99</v>
      </c>
      <c r="G31" s="47">
        <f>+PMT(0.15,10,-E31)</f>
        <v>-454.40165001406785</v>
      </c>
      <c r="J31" s="48"/>
    </row>
    <row r="34" spans="4:10" ht="15.75">
      <c r="D34" s="50" t="s">
        <v>101</v>
      </c>
    </row>
    <row r="36" spans="4:10">
      <c r="D36" t="s">
        <v>97</v>
      </c>
      <c r="E36">
        <v>3</v>
      </c>
      <c r="F36">
        <v>4</v>
      </c>
      <c r="G36">
        <v>5</v>
      </c>
      <c r="H36">
        <v>6</v>
      </c>
      <c r="I36">
        <v>7</v>
      </c>
      <c r="J36">
        <v>8</v>
      </c>
    </row>
    <row r="37" spans="4:10">
      <c r="D37" s="35" t="s">
        <v>98</v>
      </c>
      <c r="E37">
        <v>0</v>
      </c>
      <c r="F37">
        <v>1</v>
      </c>
      <c r="G37">
        <v>2</v>
      </c>
      <c r="H37">
        <v>3</v>
      </c>
      <c r="I37">
        <v>4</v>
      </c>
      <c r="J37">
        <v>5</v>
      </c>
    </row>
    <row r="39" spans="4:10">
      <c r="D39" t="s">
        <v>8</v>
      </c>
      <c r="J39">
        <v>200</v>
      </c>
    </row>
    <row r="40" spans="4:10">
      <c r="D40" t="s">
        <v>87</v>
      </c>
      <c r="F40">
        <v>-600</v>
      </c>
      <c r="G40">
        <v>-600</v>
      </c>
      <c r="H40">
        <v>-600</v>
      </c>
      <c r="I40">
        <v>-600</v>
      </c>
      <c r="J40">
        <v>-600</v>
      </c>
    </row>
    <row r="41" spans="4:10">
      <c r="D41" t="s">
        <v>17</v>
      </c>
      <c r="F41">
        <f>+F39+F40</f>
        <v>-600</v>
      </c>
      <c r="G41">
        <f t="shared" ref="G41:J41" si="2">+G39+G40</f>
        <v>-600</v>
      </c>
      <c r="H41">
        <f t="shared" si="2"/>
        <v>-600</v>
      </c>
      <c r="I41">
        <f t="shared" si="2"/>
        <v>-600</v>
      </c>
      <c r="J41">
        <f t="shared" si="2"/>
        <v>-400</v>
      </c>
    </row>
    <row r="43" spans="4:10">
      <c r="D43" t="s">
        <v>21</v>
      </c>
      <c r="E43" s="47">
        <f>+NPV(0.15,F41:J41)</f>
        <v>-1911.8577117471837</v>
      </c>
      <c r="G43" s="47"/>
      <c r="J43" s="48"/>
    </row>
    <row r="46" spans="4:10">
      <c r="D46" t="str">
        <f>+D36</f>
        <v>Vida Util</v>
      </c>
      <c r="E46">
        <v>0</v>
      </c>
      <c r="F46">
        <v>1</v>
      </c>
      <c r="G46">
        <v>2</v>
      </c>
      <c r="H46">
        <v>3</v>
      </c>
      <c r="I46">
        <v>4</v>
      </c>
      <c r="J46">
        <v>5</v>
      </c>
    </row>
    <row r="47" spans="4:10">
      <c r="D47" s="35" t="s">
        <v>100</v>
      </c>
    </row>
    <row r="48" spans="4:10">
      <c r="D48" t="s">
        <v>102</v>
      </c>
      <c r="E48">
        <v>1500</v>
      </c>
      <c r="F48">
        <f>+E48-120</f>
        <v>1380</v>
      </c>
      <c r="G48">
        <f t="shared" ref="G48:J48" si="3">+F48-120</f>
        <v>1260</v>
      </c>
      <c r="H48">
        <f t="shared" si="3"/>
        <v>1140</v>
      </c>
      <c r="I48">
        <f t="shared" si="3"/>
        <v>1020</v>
      </c>
      <c r="J48">
        <f t="shared" si="3"/>
        <v>900</v>
      </c>
    </row>
    <row r="49" spans="4:10">
      <c r="D49" t="s">
        <v>8</v>
      </c>
      <c r="E49">
        <v>400</v>
      </c>
      <c r="J49">
        <f>+J48</f>
        <v>900</v>
      </c>
    </row>
    <row r="50" spans="4:10">
      <c r="D50" t="s">
        <v>87</v>
      </c>
      <c r="E50">
        <v>-1500</v>
      </c>
      <c r="F50">
        <v>-250</v>
      </c>
      <c r="G50">
        <v>-250</v>
      </c>
      <c r="H50">
        <v>-250</v>
      </c>
      <c r="I50">
        <v>-250</v>
      </c>
      <c r="J50">
        <v>-250</v>
      </c>
    </row>
    <row r="51" spans="4:10">
      <c r="D51" t="s">
        <v>17</v>
      </c>
      <c r="E51">
        <f>+E49+E50</f>
        <v>-1100</v>
      </c>
      <c r="F51">
        <f t="shared" ref="F51:I51" si="4">+F49+F50</f>
        <v>-250</v>
      </c>
      <c r="G51">
        <f t="shared" si="4"/>
        <v>-250</v>
      </c>
      <c r="H51">
        <f t="shared" si="4"/>
        <v>-250</v>
      </c>
      <c r="I51">
        <f t="shared" si="4"/>
        <v>-250</v>
      </c>
      <c r="J51">
        <f>+J49+J50</f>
        <v>650</v>
      </c>
    </row>
    <row r="53" spans="4:10">
      <c r="D53" t="s">
        <v>21</v>
      </c>
      <c r="E53" s="47">
        <f>+NPV(0.15,F51:O51)+E51</f>
        <v>-1490.5797127343899</v>
      </c>
      <c r="J53" s="48"/>
    </row>
  </sheetData>
  <mergeCells count="1">
    <mergeCell ref="A4:M5"/>
  </mergeCells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Anualidad 1</vt:lpstr>
      <vt:lpstr>Anualidad 2</vt:lpstr>
      <vt:lpstr>Perpetuidad 1</vt:lpstr>
      <vt:lpstr>Perpetuidad 2</vt:lpstr>
      <vt:lpstr>Amort Deuda 1</vt:lpstr>
      <vt:lpstr>Amort Deuda 2</vt:lpstr>
      <vt:lpstr>Amort Deduda 3</vt:lpstr>
      <vt:lpstr>Amort Deuda 4</vt:lpstr>
      <vt:lpstr>Reemplazo equipo</vt:lpstr>
      <vt:lpstr>VAN - TIR 1</vt:lpstr>
      <vt:lpstr>VAN-TIR 2</vt:lpstr>
      <vt:lpstr>VAN-TIR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santiago</cp:lastModifiedBy>
  <dcterms:created xsi:type="dcterms:W3CDTF">2020-10-30T22:04:24Z</dcterms:created>
  <dcterms:modified xsi:type="dcterms:W3CDTF">2024-04-04T20:30:53Z</dcterms:modified>
</cp:coreProperties>
</file>