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7\"/>
    </mc:Choice>
  </mc:AlternateContent>
  <xr:revisionPtr revIDLastSave="0" documentId="13_ncr:1_{6379CE06-A976-4F75-AA5C-6649B8A5323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Evaluacion economica 1" sheetId="1" r:id="rId1"/>
    <sheet name="Evaluacion economica 2 A" sheetId="2" r:id="rId2"/>
    <sheet name="Evaluacion economica 2 B Optimi" sheetId="3" r:id="rId3"/>
    <sheet name="Evaluacion economica 2 B Pesimi" sheetId="4" r:id="rId4"/>
    <sheet name="Evaluacion economica 2 C costo" sheetId="5" r:id="rId5"/>
    <sheet name="Evaluacion economica 2 C demand" sheetId="6" r:id="rId6"/>
    <sheet name="Evaluacion economica 2 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D136" i="1"/>
  <c r="C145" i="1" s="1"/>
  <c r="C144" i="1"/>
  <c r="G92" i="1"/>
  <c r="H73" i="7"/>
  <c r="G73" i="7"/>
  <c r="F73" i="7"/>
  <c r="E73" i="7"/>
  <c r="D73" i="7"/>
  <c r="C72" i="7"/>
  <c r="M71" i="7"/>
  <c r="G84" i="7"/>
  <c r="G85" i="7" s="1"/>
  <c r="C87" i="7"/>
  <c r="K83" i="7" s="1"/>
  <c r="C88" i="7"/>
  <c r="C66" i="7"/>
  <c r="M63" i="7"/>
  <c r="L63" i="7"/>
  <c r="K63" i="7"/>
  <c r="J63" i="7"/>
  <c r="I63" i="7"/>
  <c r="H63" i="7"/>
  <c r="G63" i="7"/>
  <c r="F63" i="7"/>
  <c r="E63" i="7"/>
  <c r="D63" i="7"/>
  <c r="C59" i="7"/>
  <c r="D50" i="7"/>
  <c r="D51" i="7" s="1"/>
  <c r="M49" i="7"/>
  <c r="M61" i="7" s="1"/>
  <c r="L49" i="7"/>
  <c r="K49" i="7"/>
  <c r="J49" i="7"/>
  <c r="I49" i="7"/>
  <c r="H49" i="7"/>
  <c r="G49" i="7"/>
  <c r="F49" i="7"/>
  <c r="E49" i="7"/>
  <c r="D49" i="7"/>
  <c r="M48" i="7"/>
  <c r="M60" i="7" s="1"/>
  <c r="L48" i="7"/>
  <c r="L60" i="7" s="1"/>
  <c r="K48" i="7"/>
  <c r="K61" i="7" s="1"/>
  <c r="J48" i="7"/>
  <c r="I48" i="7"/>
  <c r="H48" i="7"/>
  <c r="G48" i="7"/>
  <c r="G60" i="7" s="1"/>
  <c r="F48" i="7"/>
  <c r="E48" i="7" s="1"/>
  <c r="E60" i="7" s="1"/>
  <c r="C47" i="7"/>
  <c r="C70" i="7" s="1"/>
  <c r="D46" i="7"/>
  <c r="E46" i="7" s="1"/>
  <c r="C66" i="6"/>
  <c r="C65" i="6"/>
  <c r="C67" i="6" s="1"/>
  <c r="M63" i="6"/>
  <c r="L63" i="6"/>
  <c r="K63" i="6"/>
  <c r="J63" i="6"/>
  <c r="I63" i="6"/>
  <c r="H63" i="6"/>
  <c r="G63" i="6"/>
  <c r="F63" i="6"/>
  <c r="E63" i="6"/>
  <c r="D63" i="6"/>
  <c r="C59" i="6"/>
  <c r="E51" i="6"/>
  <c r="D51" i="6"/>
  <c r="F50" i="6"/>
  <c r="G50" i="6" s="1"/>
  <c r="E50" i="6"/>
  <c r="D50" i="6"/>
  <c r="M49" i="6"/>
  <c r="L49" i="6"/>
  <c r="K49" i="6"/>
  <c r="J49" i="6"/>
  <c r="I49" i="6"/>
  <c r="H49" i="6"/>
  <c r="G49" i="6"/>
  <c r="F49" i="6"/>
  <c r="E49" i="6"/>
  <c r="D49" i="6"/>
  <c r="J48" i="6"/>
  <c r="I48" i="6"/>
  <c r="C47" i="6"/>
  <c r="M70" i="6" s="1"/>
  <c r="F46" i="6"/>
  <c r="F59" i="6" s="1"/>
  <c r="E46" i="6"/>
  <c r="E59" i="6" s="1"/>
  <c r="D46" i="6"/>
  <c r="D59" i="6" s="1"/>
  <c r="C48" i="5"/>
  <c r="I48" i="5" s="1"/>
  <c r="C47" i="5"/>
  <c r="M70" i="5" s="1"/>
  <c r="C66" i="5"/>
  <c r="C65" i="5"/>
  <c r="C67" i="5" s="1"/>
  <c r="M63" i="5"/>
  <c r="L63" i="5"/>
  <c r="K63" i="5"/>
  <c r="J63" i="5"/>
  <c r="I63" i="5"/>
  <c r="H63" i="5"/>
  <c r="G63" i="5"/>
  <c r="F63" i="5"/>
  <c r="E63" i="5"/>
  <c r="D63" i="5"/>
  <c r="C59" i="5"/>
  <c r="D51" i="5"/>
  <c r="E50" i="5"/>
  <c r="F50" i="5" s="1"/>
  <c r="D50" i="5"/>
  <c r="M49" i="5"/>
  <c r="L49" i="5"/>
  <c r="K49" i="5"/>
  <c r="J49" i="5"/>
  <c r="I49" i="5"/>
  <c r="H49" i="5"/>
  <c r="G49" i="5"/>
  <c r="F49" i="5"/>
  <c r="E49" i="5"/>
  <c r="D49" i="5"/>
  <c r="C69" i="5"/>
  <c r="E46" i="5"/>
  <c r="F46" i="5" s="1"/>
  <c r="D46" i="5"/>
  <c r="D59" i="5" s="1"/>
  <c r="G83" i="7" l="1"/>
  <c r="F60" i="7"/>
  <c r="H83" i="7"/>
  <c r="L61" i="7"/>
  <c r="G86" i="7"/>
  <c r="D64" i="7"/>
  <c r="I83" i="7"/>
  <c r="L83" i="7" s="1"/>
  <c r="J83" i="7"/>
  <c r="F61" i="7"/>
  <c r="G65" i="7"/>
  <c r="G69" i="7" s="1"/>
  <c r="H61" i="7"/>
  <c r="H60" i="7"/>
  <c r="F65" i="7"/>
  <c r="F69" i="7" s="1"/>
  <c r="E61" i="7"/>
  <c r="E50" i="7"/>
  <c r="E51" i="7" s="1"/>
  <c r="E62" i="7" s="1"/>
  <c r="C67" i="7"/>
  <c r="C68" i="7" s="1"/>
  <c r="C74" i="7" s="1"/>
  <c r="J61" i="7"/>
  <c r="E59" i="7"/>
  <c r="F46" i="7"/>
  <c r="H65" i="7"/>
  <c r="H69" i="7" s="1"/>
  <c r="D48" i="7"/>
  <c r="I60" i="7"/>
  <c r="G61" i="7"/>
  <c r="I65" i="7"/>
  <c r="I69" i="7" s="1"/>
  <c r="D59" i="7"/>
  <c r="J60" i="7"/>
  <c r="J65" i="7"/>
  <c r="J69" i="7" s="1"/>
  <c r="K60" i="7"/>
  <c r="I61" i="7"/>
  <c r="K65" i="7"/>
  <c r="K69" i="7" s="1"/>
  <c r="D65" i="7"/>
  <c r="D69" i="7" s="1"/>
  <c r="E65" i="7"/>
  <c r="E69" i="7" s="1"/>
  <c r="I61" i="6"/>
  <c r="I60" i="6"/>
  <c r="G51" i="6"/>
  <c r="H50" i="6"/>
  <c r="G64" i="6"/>
  <c r="G68" i="6" s="1"/>
  <c r="G46" i="6"/>
  <c r="L48" i="6"/>
  <c r="F51" i="6"/>
  <c r="I64" i="6"/>
  <c r="I68" i="6" s="1"/>
  <c r="M48" i="6"/>
  <c r="J60" i="6"/>
  <c r="J64" i="6"/>
  <c r="J68" i="6" s="1"/>
  <c r="F48" i="6"/>
  <c r="K64" i="6"/>
  <c r="K68" i="6" s="1"/>
  <c r="K48" i="6"/>
  <c r="G48" i="6"/>
  <c r="J61" i="6"/>
  <c r="D64" i="6"/>
  <c r="D68" i="6" s="1"/>
  <c r="H48" i="6"/>
  <c r="E64" i="6"/>
  <c r="E68" i="6" s="1"/>
  <c r="C69" i="6"/>
  <c r="C71" i="6" s="1"/>
  <c r="H64" i="6"/>
  <c r="H68" i="6" s="1"/>
  <c r="F64" i="6"/>
  <c r="F68" i="6" s="1"/>
  <c r="J48" i="5"/>
  <c r="J61" i="5" s="1"/>
  <c r="H48" i="5"/>
  <c r="F64" i="5"/>
  <c r="F68" i="5" s="1"/>
  <c r="H61" i="5"/>
  <c r="H60" i="5"/>
  <c r="C71" i="5"/>
  <c r="F59" i="5"/>
  <c r="G46" i="5"/>
  <c r="F51" i="5"/>
  <c r="G50" i="5"/>
  <c r="K48" i="5"/>
  <c r="E51" i="5"/>
  <c r="H64" i="5"/>
  <c r="H68" i="5" s="1"/>
  <c r="L48" i="5"/>
  <c r="I60" i="5"/>
  <c r="I64" i="5"/>
  <c r="I68" i="5" s="1"/>
  <c r="M48" i="5"/>
  <c r="J60" i="5"/>
  <c r="J64" i="5"/>
  <c r="J68" i="5" s="1"/>
  <c r="F48" i="5"/>
  <c r="E59" i="5"/>
  <c r="I61" i="5"/>
  <c r="K64" i="5"/>
  <c r="K68" i="5" s="1"/>
  <c r="G48" i="5"/>
  <c r="D64" i="5"/>
  <c r="D68" i="5" s="1"/>
  <c r="G64" i="5"/>
  <c r="G68" i="5" s="1"/>
  <c r="E64" i="5"/>
  <c r="E68" i="5" s="1"/>
  <c r="F50" i="7" l="1"/>
  <c r="H84" i="7"/>
  <c r="D60" i="7"/>
  <c r="D62" i="7"/>
  <c r="D61" i="7"/>
  <c r="F59" i="7"/>
  <c r="G46" i="7"/>
  <c r="F51" i="7"/>
  <c r="F62" i="7" s="1"/>
  <c r="G50" i="7"/>
  <c r="C75" i="7"/>
  <c r="C72" i="6"/>
  <c r="H51" i="6"/>
  <c r="H62" i="6" s="1"/>
  <c r="I50" i="6"/>
  <c r="H60" i="6"/>
  <c r="H61" i="6"/>
  <c r="M60" i="6"/>
  <c r="M61" i="6"/>
  <c r="G60" i="6"/>
  <c r="G65" i="6" s="1"/>
  <c r="G62" i="6"/>
  <c r="G61" i="6"/>
  <c r="K61" i="6"/>
  <c r="K60" i="6"/>
  <c r="L61" i="6"/>
  <c r="L60" i="6"/>
  <c r="F60" i="6"/>
  <c r="F61" i="6"/>
  <c r="F62" i="6"/>
  <c r="E48" i="6"/>
  <c r="D48" i="6"/>
  <c r="G59" i="6"/>
  <c r="H46" i="6"/>
  <c r="M60" i="5"/>
  <c r="M61" i="5"/>
  <c r="G61" i="5"/>
  <c r="G60" i="5"/>
  <c r="G59" i="5"/>
  <c r="H46" i="5"/>
  <c r="L60" i="5"/>
  <c r="L61" i="5"/>
  <c r="C72" i="5"/>
  <c r="F62" i="5"/>
  <c r="E48" i="5"/>
  <c r="D48" i="5"/>
  <c r="F61" i="5"/>
  <c r="F60" i="5"/>
  <c r="K61" i="5"/>
  <c r="K60" i="5"/>
  <c r="G51" i="5"/>
  <c r="G62" i="5" s="1"/>
  <c r="H50" i="5"/>
  <c r="H85" i="7" l="1"/>
  <c r="D66" i="7"/>
  <c r="G51" i="7"/>
  <c r="G62" i="7" s="1"/>
  <c r="H50" i="7"/>
  <c r="G59" i="7"/>
  <c r="H46" i="7"/>
  <c r="F65" i="6"/>
  <c r="H65" i="6"/>
  <c r="G66" i="6"/>
  <c r="G67" i="6" s="1"/>
  <c r="G71" i="6" s="1"/>
  <c r="G72" i="6" s="1"/>
  <c r="I51" i="6"/>
  <c r="I62" i="6" s="1"/>
  <c r="I65" i="6" s="1"/>
  <c r="J50" i="6"/>
  <c r="H59" i="6"/>
  <c r="I46" i="6"/>
  <c r="D61" i="6"/>
  <c r="D62" i="6"/>
  <c r="D60" i="6"/>
  <c r="E60" i="6"/>
  <c r="E61" i="6"/>
  <c r="E62" i="6"/>
  <c r="I46" i="5"/>
  <c r="H59" i="5"/>
  <c r="E60" i="5"/>
  <c r="E61" i="5"/>
  <c r="E62" i="5"/>
  <c r="F65" i="5"/>
  <c r="G65" i="5"/>
  <c r="H51" i="5"/>
  <c r="H62" i="5" s="1"/>
  <c r="H65" i="5" s="1"/>
  <c r="I50" i="5"/>
  <c r="D61" i="5"/>
  <c r="D60" i="5"/>
  <c r="D62" i="5"/>
  <c r="H86" i="7" l="1"/>
  <c r="E64" i="7"/>
  <c r="E66" i="7" s="1"/>
  <c r="E67" i="7" s="1"/>
  <c r="E68" i="7" s="1"/>
  <c r="E74" i="7" s="1"/>
  <c r="E75" i="7" s="1"/>
  <c r="D67" i="7"/>
  <c r="D68" i="7" s="1"/>
  <c r="D74" i="7" s="1"/>
  <c r="H51" i="7"/>
  <c r="H62" i="7" s="1"/>
  <c r="I50" i="7"/>
  <c r="H59" i="7"/>
  <c r="I46" i="7"/>
  <c r="D65" i="6"/>
  <c r="J51" i="6"/>
  <c r="J62" i="6" s="1"/>
  <c r="J65" i="6" s="1"/>
  <c r="K50" i="6"/>
  <c r="I66" i="6"/>
  <c r="I67" i="6" s="1"/>
  <c r="I71" i="6" s="1"/>
  <c r="I72" i="6" s="1"/>
  <c r="D66" i="6"/>
  <c r="D67" i="6" s="1"/>
  <c r="D71" i="6" s="1"/>
  <c r="E65" i="6"/>
  <c r="H66" i="6"/>
  <c r="H67" i="6" s="1"/>
  <c r="H71" i="6" s="1"/>
  <c r="H72" i="6" s="1"/>
  <c r="J46" i="6"/>
  <c r="I59" i="6"/>
  <c r="F66" i="6"/>
  <c r="F67" i="6" s="1"/>
  <c r="F71" i="6" s="1"/>
  <c r="F72" i="6" s="1"/>
  <c r="D65" i="5"/>
  <c r="D66" i="5" s="1"/>
  <c r="D67" i="5" s="1"/>
  <c r="D71" i="5" s="1"/>
  <c r="G66" i="5"/>
  <c r="G67" i="5" s="1"/>
  <c r="G71" i="5" s="1"/>
  <c r="G72" i="5" s="1"/>
  <c r="F66" i="5"/>
  <c r="F67" i="5" s="1"/>
  <c r="F71" i="5" s="1"/>
  <c r="F72" i="5" s="1"/>
  <c r="E65" i="5"/>
  <c r="I51" i="5"/>
  <c r="I62" i="5" s="1"/>
  <c r="I65" i="5" s="1"/>
  <c r="J50" i="5"/>
  <c r="H66" i="5"/>
  <c r="H67" i="5" s="1"/>
  <c r="H71" i="5" s="1"/>
  <c r="H72" i="5" s="1"/>
  <c r="J46" i="5"/>
  <c r="I59" i="5"/>
  <c r="I84" i="7" l="1"/>
  <c r="I85" i="7" s="1"/>
  <c r="D75" i="7"/>
  <c r="I51" i="7"/>
  <c r="I62" i="7" s="1"/>
  <c r="I66" i="7" s="1"/>
  <c r="J50" i="7"/>
  <c r="J46" i="7"/>
  <c r="I59" i="7"/>
  <c r="E66" i="6"/>
  <c r="E67" i="6" s="1"/>
  <c r="E71" i="6" s="1"/>
  <c r="D72" i="6"/>
  <c r="J59" i="6"/>
  <c r="K46" i="6"/>
  <c r="K51" i="6"/>
  <c r="K62" i="6" s="1"/>
  <c r="K65" i="6" s="1"/>
  <c r="L50" i="6"/>
  <c r="J66" i="6"/>
  <c r="J67" i="6" s="1"/>
  <c r="J71" i="6" s="1"/>
  <c r="D72" i="5"/>
  <c r="I66" i="5"/>
  <c r="I67" i="5" s="1"/>
  <c r="I71" i="5" s="1"/>
  <c r="I72" i="5" s="1"/>
  <c r="E66" i="5"/>
  <c r="E67" i="5" s="1"/>
  <c r="E71" i="5" s="1"/>
  <c r="K46" i="5"/>
  <c r="J59" i="5"/>
  <c r="J51" i="5"/>
  <c r="J62" i="5" s="1"/>
  <c r="J65" i="5" s="1"/>
  <c r="K50" i="5"/>
  <c r="I86" i="7" l="1"/>
  <c r="F64" i="7"/>
  <c r="F66" i="7" s="1"/>
  <c r="F67" i="7" s="1"/>
  <c r="F68" i="7" s="1"/>
  <c r="F74" i="7" s="1"/>
  <c r="F75" i="7" s="1"/>
  <c r="K46" i="7"/>
  <c r="J59" i="7"/>
  <c r="J51" i="7"/>
  <c r="J62" i="7" s="1"/>
  <c r="J66" i="7" s="1"/>
  <c r="K50" i="7"/>
  <c r="I67" i="7"/>
  <c r="I68" i="7" s="1"/>
  <c r="I74" i="7" s="1"/>
  <c r="E72" i="6"/>
  <c r="M50" i="6"/>
  <c r="M51" i="6" s="1"/>
  <c r="M62" i="6" s="1"/>
  <c r="M65" i="6" s="1"/>
  <c r="L51" i="6"/>
  <c r="L62" i="6" s="1"/>
  <c r="L65" i="6" s="1"/>
  <c r="L46" i="6"/>
  <c r="K59" i="6"/>
  <c r="J72" i="6"/>
  <c r="K66" i="6"/>
  <c r="K67" i="6" s="1"/>
  <c r="K71" i="6" s="1"/>
  <c r="E72" i="5"/>
  <c r="L46" i="5"/>
  <c r="K59" i="5"/>
  <c r="L50" i="5"/>
  <c r="K51" i="5"/>
  <c r="K62" i="5" s="1"/>
  <c r="K65" i="5" s="1"/>
  <c r="J66" i="5"/>
  <c r="J67" i="5" s="1"/>
  <c r="J71" i="5" s="1"/>
  <c r="J72" i="5" s="1"/>
  <c r="J84" i="7" l="1"/>
  <c r="J85" i="7" s="1"/>
  <c r="I75" i="7"/>
  <c r="L50" i="7"/>
  <c r="K51" i="7"/>
  <c r="K62" i="7" s="1"/>
  <c r="K66" i="7" s="1"/>
  <c r="L46" i="7"/>
  <c r="K59" i="7"/>
  <c r="J67" i="7"/>
  <c r="J68" i="7" s="1"/>
  <c r="J74" i="7" s="1"/>
  <c r="M46" i="6"/>
  <c r="M59" i="6" s="1"/>
  <c r="L59" i="6"/>
  <c r="L66" i="6"/>
  <c r="L67" i="6" s="1"/>
  <c r="L71" i="6" s="1"/>
  <c r="K72" i="6"/>
  <c r="M66" i="6"/>
  <c r="M67" i="6" s="1"/>
  <c r="M71" i="6" s="1"/>
  <c r="M72" i="6" s="1"/>
  <c r="M50" i="5"/>
  <c r="M51" i="5" s="1"/>
  <c r="M62" i="5" s="1"/>
  <c r="M65" i="5" s="1"/>
  <c r="L51" i="5"/>
  <c r="L62" i="5" s="1"/>
  <c r="L65" i="5" s="1"/>
  <c r="K66" i="5"/>
  <c r="K67" i="5" s="1"/>
  <c r="K71" i="5" s="1"/>
  <c r="K72" i="5" s="1"/>
  <c r="M46" i="5"/>
  <c r="M59" i="5" s="1"/>
  <c r="L59" i="5"/>
  <c r="J86" i="7" l="1"/>
  <c r="G64" i="7"/>
  <c r="G66" i="7" s="1"/>
  <c r="G67" i="7" s="1"/>
  <c r="G68" i="7" s="1"/>
  <c r="G74" i="7" s="1"/>
  <c r="G75" i="7" s="1"/>
  <c r="J75" i="7"/>
  <c r="K67" i="7"/>
  <c r="K68" i="7" s="1"/>
  <c r="K74" i="7" s="1"/>
  <c r="K75" i="7" s="1"/>
  <c r="L59" i="7"/>
  <c r="M46" i="7"/>
  <c r="M59" i="7" s="1"/>
  <c r="L51" i="7"/>
  <c r="L62" i="7" s="1"/>
  <c r="L66" i="7" s="1"/>
  <c r="M50" i="7"/>
  <c r="M51" i="7" s="1"/>
  <c r="M62" i="7" s="1"/>
  <c r="M66" i="7" s="1"/>
  <c r="L72" i="6"/>
  <c r="C73" i="6" s="1"/>
  <c r="C74" i="6"/>
  <c r="L66" i="5"/>
  <c r="L67" i="5" s="1"/>
  <c r="L71" i="5" s="1"/>
  <c r="M66" i="5"/>
  <c r="M67" i="5" s="1"/>
  <c r="M71" i="5" s="1"/>
  <c r="M72" i="5" s="1"/>
  <c r="K84" i="7" l="1"/>
  <c r="M67" i="7"/>
  <c r="M68" i="7" s="1"/>
  <c r="M74" i="7" s="1"/>
  <c r="L67" i="7"/>
  <c r="L68" i="7" s="1"/>
  <c r="L74" i="7" s="1"/>
  <c r="L75" i="7" s="1"/>
  <c r="L72" i="5"/>
  <c r="C73" i="5" s="1"/>
  <c r="C74" i="5"/>
  <c r="K85" i="7" l="1"/>
  <c r="M75" i="7"/>
  <c r="K86" i="7" l="1"/>
  <c r="H64" i="7"/>
  <c r="H66" i="7" s="1"/>
  <c r="H67" i="7" s="1"/>
  <c r="H68" i="7" s="1"/>
  <c r="H74" i="7" s="1"/>
  <c r="L85" i="7"/>
  <c r="H75" i="7" l="1"/>
  <c r="C76" i="7" s="1"/>
  <c r="C77" i="7"/>
  <c r="L86" i="7"/>
  <c r="L84" i="7"/>
  <c r="C48" i="4" l="1"/>
  <c r="J48" i="4" s="1"/>
  <c r="C47" i="4"/>
  <c r="C66" i="4"/>
  <c r="C65" i="4"/>
  <c r="C67" i="4" s="1"/>
  <c r="M63" i="4"/>
  <c r="L63" i="4"/>
  <c r="K63" i="4"/>
  <c r="J63" i="4"/>
  <c r="I63" i="4"/>
  <c r="H63" i="4"/>
  <c r="G63" i="4"/>
  <c r="F63" i="4"/>
  <c r="E63" i="4"/>
  <c r="D63" i="4"/>
  <c r="C59" i="4"/>
  <c r="D51" i="4"/>
  <c r="D50" i="4"/>
  <c r="E50" i="4" s="1"/>
  <c r="M49" i="4"/>
  <c r="L49" i="4"/>
  <c r="K49" i="4"/>
  <c r="J49" i="4"/>
  <c r="I49" i="4"/>
  <c r="H49" i="4"/>
  <c r="G49" i="4"/>
  <c r="F49" i="4"/>
  <c r="E49" i="4"/>
  <c r="D49" i="4"/>
  <c r="M70" i="4"/>
  <c r="D46" i="4"/>
  <c r="E46" i="4" s="1"/>
  <c r="C48" i="3"/>
  <c r="M48" i="3" s="1"/>
  <c r="M51" i="3"/>
  <c r="L51" i="3"/>
  <c r="K51" i="3"/>
  <c r="J51" i="3"/>
  <c r="I51" i="3"/>
  <c r="H51" i="3"/>
  <c r="G51" i="3"/>
  <c r="F51" i="3"/>
  <c r="E51" i="3"/>
  <c r="D51" i="3"/>
  <c r="C47" i="3"/>
  <c r="M70" i="3" s="1"/>
  <c r="C66" i="3"/>
  <c r="C65" i="3"/>
  <c r="C67" i="3" s="1"/>
  <c r="K64" i="3"/>
  <c r="K68" i="3" s="1"/>
  <c r="F64" i="3"/>
  <c r="F68" i="3" s="1"/>
  <c r="D64" i="3"/>
  <c r="D68" i="3" s="1"/>
  <c r="M63" i="3"/>
  <c r="L63" i="3"/>
  <c r="K63" i="3"/>
  <c r="J63" i="3"/>
  <c r="I63" i="3"/>
  <c r="H63" i="3"/>
  <c r="G63" i="3"/>
  <c r="F63" i="3"/>
  <c r="E63" i="3"/>
  <c r="D63" i="3"/>
  <c r="C59" i="3"/>
  <c r="F50" i="3"/>
  <c r="E50" i="3"/>
  <c r="D50" i="3"/>
  <c r="M49" i="3"/>
  <c r="L49" i="3"/>
  <c r="K49" i="3"/>
  <c r="J49" i="3"/>
  <c r="I49" i="3"/>
  <c r="H49" i="3"/>
  <c r="G49" i="3"/>
  <c r="F49" i="3"/>
  <c r="E49" i="3"/>
  <c r="D49" i="3"/>
  <c r="D46" i="3"/>
  <c r="D59" i="3" s="1"/>
  <c r="L71" i="2"/>
  <c r="L72" i="2" s="1"/>
  <c r="C71" i="2"/>
  <c r="M71" i="2"/>
  <c r="M72" i="2" s="1"/>
  <c r="M70" i="2"/>
  <c r="K68" i="2"/>
  <c r="J68" i="2"/>
  <c r="I68" i="2"/>
  <c r="H68" i="2"/>
  <c r="G68" i="2"/>
  <c r="F68" i="2"/>
  <c r="E68" i="2"/>
  <c r="D68" i="2"/>
  <c r="K64" i="2"/>
  <c r="J64" i="2"/>
  <c r="I64" i="2"/>
  <c r="H64" i="2"/>
  <c r="G64" i="2"/>
  <c r="F64" i="2"/>
  <c r="F65" i="2" s="1"/>
  <c r="E64" i="2"/>
  <c r="D64" i="2"/>
  <c r="D65" i="2" s="1"/>
  <c r="M67" i="2"/>
  <c r="L67" i="2"/>
  <c r="C67" i="2"/>
  <c r="M66" i="2"/>
  <c r="L66" i="2"/>
  <c r="H66" i="2"/>
  <c r="H67" i="2" s="1"/>
  <c r="H71" i="2" s="1"/>
  <c r="H72" i="2" s="1"/>
  <c r="E66" i="2"/>
  <c r="C66" i="2"/>
  <c r="M65" i="2"/>
  <c r="L65" i="2"/>
  <c r="K65" i="2"/>
  <c r="J65" i="2"/>
  <c r="J66" i="2" s="1"/>
  <c r="I65" i="2"/>
  <c r="H65" i="2"/>
  <c r="G65" i="2"/>
  <c r="G66" i="2" s="1"/>
  <c r="E65" i="2"/>
  <c r="E67" i="2" s="1"/>
  <c r="E71" i="2" s="1"/>
  <c r="E72" i="2" s="1"/>
  <c r="C65" i="2"/>
  <c r="M63" i="2"/>
  <c r="L63" i="2"/>
  <c r="K63" i="2"/>
  <c r="J63" i="2"/>
  <c r="I63" i="2"/>
  <c r="H63" i="2"/>
  <c r="G63" i="2"/>
  <c r="F63" i="2"/>
  <c r="E63" i="2"/>
  <c r="D63" i="2"/>
  <c r="F60" i="2"/>
  <c r="G60" i="2"/>
  <c r="H60" i="2"/>
  <c r="I60" i="2"/>
  <c r="J60" i="2"/>
  <c r="K60" i="2"/>
  <c r="L60" i="2"/>
  <c r="M60" i="2"/>
  <c r="C69" i="2"/>
  <c r="C59" i="2"/>
  <c r="D50" i="2"/>
  <c r="D51" i="2" s="1"/>
  <c r="M49" i="2"/>
  <c r="M61" i="2" s="1"/>
  <c r="L49" i="2"/>
  <c r="L61" i="2" s="1"/>
  <c r="K49" i="2"/>
  <c r="K61" i="2" s="1"/>
  <c r="J49" i="2"/>
  <c r="J61" i="2" s="1"/>
  <c r="I49" i="2"/>
  <c r="I61" i="2" s="1"/>
  <c r="H49" i="2"/>
  <c r="H61" i="2" s="1"/>
  <c r="G49" i="2"/>
  <c r="G61" i="2" s="1"/>
  <c r="F49" i="2"/>
  <c r="F61" i="2" s="1"/>
  <c r="E49" i="2"/>
  <c r="D49" i="2"/>
  <c r="E48" i="2"/>
  <c r="D48" i="2"/>
  <c r="D62" i="2" s="1"/>
  <c r="D46" i="2"/>
  <c r="E46" i="2" s="1"/>
  <c r="F149" i="1"/>
  <c r="F152" i="1" s="1"/>
  <c r="F151" i="1"/>
  <c r="F150" i="1"/>
  <c r="C141" i="1"/>
  <c r="C140" i="1"/>
  <c r="J129" i="1"/>
  <c r="J132" i="1" s="1"/>
  <c r="D128" i="1"/>
  <c r="D127" i="1"/>
  <c r="I131" i="1"/>
  <c r="H131" i="1"/>
  <c r="G131" i="1"/>
  <c r="G132" i="1" s="1"/>
  <c r="F131" i="1"/>
  <c r="F132" i="1" s="1"/>
  <c r="E131" i="1"/>
  <c r="D130" i="1"/>
  <c r="I132" i="1"/>
  <c r="H132" i="1"/>
  <c r="E132" i="1"/>
  <c r="E119" i="1"/>
  <c r="F119" i="1" s="1"/>
  <c r="G119" i="1" s="1"/>
  <c r="H119" i="1" s="1"/>
  <c r="I119" i="1" s="1"/>
  <c r="J119" i="1" s="1"/>
  <c r="D118" i="1"/>
  <c r="E117" i="1"/>
  <c r="F117" i="1" s="1"/>
  <c r="E116" i="1"/>
  <c r="F116" i="1" s="1"/>
  <c r="G116" i="1" s="1"/>
  <c r="H116" i="1" s="1"/>
  <c r="I116" i="1" s="1"/>
  <c r="J116" i="1" s="1"/>
  <c r="D107" i="1"/>
  <c r="E107" i="1" s="1"/>
  <c r="E120" i="1" s="1"/>
  <c r="B108" i="1"/>
  <c r="B109" i="1" s="1"/>
  <c r="B110" i="1" s="1"/>
  <c r="B111" i="1" s="1"/>
  <c r="C104" i="1"/>
  <c r="C108" i="1" s="1"/>
  <c r="C103" i="1"/>
  <c r="F87" i="1"/>
  <c r="D55" i="1" s="1"/>
  <c r="F86" i="1"/>
  <c r="F72" i="1"/>
  <c r="F71" i="1"/>
  <c r="F78" i="1" s="1"/>
  <c r="E53" i="1"/>
  <c r="F53" i="1" s="1"/>
  <c r="G53" i="1" s="1"/>
  <c r="H53" i="1" s="1"/>
  <c r="I53" i="1" s="1"/>
  <c r="D52" i="1"/>
  <c r="E51" i="1"/>
  <c r="F51" i="1" s="1"/>
  <c r="G51" i="1" s="1"/>
  <c r="H51" i="1" s="1"/>
  <c r="I51" i="1" s="1"/>
  <c r="J51" i="1" s="1"/>
  <c r="E50" i="1"/>
  <c r="F50" i="1" s="1"/>
  <c r="G50" i="1" s="1"/>
  <c r="H50" i="1" s="1"/>
  <c r="I50" i="1" s="1"/>
  <c r="J50" i="1" s="1"/>
  <c r="E42" i="1"/>
  <c r="E44" i="1" s="1"/>
  <c r="E45" i="1" s="1"/>
  <c r="F31" i="1" s="1"/>
  <c r="D32" i="1"/>
  <c r="E30" i="1"/>
  <c r="J30" i="1"/>
  <c r="I30" i="1"/>
  <c r="H30" i="1"/>
  <c r="G30" i="1"/>
  <c r="F30" i="1"/>
  <c r="J29" i="1"/>
  <c r="J28" i="1"/>
  <c r="I28" i="1"/>
  <c r="H28" i="1"/>
  <c r="G28" i="1"/>
  <c r="F28" i="1"/>
  <c r="E28" i="1"/>
  <c r="E27" i="1"/>
  <c r="F27" i="1" s="1"/>
  <c r="G27" i="1" s="1"/>
  <c r="H27" i="1" s="1"/>
  <c r="I27" i="1" s="1"/>
  <c r="J27" i="1" s="1"/>
  <c r="I48" i="4" l="1"/>
  <c r="F50" i="4"/>
  <c r="E51" i="4"/>
  <c r="F46" i="4"/>
  <c r="E59" i="4"/>
  <c r="I61" i="4"/>
  <c r="I60" i="4"/>
  <c r="G64" i="4"/>
  <c r="G68" i="4" s="1"/>
  <c r="K48" i="4"/>
  <c r="H64" i="4"/>
  <c r="H68" i="4" s="1"/>
  <c r="L48" i="4"/>
  <c r="I64" i="4"/>
  <c r="I68" i="4" s="1"/>
  <c r="M48" i="4"/>
  <c r="D59" i="4"/>
  <c r="J60" i="4"/>
  <c r="J64" i="4"/>
  <c r="J68" i="4" s="1"/>
  <c r="F48" i="4"/>
  <c r="K64" i="4"/>
  <c r="K68" i="4" s="1"/>
  <c r="G48" i="4"/>
  <c r="J61" i="4"/>
  <c r="D64" i="4"/>
  <c r="D68" i="4" s="1"/>
  <c r="H48" i="4"/>
  <c r="E64" i="4"/>
  <c r="E68" i="4" s="1"/>
  <c r="C69" i="4"/>
  <c r="C71" i="4" s="1"/>
  <c r="F64" i="4"/>
  <c r="F68" i="4" s="1"/>
  <c r="F48" i="3"/>
  <c r="G48" i="3"/>
  <c r="G60" i="3" s="1"/>
  <c r="I48" i="3"/>
  <c r="I60" i="3" s="1"/>
  <c r="M61" i="3"/>
  <c r="M60" i="3"/>
  <c r="H48" i="3"/>
  <c r="H60" i="3" s="1"/>
  <c r="G61" i="3"/>
  <c r="J48" i="3"/>
  <c r="J60" i="3" s="1"/>
  <c r="K48" i="3"/>
  <c r="K60" i="3" s="1"/>
  <c r="J61" i="3"/>
  <c r="L48" i="3"/>
  <c r="F61" i="3"/>
  <c r="F62" i="3"/>
  <c r="C71" i="3"/>
  <c r="C72" i="3" s="1"/>
  <c r="E64" i="3"/>
  <c r="E68" i="3" s="1"/>
  <c r="G64" i="3"/>
  <c r="G68" i="3" s="1"/>
  <c r="H64" i="3"/>
  <c r="H68" i="3" s="1"/>
  <c r="I64" i="3"/>
  <c r="I68" i="3" s="1"/>
  <c r="C69" i="3"/>
  <c r="J64" i="3"/>
  <c r="J68" i="3" s="1"/>
  <c r="E46" i="3"/>
  <c r="G50" i="3"/>
  <c r="C72" i="2"/>
  <c r="F66" i="2"/>
  <c r="F67" i="2"/>
  <c r="F71" i="2" s="1"/>
  <c r="F72" i="2" s="1"/>
  <c r="I66" i="2"/>
  <c r="I67" i="2" s="1"/>
  <c r="I71" i="2" s="1"/>
  <c r="I72" i="2" s="1"/>
  <c r="G67" i="2"/>
  <c r="G71" i="2" s="1"/>
  <c r="G72" i="2" s="1"/>
  <c r="K66" i="2"/>
  <c r="K67" i="2" s="1"/>
  <c r="K71" i="2" s="1"/>
  <c r="K72" i="2" s="1"/>
  <c r="J67" i="2"/>
  <c r="J71" i="2" s="1"/>
  <c r="J72" i="2" s="1"/>
  <c r="D66" i="2"/>
  <c r="D67" i="2" s="1"/>
  <c r="D71" i="2" s="1"/>
  <c r="D72" i="2" s="1"/>
  <c r="D60" i="2"/>
  <c r="D61" i="2"/>
  <c r="E60" i="2"/>
  <c r="E61" i="2"/>
  <c r="F46" i="2"/>
  <c r="E59" i="2"/>
  <c r="E50" i="2"/>
  <c r="D59" i="2"/>
  <c r="D132" i="1"/>
  <c r="D61" i="1"/>
  <c r="C109" i="1"/>
  <c r="C110" i="1"/>
  <c r="D122" i="1"/>
  <c r="D123" i="1" s="1"/>
  <c r="D124" i="1" s="1"/>
  <c r="D125" i="1" s="1"/>
  <c r="C111" i="1"/>
  <c r="C107" i="1"/>
  <c r="G117" i="1"/>
  <c r="F88" i="1"/>
  <c r="F89" i="1" s="1"/>
  <c r="F90" i="1" s="1"/>
  <c r="F91" i="1"/>
  <c r="D60" i="1" s="1"/>
  <c r="D56" i="1"/>
  <c r="D57" i="1" s="1"/>
  <c r="G74" i="1"/>
  <c r="F73" i="1"/>
  <c r="F74" i="1" s="1"/>
  <c r="F75" i="1" s="1"/>
  <c r="F77" i="1" s="1"/>
  <c r="F79" i="1" s="1"/>
  <c r="J53" i="1"/>
  <c r="D33" i="1"/>
  <c r="D34" i="1" s="1"/>
  <c r="D36" i="1" s="1"/>
  <c r="D37" i="1" s="1"/>
  <c r="G31" i="1"/>
  <c r="G35" i="1" s="1"/>
  <c r="H31" i="1"/>
  <c r="H35" i="1" s="1"/>
  <c r="F32" i="1"/>
  <c r="F33" i="1" s="1"/>
  <c r="F35" i="1"/>
  <c r="E31" i="1"/>
  <c r="C72" i="4" l="1"/>
  <c r="M61" i="4"/>
  <c r="M60" i="4"/>
  <c r="G61" i="4"/>
  <c r="G60" i="4"/>
  <c r="L61" i="4"/>
  <c r="L60" i="4"/>
  <c r="F60" i="4"/>
  <c r="E48" i="4"/>
  <c r="D48" i="4"/>
  <c r="F61" i="4"/>
  <c r="K61" i="4"/>
  <c r="K60" i="4"/>
  <c r="F59" i="4"/>
  <c r="G46" i="4"/>
  <c r="H61" i="4"/>
  <c r="H60" i="4"/>
  <c r="F51" i="4"/>
  <c r="F62" i="4" s="1"/>
  <c r="G50" i="4"/>
  <c r="D48" i="3"/>
  <c r="F60" i="3"/>
  <c r="F65" i="3" s="1"/>
  <c r="E48" i="3"/>
  <c r="I61" i="3"/>
  <c r="L60" i="3"/>
  <c r="L61" i="3"/>
  <c r="H61" i="3"/>
  <c r="K61" i="3"/>
  <c r="F46" i="3"/>
  <c r="E59" i="3"/>
  <c r="G62" i="3"/>
  <c r="G65" i="3" s="1"/>
  <c r="H50" i="3"/>
  <c r="F66" i="3"/>
  <c r="F67" i="3" s="1"/>
  <c r="F71" i="3" s="1"/>
  <c r="C73" i="2"/>
  <c r="C74" i="2"/>
  <c r="F50" i="2"/>
  <c r="E51" i="2"/>
  <c r="E62" i="2" s="1"/>
  <c r="G46" i="2"/>
  <c r="F59" i="2"/>
  <c r="E126" i="1"/>
  <c r="I121" i="1"/>
  <c r="J121" i="1"/>
  <c r="J126" i="1"/>
  <c r="E121" i="1"/>
  <c r="E123" i="1" s="1"/>
  <c r="E124" i="1" s="1"/>
  <c r="E125" i="1" s="1"/>
  <c r="E133" i="1" s="1"/>
  <c r="I126" i="1"/>
  <c r="H121" i="1"/>
  <c r="F126" i="1"/>
  <c r="H126" i="1"/>
  <c r="G121" i="1"/>
  <c r="G126" i="1"/>
  <c r="F121" i="1"/>
  <c r="F92" i="1"/>
  <c r="F94" i="1" s="1"/>
  <c r="F107" i="1"/>
  <c r="C112" i="1"/>
  <c r="D133" i="1"/>
  <c r="H117" i="1"/>
  <c r="J59" i="1"/>
  <c r="I59" i="1"/>
  <c r="H59" i="1"/>
  <c r="G59" i="1"/>
  <c r="F59" i="1"/>
  <c r="E59" i="1"/>
  <c r="D58" i="1"/>
  <c r="J54" i="1"/>
  <c r="J56" i="1" s="1"/>
  <c r="J57" i="1" s="1"/>
  <c r="J58" i="1" s="1"/>
  <c r="I54" i="1"/>
  <c r="H54" i="1"/>
  <c r="G54" i="1"/>
  <c r="F54" i="1"/>
  <c r="F56" i="1" s="1"/>
  <c r="F57" i="1" s="1"/>
  <c r="F58" i="1" s="1"/>
  <c r="E54" i="1"/>
  <c r="E56" i="1" s="1"/>
  <c r="E57" i="1" s="1"/>
  <c r="E58" i="1" s="1"/>
  <c r="E63" i="1" s="1"/>
  <c r="F80" i="1"/>
  <c r="F81" i="1" s="1"/>
  <c r="F83" i="1" s="1"/>
  <c r="J62" i="1" s="1"/>
  <c r="H32" i="1"/>
  <c r="H33" i="1" s="1"/>
  <c r="G32" i="1"/>
  <c r="G33" i="1" s="1"/>
  <c r="G34" i="1" s="1"/>
  <c r="G36" i="1" s="1"/>
  <c r="G37" i="1" s="1"/>
  <c r="F36" i="1"/>
  <c r="F37" i="1" s="1"/>
  <c r="E35" i="1"/>
  <c r="E32" i="1"/>
  <c r="E33" i="1" s="1"/>
  <c r="E34" i="1" s="1"/>
  <c r="J32" i="1"/>
  <c r="J33" i="1" s="1"/>
  <c r="J34" i="1" s="1"/>
  <c r="I32" i="1"/>
  <c r="E60" i="4" l="1"/>
  <c r="E61" i="4"/>
  <c r="E62" i="4"/>
  <c r="G59" i="4"/>
  <c r="H46" i="4"/>
  <c r="F65" i="4"/>
  <c r="G51" i="4"/>
  <c r="G62" i="4" s="1"/>
  <c r="G65" i="4" s="1"/>
  <c r="H50" i="4"/>
  <c r="D61" i="4"/>
  <c r="D60" i="4"/>
  <c r="D62" i="4"/>
  <c r="E60" i="3"/>
  <c r="E61" i="3"/>
  <c r="E62" i="3"/>
  <c r="D61" i="3"/>
  <c r="D62" i="3"/>
  <c r="D60" i="3"/>
  <c r="D65" i="3" s="1"/>
  <c r="D66" i="3" s="1"/>
  <c r="D67" i="3" s="1"/>
  <c r="D71" i="3" s="1"/>
  <c r="D72" i="3" s="1"/>
  <c r="G66" i="3"/>
  <c r="G67" i="3" s="1"/>
  <c r="G71" i="3" s="1"/>
  <c r="H62" i="3"/>
  <c r="H65" i="3" s="1"/>
  <c r="I50" i="3"/>
  <c r="F59" i="3"/>
  <c r="F72" i="3" s="1"/>
  <c r="G46" i="3"/>
  <c r="H46" i="2"/>
  <c r="G59" i="2"/>
  <c r="G50" i="2"/>
  <c r="F51" i="2"/>
  <c r="F62" i="2" s="1"/>
  <c r="F63" i="1"/>
  <c r="D108" i="1"/>
  <c r="E36" i="1"/>
  <c r="E37" i="1" s="1"/>
  <c r="I117" i="1"/>
  <c r="D63" i="1"/>
  <c r="J63" i="1"/>
  <c r="J64" i="1" s="1"/>
  <c r="E64" i="1"/>
  <c r="F64" i="1"/>
  <c r="H56" i="1"/>
  <c r="H57" i="1" s="1"/>
  <c r="G56" i="1"/>
  <c r="G57" i="1" s="1"/>
  <c r="G58" i="1" s="1"/>
  <c r="I56" i="1"/>
  <c r="I57" i="1" s="1"/>
  <c r="I58" i="1" s="1"/>
  <c r="H34" i="1"/>
  <c r="H36" i="1" s="1"/>
  <c r="H37" i="1" s="1"/>
  <c r="J36" i="1"/>
  <c r="J37" i="1" s="1"/>
  <c r="I33" i="1"/>
  <c r="I34" i="1" s="1"/>
  <c r="I36" i="1" s="1"/>
  <c r="I37" i="1" s="1"/>
  <c r="E65" i="4" l="1"/>
  <c r="E66" i="4" s="1"/>
  <c r="E67" i="4" s="1"/>
  <c r="E71" i="4" s="1"/>
  <c r="E72" i="4" s="1"/>
  <c r="G66" i="4"/>
  <c r="G67" i="4" s="1"/>
  <c r="G71" i="4" s="1"/>
  <c r="G72" i="4" s="1"/>
  <c r="H51" i="4"/>
  <c r="H62" i="4" s="1"/>
  <c r="H65" i="4" s="1"/>
  <c r="I50" i="4"/>
  <c r="F66" i="4"/>
  <c r="F67" i="4" s="1"/>
  <c r="F71" i="4" s="1"/>
  <c r="F72" i="4" s="1"/>
  <c r="H59" i="4"/>
  <c r="I46" i="4"/>
  <c r="D65" i="4"/>
  <c r="E65" i="3"/>
  <c r="E66" i="3" s="1"/>
  <c r="E67" i="3" s="1"/>
  <c r="E71" i="3" s="1"/>
  <c r="E72" i="3" s="1"/>
  <c r="I62" i="3"/>
  <c r="I65" i="3" s="1"/>
  <c r="J50" i="3"/>
  <c r="H66" i="3"/>
  <c r="H67" i="3" s="1"/>
  <c r="H71" i="3" s="1"/>
  <c r="G59" i="3"/>
  <c r="G72" i="3" s="1"/>
  <c r="H46" i="3"/>
  <c r="H50" i="2"/>
  <c r="G51" i="2"/>
  <c r="G62" i="2" s="1"/>
  <c r="I46" i="2"/>
  <c r="H59" i="2"/>
  <c r="D64" i="1"/>
  <c r="E108" i="1"/>
  <c r="F120" i="1" s="1"/>
  <c r="F123" i="1" s="1"/>
  <c r="F124" i="1" s="1"/>
  <c r="F125" i="1" s="1"/>
  <c r="F133" i="1" s="1"/>
  <c r="J117" i="1"/>
  <c r="J123" i="1" s="1"/>
  <c r="G63" i="1"/>
  <c r="G64" i="1" s="1"/>
  <c r="I63" i="1"/>
  <c r="I64" i="1" s="1"/>
  <c r="H58" i="1"/>
  <c r="H63" i="1" s="1"/>
  <c r="D39" i="1"/>
  <c r="D38" i="1"/>
  <c r="J46" i="4" l="1"/>
  <c r="I59" i="4"/>
  <c r="I51" i="4"/>
  <c r="I62" i="4" s="1"/>
  <c r="I65" i="4" s="1"/>
  <c r="J50" i="4"/>
  <c r="H66" i="4"/>
  <c r="H67" i="4"/>
  <c r="H71" i="4" s="1"/>
  <c r="H72" i="4" s="1"/>
  <c r="D66" i="4"/>
  <c r="D67" i="4" s="1"/>
  <c r="D71" i="4" s="1"/>
  <c r="J62" i="3"/>
  <c r="J65" i="3" s="1"/>
  <c r="K50" i="3"/>
  <c r="I66" i="3"/>
  <c r="I67" i="3" s="1"/>
  <c r="I71" i="3" s="1"/>
  <c r="H59" i="3"/>
  <c r="H72" i="3" s="1"/>
  <c r="I46" i="3"/>
  <c r="J46" i="2"/>
  <c r="I59" i="2"/>
  <c r="I50" i="2"/>
  <c r="H51" i="2"/>
  <c r="H62" i="2" s="1"/>
  <c r="D67" i="1"/>
  <c r="F108" i="1"/>
  <c r="J124" i="1"/>
  <c r="J125" i="1" s="1"/>
  <c r="J133" i="1" s="1"/>
  <c r="H64" i="1"/>
  <c r="D66" i="1" s="1"/>
  <c r="D65" i="1"/>
  <c r="J51" i="4" l="1"/>
  <c r="J62" i="4" s="1"/>
  <c r="J65" i="4" s="1"/>
  <c r="K50" i="4"/>
  <c r="I66" i="4"/>
  <c r="I67" i="4" s="1"/>
  <c r="I71" i="4" s="1"/>
  <c r="D72" i="4"/>
  <c r="K46" i="4"/>
  <c r="J59" i="4"/>
  <c r="K62" i="3"/>
  <c r="K65" i="3" s="1"/>
  <c r="L50" i="3"/>
  <c r="J66" i="3"/>
  <c r="J67" i="3" s="1"/>
  <c r="J71" i="3" s="1"/>
  <c r="J46" i="3"/>
  <c r="I59" i="3"/>
  <c r="I72" i="3" s="1"/>
  <c r="J50" i="2"/>
  <c r="I51" i="2"/>
  <c r="I62" i="2" s="1"/>
  <c r="K46" i="2"/>
  <c r="J59" i="2"/>
  <c r="D109" i="1"/>
  <c r="E109" i="1" s="1"/>
  <c r="G120" i="1" s="1"/>
  <c r="G123" i="1" s="1"/>
  <c r="G124" i="1" s="1"/>
  <c r="G125" i="1" s="1"/>
  <c r="G133" i="1" s="1"/>
  <c r="I72" i="4" l="1"/>
  <c r="L46" i="4"/>
  <c r="K59" i="4"/>
  <c r="K51" i="4"/>
  <c r="K62" i="4" s="1"/>
  <c r="K65" i="4" s="1"/>
  <c r="L50" i="4"/>
  <c r="J66" i="4"/>
  <c r="J67" i="4" s="1"/>
  <c r="J71" i="4" s="1"/>
  <c r="J72" i="4" s="1"/>
  <c r="M50" i="3"/>
  <c r="M62" i="3" s="1"/>
  <c r="M65" i="3" s="1"/>
  <c r="L62" i="3"/>
  <c r="L65" i="3" s="1"/>
  <c r="K46" i="3"/>
  <c r="J59" i="3"/>
  <c r="J72" i="3" s="1"/>
  <c r="K66" i="3"/>
  <c r="K67" i="3" s="1"/>
  <c r="K71" i="3" s="1"/>
  <c r="L46" i="2"/>
  <c r="K59" i="2"/>
  <c r="K50" i="2"/>
  <c r="J51" i="2"/>
  <c r="J62" i="2" s="1"/>
  <c r="F109" i="1"/>
  <c r="K66" i="4" l="1"/>
  <c r="K67" i="4"/>
  <c r="K71" i="4" s="1"/>
  <c r="K72" i="4" s="1"/>
  <c r="M50" i="4"/>
  <c r="M51" i="4" s="1"/>
  <c r="M62" i="4" s="1"/>
  <c r="M65" i="4" s="1"/>
  <c r="L51" i="4"/>
  <c r="L62" i="4" s="1"/>
  <c r="L65" i="4" s="1"/>
  <c r="M46" i="4"/>
  <c r="M59" i="4" s="1"/>
  <c r="L59" i="4"/>
  <c r="K59" i="3"/>
  <c r="K72" i="3" s="1"/>
  <c r="L46" i="3"/>
  <c r="M66" i="3"/>
  <c r="M67" i="3" s="1"/>
  <c r="M71" i="3" s="1"/>
  <c r="L66" i="3"/>
  <c r="L67" i="3" s="1"/>
  <c r="L71" i="3" s="1"/>
  <c r="L50" i="2"/>
  <c r="K51" i="2"/>
  <c r="K62" i="2" s="1"/>
  <c r="L59" i="2"/>
  <c r="M46" i="2"/>
  <c r="M59" i="2" s="1"/>
  <c r="D110" i="1"/>
  <c r="E110" i="1" s="1"/>
  <c r="H120" i="1" s="1"/>
  <c r="H123" i="1" s="1"/>
  <c r="H124" i="1" s="1"/>
  <c r="H125" i="1" s="1"/>
  <c r="M66" i="4" l="1"/>
  <c r="M67" i="4" s="1"/>
  <c r="M71" i="4" s="1"/>
  <c r="M72" i="4" s="1"/>
  <c r="L66" i="4"/>
  <c r="L67" i="4" s="1"/>
  <c r="L71" i="4" s="1"/>
  <c r="C74" i="3"/>
  <c r="L59" i="3"/>
  <c r="L72" i="3" s="1"/>
  <c r="M46" i="3"/>
  <c r="M59" i="3" s="1"/>
  <c r="M72" i="3" s="1"/>
  <c r="C73" i="3" s="1"/>
  <c r="M50" i="2"/>
  <c r="M51" i="2" s="1"/>
  <c r="M62" i="2" s="1"/>
  <c r="L51" i="2"/>
  <c r="L62" i="2" s="1"/>
  <c r="H133" i="1"/>
  <c r="F110" i="1"/>
  <c r="L72" i="4" l="1"/>
  <c r="C73" i="4" s="1"/>
  <c r="C74" i="4"/>
  <c r="D111" i="1"/>
  <c r="E111" i="1" s="1"/>
  <c r="I120" i="1" s="1"/>
  <c r="I123" i="1" s="1"/>
  <c r="I124" i="1" s="1"/>
  <c r="I125" i="1" s="1"/>
  <c r="I133" i="1" l="1"/>
  <c r="D135" i="1" s="1"/>
  <c r="D134" i="1"/>
  <c r="F111" i="1"/>
  <c r="F112" i="1" s="1"/>
  <c r="E112" i="1"/>
</calcChain>
</file>

<file path=xl/sharedStrings.xml><?xml version="1.0" encoding="utf-8"?>
<sst xmlns="http://schemas.openxmlformats.org/spreadsheetml/2006/main" count="604" uniqueCount="157">
  <si>
    <r>
      <rPr>
        <b/>
        <sz val="11"/>
        <color theme="1"/>
        <rFont val="Calibri"/>
        <family val="2"/>
        <scheme val="minor"/>
      </rPr>
      <t>Determine:</t>
    </r>
    <r>
      <rPr>
        <sz val="11"/>
        <color theme="1"/>
        <rFont val="Calibri"/>
        <family val="2"/>
        <scheme val="minor"/>
      </rPr>
      <t xml:space="preserve">
a) Sabiendo que la tasa de impuestos a las utilidades es del 35%, realice los flujos de fondos correspondientes, para un horizonte de 6 años.
	Considere que la amortización de equipos se realiza en 10 años y se utiliza un método lineal de amortización (Perdida de valor constante)
	Usted tiene como política, ante las inversiones en equipos, una tasa mínima de 15% anual, para justificar la adquisición.
b) A continuación analice el escenario en que usted accede a un crédito para la adquisición de la maquina nueva, considerando que se le presta la mitad del monto a invertir, a una tasa del 20% anual y un plazo de 5 años, aplicando el método francés para amortizar la deuda. Que ocurre con su rentabilidad (la del inversionista) si adopta este escenario?</t>
    </r>
  </si>
  <si>
    <t>Usted se encuentra analizando la conveniencia de reemplazar un equipo que compró hace seis años para su empresa. Los datos del equipo que usted posee son los siguientes:</t>
  </si>
  <si>
    <t>Valor de mercado al momento de la compra</t>
  </si>
  <si>
    <t>Valor de mercado actual</t>
  </si>
  <si>
    <t>Vida util restante</t>
  </si>
  <si>
    <t>Valor de mercado al cabo de la vida util</t>
  </si>
  <si>
    <t>6 años</t>
  </si>
  <si>
    <t>Costo de operación (cttes por año)</t>
  </si>
  <si>
    <t>Ingresos estimados anuales</t>
  </si>
  <si>
    <t>Inversión  requerida</t>
  </si>
  <si>
    <t>Vida útil</t>
  </si>
  <si>
    <t>Valor de mercado al cabo de la vida útil</t>
  </si>
  <si>
    <t>Costos de operación (cttes por año)</t>
  </si>
  <si>
    <t>10 años</t>
  </si>
  <si>
    <t>Ingresos</t>
  </si>
  <si>
    <t>Venta máquina</t>
  </si>
  <si>
    <t>Costos operación</t>
  </si>
  <si>
    <t>Depreciación</t>
  </si>
  <si>
    <t>Utilidad</t>
  </si>
  <si>
    <t>Observaciones</t>
  </si>
  <si>
    <t>Ingresos y egresos afectos a impuestos</t>
  </si>
  <si>
    <t>Impuesto 35%</t>
  </si>
  <si>
    <t>Utilidad neta</t>
  </si>
  <si>
    <t>Utilidad Bruta</t>
  </si>
  <si>
    <t>Flujo de fondos</t>
  </si>
  <si>
    <t>Flujos actualizados</t>
  </si>
  <si>
    <t>VAN</t>
  </si>
  <si>
    <t>Vida útil total</t>
  </si>
  <si>
    <t>Inversión</t>
  </si>
  <si>
    <t>Valor residual</t>
  </si>
  <si>
    <t>Pérdida de valor estimada total</t>
  </si>
  <si>
    <t>Pérdida por año de vida útil</t>
  </si>
  <si>
    <t>SOLUCIÓN</t>
  </si>
  <si>
    <t>EJERCICIO 1</t>
  </si>
  <si>
    <t>Gastos no desebolsables</t>
  </si>
  <si>
    <t>Utilidad Neta</t>
  </si>
  <si>
    <t>Ajuste por gastos no desembolsables</t>
  </si>
  <si>
    <t>Concepto</t>
  </si>
  <si>
    <t>DESAFIANTE</t>
  </si>
  <si>
    <t>a) DEFENSOR</t>
  </si>
  <si>
    <t>Pérdida en 6 años</t>
  </si>
  <si>
    <t>Valor de mercado al cabo del año 6</t>
  </si>
  <si>
    <t>Valor libro al año 6</t>
  </si>
  <si>
    <t>Impuesto</t>
  </si>
  <si>
    <t>Valor de desecho año 6</t>
  </si>
  <si>
    <t>Cálculo del valor de desecho</t>
  </si>
  <si>
    <t>Valor mercado año 10</t>
  </si>
  <si>
    <t>Qué monto de recursos compromete el inversor?</t>
  </si>
  <si>
    <t>Valor del activo en el mercado</t>
  </si>
  <si>
    <t>Valor libro del activo</t>
  </si>
  <si>
    <t>Dinero disponible por venta de la máquina anterior</t>
  </si>
  <si>
    <t>Recursos propios a aportar</t>
  </si>
  <si>
    <t>Valor libro de los activos vendidos</t>
  </si>
  <si>
    <t>Valor libro</t>
  </si>
  <si>
    <t>Valor de desecho</t>
  </si>
  <si>
    <t>Costos y beneficios no afectos a impuestos</t>
  </si>
  <si>
    <t>TIR</t>
  </si>
  <si>
    <t>Crédito</t>
  </si>
  <si>
    <t>Monto</t>
  </si>
  <si>
    <t>Plazo</t>
  </si>
  <si>
    <t>Tasa</t>
  </si>
  <si>
    <t>P</t>
  </si>
  <si>
    <t>n</t>
  </si>
  <si>
    <t>i</t>
  </si>
  <si>
    <t>A = P * [(1+i)^n*i] / [(1+i)^n-1]</t>
  </si>
  <si>
    <t>A=</t>
  </si>
  <si>
    <t>Año</t>
  </si>
  <si>
    <t>Cuota</t>
  </si>
  <si>
    <t>Interés</t>
  </si>
  <si>
    <t>Saldo</t>
  </si>
  <si>
    <t>Pago capital</t>
  </si>
  <si>
    <t>Total</t>
  </si>
  <si>
    <t>DESAFIANTE CON PRÉSTAMO</t>
  </si>
  <si>
    <t>b)</t>
  </si>
  <si>
    <t>Gastos financieros</t>
  </si>
  <si>
    <t>Préstamo</t>
  </si>
  <si>
    <t>Amortización de préstamo</t>
  </si>
  <si>
    <t>Económico</t>
  </si>
  <si>
    <t>Financiero</t>
  </si>
  <si>
    <t>Rent. Proyecto</t>
  </si>
  <si>
    <t>Rent. Inversionista</t>
  </si>
  <si>
    <t>Una empresa se encuentra estudiando la viabilidad de elaborar un nuevo producto cuyo principal insumo es importado. Si sube el precio de la materia prima o el tipo de cambio, ese incremento no se podrá trasmitir al precio ya que nuestros competidores lanzan en el mercado productos cuyos insumos son nacionales y que no se verían afectados por cambios de los precios internacionales.</t>
  </si>
  <si>
    <t>La información recogida para evaluar el proyecto es la siguiente:</t>
  </si>
  <si>
    <r>
      <t>•</t>
    </r>
    <r>
      <rPr>
        <sz val="12"/>
        <color rgb="FF000000"/>
        <rFont val="Arial"/>
        <family val="2"/>
      </rPr>
      <t>Inversión Fija: 10.000.000$</t>
    </r>
  </si>
  <si>
    <r>
      <t>•</t>
    </r>
    <r>
      <rPr>
        <sz val="12"/>
        <color rgb="FF000000"/>
        <rFont val="Arial"/>
        <family val="2"/>
      </rPr>
      <t>Costo Variable nacional: $180$/unidad</t>
    </r>
  </si>
  <si>
    <r>
      <t>•</t>
    </r>
    <r>
      <rPr>
        <sz val="12"/>
        <color rgb="FF000000"/>
        <rFont val="Arial"/>
        <family val="2"/>
      </rPr>
      <t>Costo Variable importado: U$S10/unidad</t>
    </r>
  </si>
  <si>
    <r>
      <t>•</t>
    </r>
    <r>
      <rPr>
        <sz val="12"/>
        <color rgb="FF000000"/>
        <rFont val="Arial"/>
        <family val="2"/>
      </rPr>
      <t>Costo fijo de producción: 3.000.000$</t>
    </r>
  </si>
  <si>
    <r>
      <t>•</t>
    </r>
    <r>
      <rPr>
        <sz val="12"/>
        <color rgb="FF000000"/>
        <rFont val="Arial"/>
        <family val="2"/>
      </rPr>
      <t>Precio de Venta histórico: 800$/unidad</t>
    </r>
  </si>
  <si>
    <r>
      <t>•</t>
    </r>
    <r>
      <rPr>
        <sz val="12"/>
        <color rgb="FF000000"/>
        <rFont val="Arial"/>
        <family val="2"/>
      </rPr>
      <t>Vida útil de la inversión fija: 10 años</t>
    </r>
  </si>
  <si>
    <r>
      <t>•</t>
    </r>
    <r>
      <rPr>
        <sz val="12"/>
        <color rgb="FF000000"/>
        <rFont val="Arial"/>
        <family val="2"/>
      </rPr>
      <t>Período de depreciación de la inversión fija: 8 años</t>
    </r>
  </si>
  <si>
    <r>
      <t>•</t>
    </r>
    <r>
      <rPr>
        <sz val="12"/>
        <color rgb="FF000000"/>
        <rFont val="Arial"/>
        <family val="2"/>
      </rPr>
      <t>Valor de desecho de la inversión: 10% del costo de la inversión</t>
    </r>
  </si>
  <si>
    <r>
      <t>•</t>
    </r>
    <r>
      <rPr>
        <sz val="12"/>
        <color rgb="FF000000"/>
        <rFont val="Arial"/>
        <family val="2"/>
      </rPr>
      <t>Tasa de impuestos: 35%</t>
    </r>
  </si>
  <si>
    <r>
      <t>•</t>
    </r>
    <r>
      <rPr>
        <sz val="12"/>
        <color rgb="FF000000"/>
        <rFont val="Arial"/>
        <family val="2"/>
      </rPr>
      <t>Costo del Capital: 16% (tasa de descuento)</t>
    </r>
  </si>
  <si>
    <r>
      <t>•</t>
    </r>
    <r>
      <rPr>
        <sz val="12"/>
        <color rgb="FF000000"/>
        <rFont val="Arial"/>
        <family val="2"/>
      </rPr>
      <t>Valor del cambio al momento del análisis: (año 0) 6$/U$S , incrementando 10% cada año</t>
    </r>
  </si>
  <si>
    <r>
      <t>•</t>
    </r>
    <r>
      <rPr>
        <sz val="12"/>
        <color rgb="FF000000"/>
        <rFont val="Arial"/>
        <family val="2"/>
      </rPr>
      <t>La demanda de este nuevo producto se estima en 15 mil unidades anuales una vez que se encuentre consolidado en el mercado, a partir del tercer año, siendo el 15% de este monto en el primer año y el 70% en el segundo.</t>
    </r>
  </si>
  <si>
    <t xml:space="preserve">A) </t>
  </si>
  <si>
    <t>El VAN del proyecto utilizando la información recogida</t>
  </si>
  <si>
    <t xml:space="preserve">B) </t>
  </si>
  <si>
    <t>(Sensibilización Multidimensional)</t>
  </si>
  <si>
    <t xml:space="preserve">C) </t>
  </si>
  <si>
    <t>El costo máximo que puede alcanzar el insumo importado para que el VAN siga siendo  atractivo.</t>
  </si>
  <si>
    <t>El mínimo de demanda aceptable para que el VAN siga siendo  atractivo.</t>
  </si>
  <si>
    <t xml:space="preserve"> (Sensibilización Unidimensional)</t>
  </si>
  <si>
    <t>D)</t>
  </si>
  <si>
    <t>Conociendo que la distribución de probabilidades de las variables  susceptibles de cambiar son:</t>
  </si>
  <si>
    <t>E)</t>
  </si>
  <si>
    <r>
      <t>•</t>
    </r>
    <r>
      <rPr>
        <sz val="12"/>
        <color rgb="FF000000"/>
        <rFont val="Calibri"/>
        <family val="2"/>
        <scheme val="minor"/>
      </rPr>
      <t>La inversión inicial puede variar en +/- 10%</t>
    </r>
  </si>
  <si>
    <r>
      <t>•</t>
    </r>
    <r>
      <rPr>
        <sz val="12"/>
        <color rgb="FF000000"/>
        <rFont val="Calibri"/>
        <family val="2"/>
        <scheme val="minor"/>
      </rPr>
      <t>La tasa de descuento puede modificarse entre 15% y 17%</t>
    </r>
  </si>
  <si>
    <r>
      <t>•</t>
    </r>
    <r>
      <rPr>
        <sz val="12"/>
        <color rgb="FF000000"/>
        <rFont val="Calibri"/>
        <family val="2"/>
        <scheme val="minor"/>
      </rPr>
      <t xml:space="preserve">La demanda de este nuevo producto puede variar en  +/- 15% </t>
    </r>
  </si>
  <si>
    <r>
      <t>•</t>
    </r>
    <r>
      <rPr>
        <sz val="12"/>
        <color rgb="FF000000"/>
        <rFont val="Calibri"/>
        <family val="2"/>
        <scheme val="minor"/>
      </rPr>
      <t>Inversión inicial: Triangular</t>
    </r>
  </si>
  <si>
    <r>
      <t>•</t>
    </r>
    <r>
      <rPr>
        <sz val="12"/>
        <color rgb="FF000000"/>
        <rFont val="Calibri"/>
        <family val="2"/>
        <scheme val="minor"/>
      </rPr>
      <t>Tasa de descuento: Uniforme</t>
    </r>
  </si>
  <si>
    <r>
      <t>•</t>
    </r>
    <r>
      <rPr>
        <sz val="12"/>
        <color rgb="FF000000"/>
        <rFont val="Calibri"/>
        <family val="2"/>
        <scheme val="minor"/>
      </rPr>
      <t>Costo del insumo importado: Normal</t>
    </r>
  </si>
  <si>
    <r>
      <t>•</t>
    </r>
    <r>
      <rPr>
        <sz val="12"/>
        <color rgb="FF000000"/>
        <rFont val="Calibri"/>
        <family val="2"/>
        <scheme val="minor"/>
      </rPr>
      <t>Demanda: Triangular</t>
    </r>
  </si>
  <si>
    <t xml:space="preserve">Existen algunas variables del proyecto que pueden cambiar a lo largo del período de evaluación. </t>
  </si>
  <si>
    <t>Es por ello que se pretende evaluar 2 escenarios posibles a futuro: Uno optimista y otro pesimista</t>
  </si>
  <si>
    <r>
      <t>•</t>
    </r>
    <r>
      <rPr>
        <sz val="12"/>
        <color rgb="FF000000"/>
        <rFont val="Calibri"/>
        <family val="2"/>
        <scheme val="minor"/>
      </rPr>
      <t xml:space="preserve">El costo del insumo puede  tener un valor mínimo de 9 U$S, y un valor medio de 10U$S, </t>
    </r>
  </si>
  <si>
    <t>pero no se puede determinar un valor máximo, aunque para este análisis lo considera  12.50U$S</t>
  </si>
  <si>
    <t xml:space="preserve">La empresa desea  conocer la distribución de probabilidades de los valores que puede asumir </t>
  </si>
  <si>
    <t xml:space="preserve">el VAN del proyecto, ejecutando una simulación de MonteCarlo </t>
  </si>
  <si>
    <t xml:space="preserve">Por ultimo, la empresa evalúa solicitar un crédito para realizar la inversión inicial de 5 millones de pesos, </t>
  </si>
  <si>
    <t xml:space="preserve">los cual deberá devolver en 5 años,  a una tasa del 22%, aplicando el método francés para amortizar la deuda. </t>
  </si>
  <si>
    <t>Cual es la rentabilidad del proyecto original, en este caso?</t>
  </si>
  <si>
    <t>Inversión inicial</t>
  </si>
  <si>
    <t>Demanda total</t>
  </si>
  <si>
    <t>C. Var. Nacional</t>
  </si>
  <si>
    <t>Tipo de cambio</t>
  </si>
  <si>
    <t>C. Var. Importado</t>
  </si>
  <si>
    <t>Costo de capital</t>
  </si>
  <si>
    <t>Impuestos</t>
  </si>
  <si>
    <t>EJERCICIO 2</t>
  </si>
  <si>
    <t>10 usd</t>
  </si>
  <si>
    <t>Costos fijos</t>
  </si>
  <si>
    <t>Flujo</t>
  </si>
  <si>
    <t>Flujo Actualizado</t>
  </si>
  <si>
    <t>Supuestos</t>
  </si>
  <si>
    <t>Precio venta histórico</t>
  </si>
  <si>
    <t>Costo fijo</t>
  </si>
  <si>
    <t>Período depreciable</t>
  </si>
  <si>
    <t>años</t>
  </si>
  <si>
    <t>C. Var. Importado (USD)</t>
  </si>
  <si>
    <t>Principal</t>
  </si>
  <si>
    <t>Plazo (años)</t>
  </si>
  <si>
    <t>Saldo capital</t>
  </si>
  <si>
    <t>Intereses</t>
  </si>
  <si>
    <t>Amortización</t>
  </si>
  <si>
    <r>
      <t>•</t>
    </r>
    <r>
      <rPr>
        <sz val="12"/>
        <color rgb="FF000000"/>
        <rFont val="Calibri"/>
        <family val="2"/>
        <scheme val="minor"/>
      </rPr>
      <t>Inversión Fija: 10.000.000$</t>
    </r>
  </si>
  <si>
    <r>
      <t>•</t>
    </r>
    <r>
      <rPr>
        <sz val="12"/>
        <color rgb="FF000000"/>
        <rFont val="Calibri"/>
        <family val="2"/>
        <scheme val="minor"/>
      </rPr>
      <t>Costo Variable nacional: $180$/unidad</t>
    </r>
  </si>
  <si>
    <r>
      <t>•</t>
    </r>
    <r>
      <rPr>
        <sz val="12"/>
        <color rgb="FF000000"/>
        <rFont val="Calibri"/>
        <family val="2"/>
        <scheme val="minor"/>
      </rPr>
      <t>Costo Variable importado: U$S10/unidad</t>
    </r>
  </si>
  <si>
    <r>
      <t>•</t>
    </r>
    <r>
      <rPr>
        <sz val="12"/>
        <color rgb="FF000000"/>
        <rFont val="Calibri"/>
        <family val="2"/>
        <scheme val="minor"/>
      </rPr>
      <t>Costo fijo de producción: 3.000.000$</t>
    </r>
  </si>
  <si>
    <r>
      <t>•</t>
    </r>
    <r>
      <rPr>
        <sz val="12"/>
        <color rgb="FF000000"/>
        <rFont val="Calibri"/>
        <family val="2"/>
        <scheme val="minor"/>
      </rPr>
      <t>Precio de Venta histórico: 800$/unidad</t>
    </r>
  </si>
  <si>
    <r>
      <t>•</t>
    </r>
    <r>
      <rPr>
        <sz val="12"/>
        <color rgb="FF000000"/>
        <rFont val="Calibri"/>
        <family val="2"/>
        <scheme val="minor"/>
      </rPr>
      <t>Vida útil de la inversión fija: 10 años</t>
    </r>
  </si>
  <si>
    <r>
      <t>•</t>
    </r>
    <r>
      <rPr>
        <sz val="12"/>
        <color rgb="FF000000"/>
        <rFont val="Calibri"/>
        <family val="2"/>
        <scheme val="minor"/>
      </rPr>
      <t>Período de depreciación de la inversión fija: 8 años</t>
    </r>
  </si>
  <si>
    <r>
      <t>•</t>
    </r>
    <r>
      <rPr>
        <sz val="12"/>
        <color rgb="FF000000"/>
        <rFont val="Calibri"/>
        <family val="2"/>
        <scheme val="minor"/>
      </rPr>
      <t>Valor de desecho de la inversión: 10% del costo de la inversión</t>
    </r>
  </si>
  <si>
    <r>
      <t>•</t>
    </r>
    <r>
      <rPr>
        <sz val="12"/>
        <color rgb="FF000000"/>
        <rFont val="Calibri"/>
        <family val="2"/>
        <scheme val="minor"/>
      </rPr>
      <t>Tasa de impuestos: 35%</t>
    </r>
  </si>
  <si>
    <r>
      <t>•</t>
    </r>
    <r>
      <rPr>
        <sz val="12"/>
        <color rgb="FF000000"/>
        <rFont val="Calibri"/>
        <family val="2"/>
        <scheme val="minor"/>
      </rPr>
      <t>Costo del Capital: 16% (tasa de descuento)</t>
    </r>
  </si>
  <si>
    <r>
      <t>•</t>
    </r>
    <r>
      <rPr>
        <sz val="12"/>
        <color rgb="FF000000"/>
        <rFont val="Calibri"/>
        <family val="2"/>
        <scheme val="minor"/>
      </rPr>
      <t>Valor del cambio al momento del análisis: (año 0) 6$/U$S , incrementando 10% cada año</t>
    </r>
  </si>
  <si>
    <r>
      <t>•</t>
    </r>
    <r>
      <rPr>
        <sz val="12"/>
        <color rgb="FF000000"/>
        <rFont val="Calibri"/>
        <family val="2"/>
        <scheme val="minor"/>
      </rPr>
      <t>La demanda de este nuevo producto se estima en 15 mil unidades anuales una vez que se encuentre consolidado en el mercado, a partir del tercer año, siendo el 15% de este monto en el primer año y el 70% en el segundo.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</si>
</sst>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  <xf numFmtId="0" fontId="3" fillId="2" borderId="0" xfId="3" applyAlignment="1"/>
    <xf numFmtId="0" fontId="3" fillId="2" borderId="0" xfId="3" applyAlignment="1">
      <alignment wrapText="1"/>
    </xf>
    <xf numFmtId="0" fontId="3" fillId="2" borderId="0" xfId="3"/>
    <xf numFmtId="0" fontId="2" fillId="0" borderId="0" xfId="0" applyFont="1" applyAlignment="1">
      <alignment horizontal="center"/>
    </xf>
    <xf numFmtId="0" fontId="2" fillId="4" borderId="0" xfId="0" applyFont="1" applyFill="1"/>
    <xf numFmtId="165" fontId="2" fillId="4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9" fontId="2" fillId="0" borderId="0" xfId="2" applyFont="1"/>
    <xf numFmtId="9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0" fontId="2" fillId="0" borderId="1" xfId="0" applyFont="1" applyBorder="1"/>
    <xf numFmtId="9" fontId="0" fillId="0" borderId="1" xfId="2" applyFont="1" applyBorder="1"/>
    <xf numFmtId="165" fontId="4" fillId="0" borderId="0" xfId="0" applyNumberFormat="1" applyFont="1"/>
    <xf numFmtId="0" fontId="7" fillId="0" borderId="0" xfId="0" applyFont="1" applyAlignment="1">
      <alignment horizontal="left" vertical="center" indent="4" readingOrder="1"/>
    </xf>
    <xf numFmtId="0" fontId="8" fillId="0" borderId="0" xfId="0" applyFont="1"/>
    <xf numFmtId="0" fontId="6" fillId="0" borderId="0" xfId="0" applyFont="1" applyAlignment="1">
      <alignment horizontal="left" vertical="center" indent="15" readingOrder="1"/>
    </xf>
    <xf numFmtId="0" fontId="8" fillId="0" borderId="0" xfId="0" applyFont="1" applyAlignment="1">
      <alignment horizontal="left" indent="6"/>
    </xf>
    <xf numFmtId="0" fontId="7" fillId="0" borderId="0" xfId="0" applyFont="1" applyAlignment="1">
      <alignment horizontal="center" vertical="center" readingOrder="1"/>
    </xf>
    <xf numFmtId="9" fontId="0" fillId="0" borderId="0" xfId="2" applyFont="1"/>
    <xf numFmtId="165" fontId="2" fillId="0" borderId="0" xfId="1" applyNumberFormat="1" applyFont="1"/>
    <xf numFmtId="0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2" fillId="0" borderId="1" xfId="1" applyNumberFormat="1" applyFont="1" applyBorder="1"/>
    <xf numFmtId="9" fontId="2" fillId="0" borderId="1" xfId="2" applyFont="1" applyBorder="1"/>
    <xf numFmtId="0" fontId="2" fillId="0" borderId="3" xfId="0" applyFont="1" applyBorder="1"/>
    <xf numFmtId="165" fontId="2" fillId="0" borderId="3" xfId="1" applyNumberFormat="1" applyFont="1" applyBorder="1"/>
    <xf numFmtId="0" fontId="0" fillId="0" borderId="2" xfId="0" applyBorder="1"/>
    <xf numFmtId="165" fontId="0" fillId="0" borderId="2" xfId="1" applyNumberFormat="1" applyFont="1" applyBorder="1"/>
    <xf numFmtId="9" fontId="0" fillId="3" borderId="0" xfId="2" applyFont="1" applyFill="1"/>
    <xf numFmtId="165" fontId="0" fillId="3" borderId="0" xfId="1" applyNumberFormat="1" applyFont="1" applyFill="1"/>
    <xf numFmtId="164" fontId="0" fillId="3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9" fontId="0" fillId="0" borderId="0" xfId="2" applyFont="1" applyFill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2" fillId="0" borderId="5" xfId="1" applyNumberFormat="1" applyFont="1" applyBorder="1" applyAlignment="1">
      <alignment horizontal="right"/>
    </xf>
    <xf numFmtId="0" fontId="0" fillId="0" borderId="7" xfId="0" applyBorder="1"/>
    <xf numFmtId="165" fontId="0" fillId="0" borderId="7" xfId="0" applyNumberFormat="1" applyBorder="1"/>
    <xf numFmtId="0" fontId="3" fillId="2" borderId="0" xfId="3" applyFont="1"/>
    <xf numFmtId="0" fontId="0" fillId="0" borderId="0" xfId="0" applyFont="1"/>
    <xf numFmtId="0" fontId="8" fillId="0" borderId="0" xfId="0" applyFont="1" applyAlignment="1">
      <alignment horizontal="left" vertical="center" indent="15" readingOrder="1"/>
    </xf>
    <xf numFmtId="0" fontId="3" fillId="2" borderId="0" xfId="3" applyFont="1" applyAlignment="1"/>
    <xf numFmtId="0" fontId="3" fillId="2" borderId="0" xfId="3" applyFont="1" applyAlignment="1">
      <alignment wrapText="1"/>
    </xf>
    <xf numFmtId="0" fontId="0" fillId="0" borderId="1" xfId="0" applyFont="1" applyBorder="1"/>
    <xf numFmtId="0" fontId="0" fillId="0" borderId="4" xfId="0" applyFont="1" applyBorder="1"/>
    <xf numFmtId="0" fontId="0" fillId="0" borderId="2" xfId="0" applyFont="1" applyBorder="1"/>
    <xf numFmtId="165" fontId="0" fillId="0" borderId="1" xfId="0" applyNumberFormat="1" applyFont="1" applyBorder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 wrapText="1" indent="5" readingOrder="1"/>
    </xf>
    <xf numFmtId="0" fontId="5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horizontal="left" vertical="center" wrapText="1" indent="5" readingOrder="1"/>
    </xf>
    <xf numFmtId="0" fontId="7" fillId="0" borderId="0" xfId="0" applyFont="1" applyAlignment="1">
      <alignment horizontal="left" vertical="center" wrapText="1" readingOrder="1"/>
    </xf>
  </cellXfs>
  <cellStyles count="4">
    <cellStyle name="Énfasis5" xfId="3" builtinId="45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33"/>
  </sheetPr>
  <dimension ref="B2:O152"/>
  <sheetViews>
    <sheetView showGridLines="0" topLeftCell="A88" workbookViewId="0">
      <selection activeCell="E34" sqref="E34"/>
    </sheetView>
  </sheetViews>
  <sheetFormatPr baseColWidth="10" defaultColWidth="9.140625" defaultRowHeight="15" x14ac:dyDescent="0.25"/>
  <cols>
    <col min="2" max="2" width="22.85546875" customWidth="1"/>
    <col min="3" max="3" width="13.140625" bestFit="1" customWidth="1"/>
    <col min="4" max="4" width="16.85546875" customWidth="1"/>
    <col min="5" max="10" width="15" customWidth="1"/>
    <col min="11" max="11" width="10.5703125" bestFit="1" customWidth="1"/>
    <col min="14" max="14" width="11.5703125" bestFit="1" customWidth="1"/>
    <col min="15" max="15" width="14.140625" bestFit="1" customWidth="1"/>
  </cols>
  <sheetData>
    <row r="2" spans="2:15" x14ac:dyDescent="0.25">
      <c r="B2" s="10" t="s">
        <v>33</v>
      </c>
      <c r="C2" s="10"/>
    </row>
    <row r="3" spans="2:15" ht="33.75" customHeight="1" x14ac:dyDescent="0.25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5" spans="2:15" x14ac:dyDescent="0.25">
      <c r="C5" t="s">
        <v>2</v>
      </c>
      <c r="H5" s="3">
        <v>12000000</v>
      </c>
    </row>
    <row r="6" spans="2:15" x14ac:dyDescent="0.25">
      <c r="C6" t="s">
        <v>3</v>
      </c>
      <c r="H6" s="3">
        <v>4000000</v>
      </c>
    </row>
    <row r="7" spans="2:15" x14ac:dyDescent="0.25">
      <c r="C7" t="s">
        <v>4</v>
      </c>
      <c r="H7" s="4" t="s">
        <v>6</v>
      </c>
    </row>
    <row r="8" spans="2:15" x14ac:dyDescent="0.25">
      <c r="C8" t="s">
        <v>5</v>
      </c>
      <c r="H8" s="3">
        <v>1000000</v>
      </c>
    </row>
    <row r="9" spans="2:15" x14ac:dyDescent="0.25">
      <c r="C9" t="s">
        <v>7</v>
      </c>
      <c r="H9" s="3">
        <v>3000000</v>
      </c>
    </row>
    <row r="10" spans="2:15" x14ac:dyDescent="0.25">
      <c r="C10" t="s">
        <v>8</v>
      </c>
      <c r="H10" s="3">
        <v>4500000</v>
      </c>
    </row>
    <row r="13" spans="2:15" x14ac:dyDescent="0.25">
      <c r="B13" s="62" t="s">
        <v>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2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5">
      <c r="B15" s="1"/>
      <c r="C15" t="s">
        <v>9</v>
      </c>
      <c r="D15" s="1"/>
      <c r="E15" s="1"/>
      <c r="F15" s="1"/>
      <c r="H15" s="3">
        <v>15000000</v>
      </c>
      <c r="I15" s="1"/>
      <c r="O15" s="1"/>
    </row>
    <row r="16" spans="2:15" x14ac:dyDescent="0.25">
      <c r="B16" s="1"/>
      <c r="C16" s="1" t="s">
        <v>10</v>
      </c>
      <c r="D16" s="1"/>
      <c r="E16" s="1"/>
      <c r="F16" s="1"/>
      <c r="H16" s="4" t="s">
        <v>13</v>
      </c>
      <c r="I16" s="1"/>
      <c r="O16" s="1"/>
    </row>
    <row r="17" spans="2:15" x14ac:dyDescent="0.25">
      <c r="B17" s="1"/>
      <c r="C17" t="s">
        <v>11</v>
      </c>
      <c r="D17" s="1"/>
      <c r="E17" s="1"/>
      <c r="F17" s="1"/>
      <c r="H17" s="3">
        <v>2500000</v>
      </c>
      <c r="I17" s="1"/>
      <c r="O17" s="1"/>
    </row>
    <row r="18" spans="2:15" x14ac:dyDescent="0.25">
      <c r="B18" s="1"/>
      <c r="C18" t="s">
        <v>12</v>
      </c>
      <c r="D18" s="1"/>
      <c r="E18" s="1"/>
      <c r="F18" s="1"/>
      <c r="H18" s="3">
        <v>2300000</v>
      </c>
      <c r="I18" s="1"/>
      <c r="O18" s="1"/>
    </row>
    <row r="19" spans="2:15" x14ac:dyDescent="0.25">
      <c r="B19" s="1"/>
      <c r="C19" t="s">
        <v>8</v>
      </c>
      <c r="D19" s="1"/>
      <c r="E19" s="1"/>
      <c r="F19" s="1"/>
      <c r="H19" s="3">
        <v>6000000</v>
      </c>
      <c r="I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</row>
    <row r="21" spans="2:15" ht="124.5" customHeight="1" x14ac:dyDescent="0.25">
      <c r="B21" s="62" t="s">
        <v>0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5">
      <c r="B24" s="8" t="s">
        <v>32</v>
      </c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6" spans="2:15" x14ac:dyDescent="0.25">
      <c r="B26" s="12" t="s">
        <v>39</v>
      </c>
      <c r="C26" s="12"/>
    </row>
    <row r="27" spans="2:15" x14ac:dyDescent="0.25">
      <c r="B27" s="7" t="s">
        <v>37</v>
      </c>
      <c r="C27" s="7"/>
      <c r="D27" s="11">
        <v>0</v>
      </c>
      <c r="E27" s="11">
        <f>+D27+1</f>
        <v>1</v>
      </c>
      <c r="F27" s="11">
        <f t="shared" ref="F27:J27" si="0">+E27+1</f>
        <v>2</v>
      </c>
      <c r="G27" s="11">
        <f t="shared" si="0"/>
        <v>3</v>
      </c>
      <c r="H27" s="11">
        <f t="shared" si="0"/>
        <v>4</v>
      </c>
      <c r="I27" s="11">
        <f t="shared" si="0"/>
        <v>5</v>
      </c>
      <c r="J27" s="11">
        <f t="shared" si="0"/>
        <v>6</v>
      </c>
      <c r="K27" s="7" t="s">
        <v>19</v>
      </c>
    </row>
    <row r="28" spans="2:15" x14ac:dyDescent="0.25">
      <c r="B28" t="s">
        <v>14</v>
      </c>
      <c r="D28" s="5"/>
      <c r="E28" s="5">
        <f t="shared" ref="E28:J28" si="1">+$H$10</f>
        <v>4500000</v>
      </c>
      <c r="F28" s="5">
        <f t="shared" si="1"/>
        <v>4500000</v>
      </c>
      <c r="G28" s="5">
        <f t="shared" si="1"/>
        <v>4500000</v>
      </c>
      <c r="H28" s="5">
        <f t="shared" si="1"/>
        <v>4500000</v>
      </c>
      <c r="I28" s="5">
        <f t="shared" si="1"/>
        <v>4500000</v>
      </c>
      <c r="J28" s="5">
        <f t="shared" si="1"/>
        <v>4500000</v>
      </c>
      <c r="K28" t="s">
        <v>20</v>
      </c>
    </row>
    <row r="29" spans="2:15" x14ac:dyDescent="0.25">
      <c r="B29" t="s">
        <v>15</v>
      </c>
      <c r="J29" s="5">
        <f>+H8</f>
        <v>1000000</v>
      </c>
      <c r="K29" t="s">
        <v>20</v>
      </c>
    </row>
    <row r="30" spans="2:15" x14ac:dyDescent="0.25">
      <c r="B30" t="s">
        <v>16</v>
      </c>
      <c r="E30" s="5">
        <f t="shared" ref="E30:J30" si="2">-$H$9</f>
        <v>-3000000</v>
      </c>
      <c r="F30" s="5">
        <f t="shared" si="2"/>
        <v>-3000000</v>
      </c>
      <c r="G30" s="5">
        <f t="shared" si="2"/>
        <v>-3000000</v>
      </c>
      <c r="H30" s="5">
        <f t="shared" si="2"/>
        <v>-3000000</v>
      </c>
      <c r="I30" s="5">
        <f t="shared" si="2"/>
        <v>-3000000</v>
      </c>
      <c r="J30" s="5">
        <f t="shared" si="2"/>
        <v>-3000000</v>
      </c>
      <c r="K30" t="s">
        <v>20</v>
      </c>
    </row>
    <row r="31" spans="2:15" x14ac:dyDescent="0.25">
      <c r="B31" t="s">
        <v>17</v>
      </c>
      <c r="E31" s="5">
        <f>-$E$45</f>
        <v>-1200000</v>
      </c>
      <c r="F31" s="5">
        <f>-$E$45</f>
        <v>-1200000</v>
      </c>
      <c r="G31" s="5">
        <f>-$E$45</f>
        <v>-1200000</v>
      </c>
      <c r="H31" s="5">
        <f>-$E$45</f>
        <v>-1200000</v>
      </c>
      <c r="I31" s="5">
        <v>0</v>
      </c>
      <c r="J31" s="5">
        <v>0</v>
      </c>
      <c r="K31" t="s">
        <v>34</v>
      </c>
    </row>
    <row r="32" spans="2:15" x14ac:dyDescent="0.25">
      <c r="B32" s="7" t="s">
        <v>23</v>
      </c>
      <c r="D32" s="6">
        <f>SUM(D28:D31)</f>
        <v>0</v>
      </c>
      <c r="E32" s="6">
        <f t="shared" ref="E32:J32" si="3">SUM(E28:E31)</f>
        <v>300000</v>
      </c>
      <c r="F32" s="6">
        <f t="shared" si="3"/>
        <v>300000</v>
      </c>
      <c r="G32" s="6">
        <f t="shared" si="3"/>
        <v>300000</v>
      </c>
      <c r="H32" s="6">
        <f t="shared" si="3"/>
        <v>300000</v>
      </c>
      <c r="I32" s="6">
        <f t="shared" si="3"/>
        <v>1500000</v>
      </c>
      <c r="J32" s="6">
        <f t="shared" si="3"/>
        <v>2500000</v>
      </c>
    </row>
    <row r="33" spans="2:11" x14ac:dyDescent="0.25">
      <c r="B33" t="s">
        <v>21</v>
      </c>
      <c r="D33" s="5">
        <f>-D32*35%</f>
        <v>0</v>
      </c>
      <c r="E33" s="5">
        <f t="shared" ref="E33:J33" si="4">-E32*35%</f>
        <v>-105000</v>
      </c>
      <c r="F33" s="5">
        <f t="shared" si="4"/>
        <v>-105000</v>
      </c>
      <c r="G33" s="5">
        <f t="shared" si="4"/>
        <v>-105000</v>
      </c>
      <c r="H33" s="5">
        <f t="shared" si="4"/>
        <v>-105000</v>
      </c>
      <c r="I33" s="5">
        <f t="shared" si="4"/>
        <v>-525000</v>
      </c>
      <c r="J33" s="5">
        <f t="shared" si="4"/>
        <v>-875000</v>
      </c>
    </row>
    <row r="34" spans="2:11" x14ac:dyDescent="0.25">
      <c r="B34" s="7" t="s">
        <v>35</v>
      </c>
      <c r="D34" s="6">
        <f>+D32+D33</f>
        <v>0</v>
      </c>
      <c r="E34" s="6">
        <f t="shared" ref="E34:J34" si="5">+E32+E33</f>
        <v>195000</v>
      </c>
      <c r="F34" s="6">
        <f>+F32+F33</f>
        <v>195000</v>
      </c>
      <c r="G34" s="6">
        <f t="shared" si="5"/>
        <v>195000</v>
      </c>
      <c r="H34" s="6">
        <f t="shared" si="5"/>
        <v>195000</v>
      </c>
      <c r="I34" s="6">
        <f t="shared" si="5"/>
        <v>975000</v>
      </c>
      <c r="J34" s="6">
        <f t="shared" si="5"/>
        <v>1625000</v>
      </c>
    </row>
    <row r="35" spans="2:11" x14ac:dyDescent="0.25">
      <c r="B35" t="s">
        <v>17</v>
      </c>
      <c r="D35" s="5"/>
      <c r="E35" s="5">
        <f>-E31</f>
        <v>1200000</v>
      </c>
      <c r="F35" s="5">
        <f t="shared" ref="F35:H35" si="6">-F31</f>
        <v>1200000</v>
      </c>
      <c r="G35" s="5">
        <f t="shared" si="6"/>
        <v>1200000</v>
      </c>
      <c r="H35" s="5">
        <f t="shared" si="6"/>
        <v>1200000</v>
      </c>
      <c r="I35" s="5">
        <v>0</v>
      </c>
      <c r="J35" s="5">
        <v>0</v>
      </c>
      <c r="K35" t="s">
        <v>36</v>
      </c>
    </row>
    <row r="36" spans="2:11" x14ac:dyDescent="0.25">
      <c r="B36" s="7" t="s">
        <v>24</v>
      </c>
      <c r="D36" s="6">
        <f>+D34+D35</f>
        <v>0</v>
      </c>
      <c r="E36" s="6">
        <f t="shared" ref="E36" si="7">+E34+E35</f>
        <v>1395000</v>
      </c>
      <c r="F36" s="6">
        <f t="shared" ref="F36" si="8">+F34+F35</f>
        <v>1395000</v>
      </c>
      <c r="G36" s="6">
        <f t="shared" ref="G36" si="9">+G34+G35</f>
        <v>1395000</v>
      </c>
      <c r="H36" s="6">
        <f t="shared" ref="H36" si="10">+H34+H35</f>
        <v>1395000</v>
      </c>
      <c r="I36" s="6">
        <f t="shared" ref="I36" si="11">+I34+I35</f>
        <v>975000</v>
      </c>
      <c r="J36" s="6">
        <f t="shared" ref="J36" si="12">+J34+J35</f>
        <v>1625000</v>
      </c>
    </row>
    <row r="37" spans="2:11" x14ac:dyDescent="0.25">
      <c r="B37" s="7" t="s">
        <v>25</v>
      </c>
      <c r="D37" s="6">
        <f>+D36/(1+0.15)^D27</f>
        <v>0</v>
      </c>
      <c r="E37" s="6">
        <f t="shared" ref="E37:J37" si="13">+E36/(1+0.15)^E27</f>
        <v>1213043.4782608696</v>
      </c>
      <c r="F37" s="6">
        <f t="shared" si="13"/>
        <v>1054820.4158790172</v>
      </c>
      <c r="G37" s="6">
        <f t="shared" si="13"/>
        <v>917235.14424262382</v>
      </c>
      <c r="H37" s="6">
        <f t="shared" si="13"/>
        <v>797595.77760228154</v>
      </c>
      <c r="I37" s="6">
        <f t="shared" si="13"/>
        <v>484747.31691583263</v>
      </c>
      <c r="J37" s="6">
        <f t="shared" si="13"/>
        <v>702532.34335627919</v>
      </c>
      <c r="K37" s="5"/>
    </row>
    <row r="38" spans="2:11" x14ac:dyDescent="0.25">
      <c r="B38" s="7" t="s">
        <v>26</v>
      </c>
      <c r="D38" s="6">
        <f>+D36+NPV(15%,E36:J36)</f>
        <v>5169974.4762569042</v>
      </c>
      <c r="F38" s="5"/>
      <c r="G38" s="5"/>
      <c r="H38" s="5"/>
      <c r="I38" s="5"/>
      <c r="J38" s="5"/>
    </row>
    <row r="39" spans="2:11" x14ac:dyDescent="0.25">
      <c r="B39" s="7" t="s">
        <v>26</v>
      </c>
      <c r="D39" s="6">
        <f>+SUM(D37:J37)</f>
        <v>5169974.4762569033</v>
      </c>
      <c r="E39" s="6"/>
      <c r="F39" s="5"/>
      <c r="G39" s="5"/>
      <c r="H39" s="5"/>
      <c r="I39" s="5"/>
      <c r="J39" s="5"/>
    </row>
    <row r="40" spans="2:11" x14ac:dyDescent="0.25">
      <c r="D40" s="5"/>
      <c r="E40" s="5"/>
      <c r="F40" s="5"/>
      <c r="G40" s="5"/>
      <c r="H40" s="5"/>
      <c r="I40" s="5"/>
      <c r="J40" s="5"/>
    </row>
    <row r="41" spans="2:11" x14ac:dyDescent="0.25">
      <c r="B41" s="7" t="s">
        <v>27</v>
      </c>
      <c r="D41" s="5"/>
      <c r="E41" s="5">
        <v>10</v>
      </c>
      <c r="F41" s="5"/>
      <c r="G41" s="5"/>
      <c r="H41" s="5"/>
      <c r="I41" s="5"/>
      <c r="J41" s="5"/>
    </row>
    <row r="42" spans="2:11" x14ac:dyDescent="0.25">
      <c r="B42" t="s">
        <v>28</v>
      </c>
      <c r="E42" s="5">
        <f>+H5</f>
        <v>12000000</v>
      </c>
    </row>
    <row r="43" spans="2:11" x14ac:dyDescent="0.25">
      <c r="B43" t="s">
        <v>29</v>
      </c>
      <c r="E43" s="5">
        <v>0</v>
      </c>
    </row>
    <row r="44" spans="2:11" x14ac:dyDescent="0.25">
      <c r="B44" t="s">
        <v>30</v>
      </c>
      <c r="E44" s="5">
        <f>+E42-E43</f>
        <v>12000000</v>
      </c>
    </row>
    <row r="45" spans="2:11" x14ac:dyDescent="0.25">
      <c r="B45" t="s">
        <v>31</v>
      </c>
      <c r="E45" s="5">
        <f>+E44/E41</f>
        <v>1200000</v>
      </c>
    </row>
    <row r="49" spans="2:11" x14ac:dyDescent="0.25">
      <c r="B49" s="12" t="s">
        <v>38</v>
      </c>
      <c r="C49" s="12"/>
    </row>
    <row r="50" spans="2:11" x14ac:dyDescent="0.25">
      <c r="B50" s="7" t="s">
        <v>37</v>
      </c>
      <c r="C50" s="7"/>
      <c r="D50" s="11">
        <v>0</v>
      </c>
      <c r="E50" s="11">
        <f>+D50+1</f>
        <v>1</v>
      </c>
      <c r="F50" s="11">
        <f t="shared" ref="F50:J50" si="14">+E50+1</f>
        <v>2</v>
      </c>
      <c r="G50" s="11">
        <f t="shared" si="14"/>
        <v>3</v>
      </c>
      <c r="H50" s="11">
        <f t="shared" si="14"/>
        <v>4</v>
      </c>
      <c r="I50" s="11">
        <f t="shared" si="14"/>
        <v>5</v>
      </c>
      <c r="J50" s="11">
        <f t="shared" si="14"/>
        <v>6</v>
      </c>
      <c r="K50" s="7" t="s">
        <v>19</v>
      </c>
    </row>
    <row r="51" spans="2:11" x14ac:dyDescent="0.25">
      <c r="B51" t="s">
        <v>14</v>
      </c>
      <c r="D51" s="5"/>
      <c r="E51" s="5">
        <f>+$H$19</f>
        <v>6000000</v>
      </c>
      <c r="F51" s="5">
        <f>+E51</f>
        <v>6000000</v>
      </c>
      <c r="G51" s="5">
        <f t="shared" ref="G51:J53" si="15">+F51</f>
        <v>6000000</v>
      </c>
      <c r="H51" s="5">
        <f t="shared" si="15"/>
        <v>6000000</v>
      </c>
      <c r="I51" s="5">
        <f t="shared" si="15"/>
        <v>6000000</v>
      </c>
      <c r="J51" s="5">
        <f t="shared" si="15"/>
        <v>6000000</v>
      </c>
      <c r="K51" t="s">
        <v>20</v>
      </c>
    </row>
    <row r="52" spans="2:11" x14ac:dyDescent="0.25">
      <c r="B52" t="s">
        <v>15</v>
      </c>
      <c r="D52" s="5">
        <f>+$H$6</f>
        <v>4000000</v>
      </c>
      <c r="J52" s="5"/>
      <c r="K52" t="s">
        <v>20</v>
      </c>
    </row>
    <row r="53" spans="2:11" x14ac:dyDescent="0.25">
      <c r="B53" t="s">
        <v>16</v>
      </c>
      <c r="E53" s="5">
        <f>-$H$18</f>
        <v>-2300000</v>
      </c>
      <c r="F53" s="5">
        <f>+E53</f>
        <v>-2300000</v>
      </c>
      <c r="G53" s="5">
        <f t="shared" si="15"/>
        <v>-2300000</v>
      </c>
      <c r="H53" s="5">
        <f t="shared" si="15"/>
        <v>-2300000</v>
      </c>
      <c r="I53" s="5">
        <f t="shared" si="15"/>
        <v>-2300000</v>
      </c>
      <c r="J53" s="5">
        <f t="shared" si="15"/>
        <v>-2300000</v>
      </c>
      <c r="K53" t="s">
        <v>20</v>
      </c>
    </row>
    <row r="54" spans="2:11" x14ac:dyDescent="0.25">
      <c r="B54" t="s">
        <v>17</v>
      </c>
      <c r="E54" s="5">
        <f t="shared" ref="E54:J54" si="16">-$G$74</f>
        <v>-1500000</v>
      </c>
      <c r="F54" s="5">
        <f t="shared" si="16"/>
        <v>-1500000</v>
      </c>
      <c r="G54" s="5">
        <f t="shared" si="16"/>
        <v>-1500000</v>
      </c>
      <c r="H54" s="5">
        <f t="shared" si="16"/>
        <v>-1500000</v>
      </c>
      <c r="I54" s="5">
        <f t="shared" si="16"/>
        <v>-1500000</v>
      </c>
      <c r="J54" s="5">
        <f t="shared" si="16"/>
        <v>-1500000</v>
      </c>
      <c r="K54" t="s">
        <v>34</v>
      </c>
    </row>
    <row r="55" spans="2:11" x14ac:dyDescent="0.25">
      <c r="B55" t="s">
        <v>52</v>
      </c>
      <c r="D55" s="5">
        <f>+F87</f>
        <v>-4800000</v>
      </c>
      <c r="E55" s="5"/>
      <c r="F55" s="5"/>
      <c r="G55" s="5"/>
      <c r="H55" s="5"/>
      <c r="I55" s="5"/>
      <c r="J55" s="5"/>
      <c r="K55" t="s">
        <v>34</v>
      </c>
    </row>
    <row r="56" spans="2:11" x14ac:dyDescent="0.25">
      <c r="B56" s="7" t="s">
        <v>23</v>
      </c>
      <c r="D56" s="6">
        <f>SUM(D51:D55)</f>
        <v>-800000</v>
      </c>
      <c r="E56" s="6">
        <f t="shared" ref="E56" si="17">SUM(E51:E55)</f>
        <v>2200000</v>
      </c>
      <c r="F56" s="6">
        <f t="shared" ref="F56" si="18">SUM(F51:F55)</f>
        <v>2200000</v>
      </c>
      <c r="G56" s="6">
        <f t="shared" ref="G56" si="19">SUM(G51:G55)</f>
        <v>2200000</v>
      </c>
      <c r="H56" s="6">
        <f t="shared" ref="H56" si="20">SUM(H51:H55)</f>
        <v>2200000</v>
      </c>
      <c r="I56" s="6">
        <f t="shared" ref="I56" si="21">SUM(I51:I55)</f>
        <v>2200000</v>
      </c>
      <c r="J56" s="6">
        <f t="shared" ref="J56" si="22">SUM(J51:J55)</f>
        <v>2200000</v>
      </c>
    </row>
    <row r="57" spans="2:11" x14ac:dyDescent="0.25">
      <c r="B57" t="s">
        <v>21</v>
      </c>
      <c r="D57" s="5">
        <f>-D56*35%</f>
        <v>280000</v>
      </c>
      <c r="E57" s="5">
        <f t="shared" ref="E57" si="23">-E56*35%</f>
        <v>-770000</v>
      </c>
      <c r="F57" s="5">
        <f t="shared" ref="F57" si="24">-F56*35%</f>
        <v>-770000</v>
      </c>
      <c r="G57" s="5">
        <f t="shared" ref="G57" si="25">-G56*35%</f>
        <v>-770000</v>
      </c>
      <c r="H57" s="5">
        <f t="shared" ref="H57" si="26">-H56*35%</f>
        <v>-770000</v>
      </c>
      <c r="I57" s="5">
        <f t="shared" ref="I57" si="27">-I56*35%</f>
        <v>-770000</v>
      </c>
      <c r="J57" s="5">
        <f t="shared" ref="J57" si="28">-J56*35%</f>
        <v>-770000</v>
      </c>
    </row>
    <row r="58" spans="2:11" x14ac:dyDescent="0.25">
      <c r="B58" s="7" t="s">
        <v>35</v>
      </c>
      <c r="D58" s="6">
        <f>+D56+D57</f>
        <v>-520000</v>
      </c>
      <c r="E58" s="6">
        <f t="shared" ref="E58" si="29">+E56+E57</f>
        <v>1430000</v>
      </c>
      <c r="F58" s="6">
        <f t="shared" ref="F58" si="30">+F56+F57</f>
        <v>1430000</v>
      </c>
      <c r="G58" s="6">
        <f t="shared" ref="G58" si="31">+G56+G57</f>
        <v>1430000</v>
      </c>
      <c r="H58" s="6">
        <f t="shared" ref="H58" si="32">+H56+H57</f>
        <v>1430000</v>
      </c>
      <c r="I58" s="6">
        <f t="shared" ref="I58" si="33">+I56+I57</f>
        <v>1430000</v>
      </c>
      <c r="J58" s="6">
        <f t="shared" ref="J58" si="34">+J56+J57</f>
        <v>1430000</v>
      </c>
    </row>
    <row r="59" spans="2:11" x14ac:dyDescent="0.25">
      <c r="B59" t="s">
        <v>17</v>
      </c>
      <c r="D59" s="5"/>
      <c r="E59" s="5">
        <f>+$G$74</f>
        <v>1500000</v>
      </c>
      <c r="F59" s="5">
        <f t="shared" ref="F59:J59" si="35">+$G$74</f>
        <v>1500000</v>
      </c>
      <c r="G59" s="5">
        <f t="shared" si="35"/>
        <v>1500000</v>
      </c>
      <c r="H59" s="5">
        <f t="shared" si="35"/>
        <v>1500000</v>
      </c>
      <c r="I59" s="5">
        <f t="shared" si="35"/>
        <v>1500000</v>
      </c>
      <c r="J59" s="5">
        <f t="shared" si="35"/>
        <v>1500000</v>
      </c>
      <c r="K59" t="s">
        <v>36</v>
      </c>
    </row>
    <row r="60" spans="2:11" x14ac:dyDescent="0.25">
      <c r="B60" t="s">
        <v>53</v>
      </c>
      <c r="D60" s="5">
        <f>+F91</f>
        <v>4800000</v>
      </c>
      <c r="E60" s="5"/>
      <c r="F60" s="5"/>
      <c r="G60" s="5"/>
      <c r="H60" s="5"/>
      <c r="I60" s="5"/>
      <c r="J60" s="5"/>
      <c r="K60" t="s">
        <v>36</v>
      </c>
    </row>
    <row r="61" spans="2:11" x14ac:dyDescent="0.25">
      <c r="B61" t="s">
        <v>28</v>
      </c>
      <c r="D61" s="5">
        <f>-F71</f>
        <v>-15000000</v>
      </c>
      <c r="E61" s="5"/>
      <c r="F61" s="5"/>
      <c r="G61" s="5"/>
      <c r="H61" s="5"/>
      <c r="I61" s="5"/>
      <c r="J61" s="5"/>
      <c r="K61" t="s">
        <v>55</v>
      </c>
    </row>
    <row r="62" spans="2:11" x14ac:dyDescent="0.25">
      <c r="B62" t="s">
        <v>54</v>
      </c>
      <c r="D62" s="5"/>
      <c r="E62" s="5"/>
      <c r="F62" s="5"/>
      <c r="G62" s="5"/>
      <c r="H62" s="5"/>
      <c r="I62" s="5"/>
      <c r="J62" s="5">
        <f>+F83</f>
        <v>6975000</v>
      </c>
      <c r="K62" t="s">
        <v>55</v>
      </c>
    </row>
    <row r="63" spans="2:11" x14ac:dyDescent="0.25">
      <c r="B63" s="7" t="s">
        <v>24</v>
      </c>
      <c r="D63" s="6">
        <f>SUM(D58:D62)</f>
        <v>-10720000</v>
      </c>
      <c r="E63" s="6">
        <f t="shared" ref="E63:J63" si="36">SUM(E58:E62)</f>
        <v>2930000</v>
      </c>
      <c r="F63" s="6">
        <f t="shared" si="36"/>
        <v>2930000</v>
      </c>
      <c r="G63" s="6">
        <f t="shared" si="36"/>
        <v>2930000</v>
      </c>
      <c r="H63" s="6">
        <f t="shared" si="36"/>
        <v>2930000</v>
      </c>
      <c r="I63" s="6">
        <f t="shared" si="36"/>
        <v>2930000</v>
      </c>
      <c r="J63" s="6">
        <f t="shared" si="36"/>
        <v>9905000</v>
      </c>
    </row>
    <row r="64" spans="2:11" x14ac:dyDescent="0.25">
      <c r="B64" s="7" t="s">
        <v>25</v>
      </c>
      <c r="D64" s="6">
        <f>+D63/(1+0.15)^D50</f>
        <v>-10720000</v>
      </c>
      <c r="E64" s="6">
        <f t="shared" ref="E64" si="37">+E63/(1+0.15)^E50</f>
        <v>2547826.086956522</v>
      </c>
      <c r="F64" s="6">
        <f t="shared" ref="F64" si="38">+F63/(1+0.15)^F50</f>
        <v>2215500.9451795844</v>
      </c>
      <c r="G64" s="6">
        <f t="shared" ref="G64" si="39">+G63/(1+0.15)^G50</f>
        <v>1926522.5610257259</v>
      </c>
      <c r="H64" s="6">
        <f t="shared" ref="H64" si="40">+H63/(1+0.15)^H50</f>
        <v>1675237.0095875878</v>
      </c>
      <c r="I64" s="6">
        <f t="shared" ref="I64" si="41">+I63/(1+0.15)^I50</f>
        <v>1456727.8344239893</v>
      </c>
      <c r="J64" s="6">
        <f t="shared" ref="J64" si="42">+J63/(1+0.15)^J50</f>
        <v>4282204.8375039669</v>
      </c>
      <c r="K64" s="5"/>
    </row>
    <row r="65" spans="2:10" x14ac:dyDescent="0.25">
      <c r="B65" s="7" t="s">
        <v>26</v>
      </c>
      <c r="D65" s="6">
        <f>+D63+NPV(15%,E63:J63)</f>
        <v>3384019.2746773753</v>
      </c>
      <c r="F65" s="5"/>
      <c r="G65" s="5"/>
      <c r="H65" s="5"/>
      <c r="I65" s="5"/>
      <c r="J65" s="5"/>
    </row>
    <row r="66" spans="2:10" x14ac:dyDescent="0.25">
      <c r="B66" s="7" t="s">
        <v>26</v>
      </c>
      <c r="D66" s="6">
        <f>+SUM(D64:J64)</f>
        <v>3384019.2746773753</v>
      </c>
      <c r="E66" s="6"/>
      <c r="F66" s="5"/>
      <c r="G66" s="5"/>
      <c r="H66" s="5"/>
      <c r="I66" s="5"/>
      <c r="J66" s="5"/>
    </row>
    <row r="67" spans="2:10" x14ac:dyDescent="0.25">
      <c r="B67" s="7" t="s">
        <v>56</v>
      </c>
      <c r="D67" s="16">
        <f>+IRR(D63:J63)</f>
        <v>0.24163457394298438</v>
      </c>
      <c r="E67" s="6"/>
      <c r="F67" s="5"/>
      <c r="G67" s="5"/>
      <c r="H67" s="5"/>
      <c r="I67" s="5"/>
      <c r="J67" s="5"/>
    </row>
    <row r="68" spans="2:10" x14ac:dyDescent="0.25">
      <c r="D68" s="5"/>
      <c r="E68" s="5"/>
      <c r="F68" s="5"/>
      <c r="G68" s="5"/>
      <c r="H68" s="5"/>
      <c r="I68" s="5"/>
      <c r="J68" s="5"/>
    </row>
    <row r="69" spans="2:10" x14ac:dyDescent="0.25">
      <c r="B69" s="12" t="s">
        <v>45</v>
      </c>
      <c r="C69" s="14"/>
      <c r="D69" s="15"/>
      <c r="E69" s="15"/>
      <c r="F69" s="15"/>
      <c r="G69" s="5"/>
      <c r="H69" s="5"/>
      <c r="I69" s="5"/>
      <c r="J69" s="5"/>
    </row>
    <row r="70" spans="2:10" x14ac:dyDescent="0.25">
      <c r="B70" t="s">
        <v>27</v>
      </c>
      <c r="D70" s="5"/>
      <c r="F70" s="5">
        <v>10</v>
      </c>
      <c r="G70" s="5"/>
      <c r="H70" s="5"/>
      <c r="I70" s="5"/>
      <c r="J70" s="5"/>
    </row>
    <row r="71" spans="2:10" x14ac:dyDescent="0.25">
      <c r="B71" s="7" t="s">
        <v>28</v>
      </c>
      <c r="C71" s="7"/>
      <c r="D71" s="7"/>
      <c r="E71" s="7"/>
      <c r="F71" s="6">
        <f>+H15</f>
        <v>15000000</v>
      </c>
    </row>
    <row r="72" spans="2:10" x14ac:dyDescent="0.25">
      <c r="B72" t="s">
        <v>46</v>
      </c>
      <c r="F72" s="5">
        <f>+H17</f>
        <v>2500000</v>
      </c>
    </row>
    <row r="73" spans="2:10" x14ac:dyDescent="0.25">
      <c r="B73" s="7" t="s">
        <v>30</v>
      </c>
      <c r="C73" s="7"/>
      <c r="D73" s="7"/>
      <c r="E73" s="7"/>
      <c r="F73" s="6">
        <f>+F71-F72</f>
        <v>12500000</v>
      </c>
    </row>
    <row r="74" spans="2:10" x14ac:dyDescent="0.25">
      <c r="B74" t="s">
        <v>31</v>
      </c>
      <c r="F74" s="5">
        <f>+F73/F70</f>
        <v>1250000</v>
      </c>
      <c r="G74" s="5">
        <f>+F71/F70</f>
        <v>1500000</v>
      </c>
    </row>
    <row r="75" spans="2:10" x14ac:dyDescent="0.25">
      <c r="B75" t="s">
        <v>40</v>
      </c>
      <c r="F75" s="5">
        <f>+F74*6</f>
        <v>7500000</v>
      </c>
    </row>
    <row r="77" spans="2:10" x14ac:dyDescent="0.25">
      <c r="B77" s="7" t="s">
        <v>41</v>
      </c>
      <c r="C77" s="7"/>
      <c r="D77" s="7"/>
      <c r="E77" s="7"/>
      <c r="F77" s="6">
        <f>+F71-F75</f>
        <v>7500000</v>
      </c>
    </row>
    <row r="78" spans="2:10" x14ac:dyDescent="0.25">
      <c r="B78" t="s">
        <v>42</v>
      </c>
      <c r="F78" s="5">
        <f>-(F71-F71/10*6)</f>
        <v>-6000000</v>
      </c>
    </row>
    <row r="79" spans="2:10" x14ac:dyDescent="0.25">
      <c r="B79" s="7" t="s">
        <v>18</v>
      </c>
      <c r="C79" s="7"/>
      <c r="D79" s="7"/>
      <c r="E79" s="7"/>
      <c r="F79" s="6">
        <f>SUM(F77:F78)</f>
        <v>1500000</v>
      </c>
    </row>
    <row r="80" spans="2:10" x14ac:dyDescent="0.25">
      <c r="B80" t="s">
        <v>43</v>
      </c>
      <c r="F80" s="5">
        <f>-F79*35%</f>
        <v>-525000</v>
      </c>
    </row>
    <row r="81" spans="2:7" x14ac:dyDescent="0.25">
      <c r="B81" t="s">
        <v>22</v>
      </c>
      <c r="F81" s="6">
        <f>SUM(F79:F80)</f>
        <v>975000</v>
      </c>
    </row>
    <row r="82" spans="2:7" x14ac:dyDescent="0.25">
      <c r="B82" t="s">
        <v>42</v>
      </c>
      <c r="F82" s="5">
        <v>6000000</v>
      </c>
    </row>
    <row r="83" spans="2:7" x14ac:dyDescent="0.25">
      <c r="B83" s="12" t="s">
        <v>44</v>
      </c>
      <c r="C83" s="12"/>
      <c r="D83" s="12"/>
      <c r="E83" s="12"/>
      <c r="F83" s="13">
        <f>+F82+F81</f>
        <v>6975000</v>
      </c>
    </row>
    <row r="85" spans="2:7" x14ac:dyDescent="0.25">
      <c r="B85" s="12" t="s">
        <v>47</v>
      </c>
      <c r="C85" s="14"/>
      <c r="D85" s="15"/>
      <c r="E85" s="15"/>
      <c r="F85" s="15"/>
    </row>
    <row r="86" spans="2:7" x14ac:dyDescent="0.25">
      <c r="B86" t="s">
        <v>48</v>
      </c>
      <c r="F86" s="5">
        <f>+H6</f>
        <v>4000000</v>
      </c>
    </row>
    <row r="87" spans="2:7" x14ac:dyDescent="0.25">
      <c r="B87" t="s">
        <v>49</v>
      </c>
      <c r="F87" s="5">
        <f>-(H5-H5/10*6)</f>
        <v>-4800000</v>
      </c>
    </row>
    <row r="88" spans="2:7" x14ac:dyDescent="0.25">
      <c r="B88" s="7" t="s">
        <v>18</v>
      </c>
      <c r="C88" s="7"/>
      <c r="D88" s="7"/>
      <c r="E88" s="7"/>
      <c r="F88" s="6">
        <f>SUM(F86:F87)</f>
        <v>-800000</v>
      </c>
    </row>
    <row r="89" spans="2:7" x14ac:dyDescent="0.25">
      <c r="B89" t="s">
        <v>43</v>
      </c>
      <c r="F89" s="5">
        <f>-F88*35%</f>
        <v>280000</v>
      </c>
    </row>
    <row r="90" spans="2:7" x14ac:dyDescent="0.25">
      <c r="B90" s="7" t="s">
        <v>22</v>
      </c>
      <c r="F90" s="6">
        <f>SUM(F88:F89)</f>
        <v>-520000</v>
      </c>
    </row>
    <row r="91" spans="2:7" x14ac:dyDescent="0.25">
      <c r="B91" t="s">
        <v>49</v>
      </c>
      <c r="F91" s="5">
        <f>-F87</f>
        <v>4800000</v>
      </c>
    </row>
    <row r="92" spans="2:7" x14ac:dyDescent="0.25">
      <c r="B92" s="12" t="s">
        <v>50</v>
      </c>
      <c r="C92" s="12"/>
      <c r="D92" s="12"/>
      <c r="E92" s="12"/>
      <c r="F92" s="13">
        <f>SUM(F90:F91)</f>
        <v>4280000</v>
      </c>
      <c r="G92" s="13">
        <f>+F86+F89</f>
        <v>4280000</v>
      </c>
    </row>
    <row r="93" spans="2:7" x14ac:dyDescent="0.25">
      <c r="B93" t="s">
        <v>28</v>
      </c>
      <c r="F93" s="5">
        <v>-15000000</v>
      </c>
    </row>
    <row r="94" spans="2:7" x14ac:dyDescent="0.25">
      <c r="B94" s="12" t="s">
        <v>51</v>
      </c>
      <c r="C94" s="12"/>
      <c r="D94" s="12"/>
      <c r="E94" s="12"/>
      <c r="F94" s="13">
        <f>+F92+F93</f>
        <v>-10720000</v>
      </c>
    </row>
    <row r="96" spans="2:7" x14ac:dyDescent="0.25">
      <c r="B96" t="s">
        <v>73</v>
      </c>
    </row>
    <row r="97" spans="2:6" x14ac:dyDescent="0.25">
      <c r="B97" s="12" t="s">
        <v>57</v>
      </c>
      <c r="C97" s="12"/>
      <c r="D97" s="12"/>
      <c r="E97" s="12"/>
      <c r="F97" s="13"/>
    </row>
    <row r="98" spans="2:6" x14ac:dyDescent="0.25">
      <c r="B98" t="s">
        <v>58</v>
      </c>
      <c r="C98" t="s">
        <v>61</v>
      </c>
      <c r="F98" s="5">
        <v>7500000</v>
      </c>
    </row>
    <row r="99" spans="2:6" x14ac:dyDescent="0.25">
      <c r="B99" t="s">
        <v>59</v>
      </c>
      <c r="C99" t="s">
        <v>62</v>
      </c>
      <c r="F99" s="5">
        <v>5</v>
      </c>
    </row>
    <row r="100" spans="2:6" x14ac:dyDescent="0.25">
      <c r="B100" t="s">
        <v>60</v>
      </c>
      <c r="C100" t="s">
        <v>63</v>
      </c>
      <c r="F100" s="17">
        <v>0.2</v>
      </c>
    </row>
    <row r="102" spans="2:6" x14ac:dyDescent="0.25">
      <c r="B102" t="s">
        <v>64</v>
      </c>
    </row>
    <row r="103" spans="2:6" x14ac:dyDescent="0.25">
      <c r="B103" t="s">
        <v>65</v>
      </c>
      <c r="C103" s="5">
        <f>+F98*((1+F100)^F99*F100)/((1+F100)^F99-1)</f>
        <v>2507847.7746721138</v>
      </c>
    </row>
    <row r="104" spans="2:6" x14ac:dyDescent="0.25">
      <c r="B104" t="s">
        <v>65</v>
      </c>
      <c r="C104" s="5">
        <f>+PMT(F100,F99,-F98)</f>
        <v>2507847.7746721134</v>
      </c>
    </row>
    <row r="106" spans="2:6" x14ac:dyDescent="0.25">
      <c r="B106" s="21" t="s">
        <v>66</v>
      </c>
      <c r="C106" s="23" t="s">
        <v>67</v>
      </c>
      <c r="D106" s="23" t="s">
        <v>69</v>
      </c>
      <c r="E106" s="23" t="s">
        <v>68</v>
      </c>
      <c r="F106" s="23" t="s">
        <v>70</v>
      </c>
    </row>
    <row r="107" spans="2:6" x14ac:dyDescent="0.25">
      <c r="B107" s="18">
        <v>1</v>
      </c>
      <c r="C107" s="20">
        <f>+$C$104</f>
        <v>2507847.7746721134</v>
      </c>
      <c r="D107" s="20">
        <f>+F98</f>
        <v>7500000</v>
      </c>
      <c r="E107" s="20">
        <f>+D107*$F$100</f>
        <v>1500000</v>
      </c>
      <c r="F107" s="20">
        <f>+C107-E107</f>
        <v>1007847.7746721134</v>
      </c>
    </row>
    <row r="108" spans="2:6" x14ac:dyDescent="0.25">
      <c r="B108" s="18">
        <f>+B107+1</f>
        <v>2</v>
      </c>
      <c r="C108" s="20">
        <f t="shared" ref="C108:C111" si="43">+$C$104</f>
        <v>2507847.7746721134</v>
      </c>
      <c r="D108" s="20">
        <f>+D107-F107</f>
        <v>6492152.2253278866</v>
      </c>
      <c r="E108" s="20">
        <f t="shared" ref="E108:E111" si="44">+D108*$F$100</f>
        <v>1298430.4450655775</v>
      </c>
      <c r="F108" s="20">
        <f t="shared" ref="F108:F111" si="45">+C108-E108</f>
        <v>1209417.3296065358</v>
      </c>
    </row>
    <row r="109" spans="2:6" x14ac:dyDescent="0.25">
      <c r="B109" s="18">
        <f t="shared" ref="B109:B111" si="46">+B108+1</f>
        <v>3</v>
      </c>
      <c r="C109" s="20">
        <f t="shared" si="43"/>
        <v>2507847.7746721134</v>
      </c>
      <c r="D109" s="20">
        <f t="shared" ref="D109:D111" si="47">+D108-F108</f>
        <v>5282734.8957213508</v>
      </c>
      <c r="E109" s="20">
        <f t="shared" si="44"/>
        <v>1056546.9791442703</v>
      </c>
      <c r="F109" s="20">
        <f t="shared" si="45"/>
        <v>1451300.7955278431</v>
      </c>
    </row>
    <row r="110" spans="2:6" x14ac:dyDescent="0.25">
      <c r="B110" s="18">
        <f t="shared" si="46"/>
        <v>4</v>
      </c>
      <c r="C110" s="20">
        <f t="shared" si="43"/>
        <v>2507847.7746721134</v>
      </c>
      <c r="D110" s="20">
        <f t="shared" si="47"/>
        <v>3831434.100193508</v>
      </c>
      <c r="E110" s="20">
        <f t="shared" si="44"/>
        <v>766286.82003870164</v>
      </c>
      <c r="F110" s="20">
        <f t="shared" si="45"/>
        <v>1741560.9546334117</v>
      </c>
    </row>
    <row r="111" spans="2:6" x14ac:dyDescent="0.25">
      <c r="B111" s="18">
        <f t="shared" si="46"/>
        <v>5</v>
      </c>
      <c r="C111" s="20">
        <f t="shared" si="43"/>
        <v>2507847.7746721134</v>
      </c>
      <c r="D111" s="20">
        <f t="shared" si="47"/>
        <v>2089873.1455600963</v>
      </c>
      <c r="E111" s="20">
        <f t="shared" si="44"/>
        <v>417974.62911201926</v>
      </c>
      <c r="F111" s="20">
        <f t="shared" si="45"/>
        <v>2089873.1455600942</v>
      </c>
    </row>
    <row r="112" spans="2:6" x14ac:dyDescent="0.25">
      <c r="B112" s="21" t="s">
        <v>71</v>
      </c>
      <c r="C112" s="22">
        <f>SUM(C107:C111)</f>
        <v>12539238.873360567</v>
      </c>
      <c r="D112" s="22"/>
      <c r="E112" s="22">
        <f>SUM(E107:E111)</f>
        <v>5039238.8733605687</v>
      </c>
      <c r="F112" s="22">
        <f>SUM(F107:F111)</f>
        <v>7499999.9999999981</v>
      </c>
    </row>
    <row r="115" spans="2:11" x14ac:dyDescent="0.25">
      <c r="B115" s="12" t="s">
        <v>72</v>
      </c>
      <c r="C115" s="12"/>
    </row>
    <row r="116" spans="2:11" x14ac:dyDescent="0.25">
      <c r="B116" s="7" t="s">
        <v>37</v>
      </c>
      <c r="C116" s="7"/>
      <c r="D116" s="11">
        <v>0</v>
      </c>
      <c r="E116" s="11">
        <f>+D116+1</f>
        <v>1</v>
      </c>
      <c r="F116" s="11">
        <f t="shared" ref="F116:J116" si="48">+E116+1</f>
        <v>2</v>
      </c>
      <c r="G116" s="11">
        <f t="shared" si="48"/>
        <v>3</v>
      </c>
      <c r="H116" s="11">
        <f t="shared" si="48"/>
        <v>4</v>
      </c>
      <c r="I116" s="11">
        <f t="shared" si="48"/>
        <v>5</v>
      </c>
      <c r="J116" s="11">
        <f t="shared" si="48"/>
        <v>6</v>
      </c>
      <c r="K116" s="7" t="s">
        <v>19</v>
      </c>
    </row>
    <row r="117" spans="2:11" x14ac:dyDescent="0.25">
      <c r="B117" t="s">
        <v>14</v>
      </c>
      <c r="D117" s="5"/>
      <c r="E117" s="5">
        <f>+$H$19</f>
        <v>6000000</v>
      </c>
      <c r="F117" s="5">
        <f>+E117</f>
        <v>6000000</v>
      </c>
      <c r="G117" s="5">
        <f t="shared" ref="G117:J117" si="49">+F117</f>
        <v>6000000</v>
      </c>
      <c r="H117" s="5">
        <f t="shared" si="49"/>
        <v>6000000</v>
      </c>
      <c r="I117" s="5">
        <f t="shared" si="49"/>
        <v>6000000</v>
      </c>
      <c r="J117" s="5">
        <f t="shared" si="49"/>
        <v>6000000</v>
      </c>
      <c r="K117" t="s">
        <v>20</v>
      </c>
    </row>
    <row r="118" spans="2:11" x14ac:dyDescent="0.25">
      <c r="B118" t="s">
        <v>15</v>
      </c>
      <c r="D118" s="5">
        <f>+$H$6</f>
        <v>4000000</v>
      </c>
      <c r="J118" s="5"/>
      <c r="K118" t="s">
        <v>20</v>
      </c>
    </row>
    <row r="119" spans="2:11" x14ac:dyDescent="0.25">
      <c r="B119" t="s">
        <v>16</v>
      </c>
      <c r="E119" s="5">
        <f>-$H$18</f>
        <v>-2300000</v>
      </c>
      <c r="F119" s="5">
        <f>+E119</f>
        <v>-2300000</v>
      </c>
      <c r="G119" s="5">
        <f t="shared" ref="G119:J119" si="50">+F119</f>
        <v>-2300000</v>
      </c>
      <c r="H119" s="5">
        <f t="shared" si="50"/>
        <v>-2300000</v>
      </c>
      <c r="I119" s="5">
        <f t="shared" si="50"/>
        <v>-2300000</v>
      </c>
      <c r="J119" s="5">
        <f t="shared" si="50"/>
        <v>-2300000</v>
      </c>
      <c r="K119" t="s">
        <v>20</v>
      </c>
    </row>
    <row r="120" spans="2:11" x14ac:dyDescent="0.25">
      <c r="B120" t="s">
        <v>74</v>
      </c>
      <c r="E120" s="5">
        <f>-E107</f>
        <v>-1500000</v>
      </c>
      <c r="F120" s="5">
        <f>-E108</f>
        <v>-1298430.4450655775</v>
      </c>
      <c r="G120" s="5">
        <f>-E109</f>
        <v>-1056546.9791442703</v>
      </c>
      <c r="H120" s="5">
        <f>-E110</f>
        <v>-766286.82003870164</v>
      </c>
      <c r="I120" s="5">
        <f>-E111</f>
        <v>-417974.62911201926</v>
      </c>
      <c r="J120" s="5"/>
      <c r="K120" t="s">
        <v>74</v>
      </c>
    </row>
    <row r="121" spans="2:11" x14ac:dyDescent="0.25">
      <c r="B121" t="s">
        <v>17</v>
      </c>
      <c r="E121" s="5">
        <f t="shared" ref="E121:J121" si="51">-$G$74</f>
        <v>-1500000</v>
      </c>
      <c r="F121" s="5">
        <f t="shared" si="51"/>
        <v>-1500000</v>
      </c>
      <c r="G121" s="5">
        <f t="shared" si="51"/>
        <v>-1500000</v>
      </c>
      <c r="H121" s="5">
        <f t="shared" si="51"/>
        <v>-1500000</v>
      </c>
      <c r="I121" s="5">
        <f t="shared" si="51"/>
        <v>-1500000</v>
      </c>
      <c r="J121" s="5">
        <f t="shared" si="51"/>
        <v>-1500000</v>
      </c>
      <c r="K121" t="s">
        <v>34</v>
      </c>
    </row>
    <row r="122" spans="2:11" x14ac:dyDescent="0.25">
      <c r="B122" t="s">
        <v>52</v>
      </c>
      <c r="D122" s="5">
        <f>+F87</f>
        <v>-4800000</v>
      </c>
      <c r="E122" s="5"/>
      <c r="F122" s="5"/>
      <c r="G122" s="5"/>
      <c r="H122" s="5"/>
      <c r="I122" s="5"/>
      <c r="J122" s="5"/>
      <c r="K122" t="s">
        <v>34</v>
      </c>
    </row>
    <row r="123" spans="2:11" x14ac:dyDescent="0.25">
      <c r="B123" s="7" t="s">
        <v>23</v>
      </c>
      <c r="D123" s="6">
        <f>SUM(D117:D122)</f>
        <v>-800000</v>
      </c>
      <c r="E123" s="6">
        <f t="shared" ref="E123" si="52">SUM(E117:E122)</f>
        <v>700000</v>
      </c>
      <c r="F123" s="6">
        <f t="shared" ref="F123" si="53">SUM(F117:F122)</f>
        <v>901569.55493442249</v>
      </c>
      <c r="G123" s="6">
        <f t="shared" ref="G123" si="54">SUM(G117:G122)</f>
        <v>1143453.0208557295</v>
      </c>
      <c r="H123" s="6">
        <f t="shared" ref="H123" si="55">SUM(H117:H122)</f>
        <v>1433713.1799612986</v>
      </c>
      <c r="I123" s="6">
        <f t="shared" ref="I123" si="56">SUM(I117:I122)</f>
        <v>1782025.3708879808</v>
      </c>
      <c r="J123" s="6">
        <f t="shared" ref="J123" si="57">SUM(J117:J122)</f>
        <v>2200000</v>
      </c>
    </row>
    <row r="124" spans="2:11" x14ac:dyDescent="0.25">
      <c r="B124" t="s">
        <v>21</v>
      </c>
      <c r="D124" s="5">
        <f>-D123*35%</f>
        <v>280000</v>
      </c>
      <c r="E124" s="5">
        <f t="shared" ref="E124" si="58">-E123*35%</f>
        <v>-244999.99999999997</v>
      </c>
      <c r="F124" s="5">
        <f t="shared" ref="F124" si="59">-F123*35%</f>
        <v>-315549.34422704787</v>
      </c>
      <c r="G124" s="5">
        <f t="shared" ref="G124" si="60">-G123*35%</f>
        <v>-400208.55729950528</v>
      </c>
      <c r="H124" s="5">
        <f t="shared" ref="H124" si="61">-H123*35%</f>
        <v>-501799.61298645445</v>
      </c>
      <c r="I124" s="5">
        <f t="shared" ref="I124" si="62">-I123*35%</f>
        <v>-623708.87981079321</v>
      </c>
      <c r="J124" s="5">
        <f t="shared" ref="J124" si="63">-J123*35%</f>
        <v>-770000</v>
      </c>
    </row>
    <row r="125" spans="2:11" x14ac:dyDescent="0.25">
      <c r="B125" s="7" t="s">
        <v>35</v>
      </c>
      <c r="D125" s="6">
        <f>+D123+D124</f>
        <v>-520000</v>
      </c>
      <c r="E125" s="6">
        <f t="shared" ref="E125" si="64">+E123+E124</f>
        <v>455000</v>
      </c>
      <c r="F125" s="6">
        <f t="shared" ref="F125" si="65">+F123+F124</f>
        <v>586020.21070737462</v>
      </c>
      <c r="G125" s="6">
        <f t="shared" ref="G125" si="66">+G123+G124</f>
        <v>743244.46355622425</v>
      </c>
      <c r="H125" s="6">
        <f t="shared" ref="H125" si="67">+H123+H124</f>
        <v>931913.56697484409</v>
      </c>
      <c r="I125" s="6">
        <f t="shared" ref="I125" si="68">+I123+I124</f>
        <v>1158316.4910771875</v>
      </c>
      <c r="J125" s="6">
        <f t="shared" ref="J125" si="69">+J123+J124</f>
        <v>1430000</v>
      </c>
    </row>
    <row r="126" spans="2:11" x14ac:dyDescent="0.25">
      <c r="B126" t="s">
        <v>17</v>
      </c>
      <c r="D126" s="5"/>
      <c r="E126" s="5">
        <f>+$G$74</f>
        <v>1500000</v>
      </c>
      <c r="F126" s="5">
        <f t="shared" ref="F126:J126" si="70">+$G$74</f>
        <v>1500000</v>
      </c>
      <c r="G126" s="5">
        <f t="shared" si="70"/>
        <v>1500000</v>
      </c>
      <c r="H126" s="5">
        <f t="shared" si="70"/>
        <v>1500000</v>
      </c>
      <c r="I126" s="5">
        <f t="shared" si="70"/>
        <v>1500000</v>
      </c>
      <c r="J126" s="5">
        <f t="shared" si="70"/>
        <v>1500000</v>
      </c>
      <c r="K126" t="s">
        <v>36</v>
      </c>
    </row>
    <row r="127" spans="2:11" x14ac:dyDescent="0.25">
      <c r="B127" t="s">
        <v>53</v>
      </c>
      <c r="D127" s="5">
        <f>+F91</f>
        <v>4800000</v>
      </c>
      <c r="E127" s="5"/>
      <c r="F127" s="5"/>
      <c r="G127" s="5"/>
      <c r="H127" s="5"/>
      <c r="I127" s="5"/>
      <c r="J127" s="5"/>
      <c r="K127" t="s">
        <v>36</v>
      </c>
    </row>
    <row r="128" spans="2:11" x14ac:dyDescent="0.25">
      <c r="B128" t="s">
        <v>28</v>
      </c>
      <c r="D128" s="5">
        <f>-F71</f>
        <v>-15000000</v>
      </c>
      <c r="E128" s="5"/>
      <c r="F128" s="5"/>
      <c r="G128" s="5"/>
      <c r="H128" s="5"/>
      <c r="I128" s="5"/>
      <c r="J128" s="5"/>
      <c r="K128" t="s">
        <v>55</v>
      </c>
    </row>
    <row r="129" spans="2:11" x14ac:dyDescent="0.25">
      <c r="B129" t="s">
        <v>54</v>
      </c>
      <c r="D129" s="5"/>
      <c r="E129" s="5"/>
      <c r="F129" s="5"/>
      <c r="G129" s="5"/>
      <c r="H129" s="5"/>
      <c r="I129" s="5"/>
      <c r="J129" s="5">
        <f>+F83</f>
        <v>6975000</v>
      </c>
      <c r="K129" t="s">
        <v>55</v>
      </c>
    </row>
    <row r="130" spans="2:11" x14ac:dyDescent="0.25">
      <c r="B130" t="s">
        <v>75</v>
      </c>
      <c r="D130" s="5">
        <f>+F98</f>
        <v>7500000</v>
      </c>
      <c r="E130" s="5"/>
      <c r="F130" s="5"/>
      <c r="G130" s="5"/>
      <c r="H130" s="5"/>
      <c r="I130" s="5"/>
      <c r="J130" s="5"/>
    </row>
    <row r="131" spans="2:11" x14ac:dyDescent="0.25">
      <c r="B131" t="s">
        <v>76</v>
      </c>
      <c r="D131" s="5"/>
      <c r="E131" s="5">
        <f>-F107</f>
        <v>-1007847.7746721134</v>
      </c>
      <c r="F131" s="5">
        <f>-F108</f>
        <v>-1209417.3296065358</v>
      </c>
      <c r="G131" s="5">
        <f>-F109</f>
        <v>-1451300.7955278431</v>
      </c>
      <c r="H131" s="5">
        <f>-F110</f>
        <v>-1741560.9546334117</v>
      </c>
      <c r="I131" s="5">
        <f>-F111</f>
        <v>-2089873.1455600942</v>
      </c>
      <c r="J131" s="5"/>
    </row>
    <row r="132" spans="2:11" x14ac:dyDescent="0.25">
      <c r="B132" s="7" t="s">
        <v>24</v>
      </c>
      <c r="D132" s="6">
        <f>SUM(D125:D131)</f>
        <v>-3220000</v>
      </c>
      <c r="E132" s="6">
        <f t="shared" ref="E132:J132" si="71">SUM(E125:E131)</f>
        <v>947152.22532788664</v>
      </c>
      <c r="F132" s="6">
        <f t="shared" si="71"/>
        <v>876602.88110083877</v>
      </c>
      <c r="G132" s="6">
        <f t="shared" si="71"/>
        <v>791943.66802838142</v>
      </c>
      <c r="H132" s="6">
        <f t="shared" si="71"/>
        <v>690352.61234143213</v>
      </c>
      <c r="I132" s="6">
        <f t="shared" si="71"/>
        <v>568443.34551709332</v>
      </c>
      <c r="J132" s="6">
        <f t="shared" si="71"/>
        <v>9905000</v>
      </c>
    </row>
    <row r="133" spans="2:11" x14ac:dyDescent="0.25">
      <c r="B133" s="7" t="s">
        <v>25</v>
      </c>
      <c r="D133" s="6">
        <f>+D132/(1+0.15)^D116</f>
        <v>-3220000</v>
      </c>
      <c r="E133" s="6">
        <f t="shared" ref="E133" si="72">+E132/(1+0.15)^E116</f>
        <v>823610.63071990153</v>
      </c>
      <c r="F133" s="6">
        <f t="shared" ref="F133" si="73">+F132/(1+0.15)^F116</f>
        <v>662837.71727851708</v>
      </c>
      <c r="G133" s="6">
        <f t="shared" ref="G133" si="74">+G132/(1+0.15)^G116</f>
        <v>520715.81690039067</v>
      </c>
      <c r="H133" s="6">
        <f t="shared" ref="H133" si="75">+H132/(1+0.15)^H116</f>
        <v>394711.34670984303</v>
      </c>
      <c r="I133" s="6">
        <f t="shared" ref="I133" si="76">+I132/(1+0.15)^I116</f>
        <v>282616.80672622623</v>
      </c>
      <c r="J133" s="6">
        <f t="shared" ref="J133" si="77">+J132/(1+0.15)^J116</f>
        <v>4282204.8375039669</v>
      </c>
      <c r="K133" s="5"/>
    </row>
    <row r="134" spans="2:11" x14ac:dyDescent="0.25">
      <c r="B134" s="7" t="s">
        <v>26</v>
      </c>
      <c r="D134" s="6">
        <f>+D132+NPV(15%,E132:J132)</f>
        <v>3746697.1558388453</v>
      </c>
      <c r="F134" s="5"/>
      <c r="G134" s="5"/>
      <c r="H134" s="5"/>
      <c r="I134" s="5"/>
      <c r="J134" s="5"/>
    </row>
    <row r="135" spans="2:11" x14ac:dyDescent="0.25">
      <c r="B135" s="7" t="s">
        <v>26</v>
      </c>
      <c r="D135" s="6">
        <f>+SUM(D133:J133)</f>
        <v>3746697.1558388453</v>
      </c>
      <c r="E135" s="6"/>
      <c r="F135" s="5"/>
      <c r="G135" s="5"/>
      <c r="H135" s="5"/>
      <c r="I135" s="5"/>
      <c r="J135" s="5"/>
    </row>
    <row r="136" spans="2:11" x14ac:dyDescent="0.25">
      <c r="B136" s="7" t="s">
        <v>56</v>
      </c>
      <c r="D136" s="16">
        <f>+IRR(D132:J132)</f>
        <v>0.37626235923843598</v>
      </c>
      <c r="E136" s="6"/>
      <c r="F136" s="5"/>
      <c r="G136" s="5"/>
      <c r="H136" s="5"/>
      <c r="I136" s="5"/>
      <c r="J136" s="5"/>
    </row>
    <row r="139" spans="2:11" x14ac:dyDescent="0.25">
      <c r="B139" s="19"/>
      <c r="C139" s="23" t="s">
        <v>26</v>
      </c>
    </row>
    <row r="140" spans="2:11" x14ac:dyDescent="0.25">
      <c r="B140" s="23" t="s">
        <v>77</v>
      </c>
      <c r="C140" s="20">
        <f>+D65</f>
        <v>3384019.2746773753</v>
      </c>
    </row>
    <row r="141" spans="2:11" x14ac:dyDescent="0.25">
      <c r="B141" s="23" t="s">
        <v>78</v>
      </c>
      <c r="C141" s="20">
        <f>+D134</f>
        <v>3746697.1558388453</v>
      </c>
    </row>
    <row r="143" spans="2:11" x14ac:dyDescent="0.25">
      <c r="B143" s="19"/>
      <c r="C143" s="23" t="s">
        <v>56</v>
      </c>
    </row>
    <row r="144" spans="2:11" x14ac:dyDescent="0.25">
      <c r="B144" s="23" t="s">
        <v>79</v>
      </c>
      <c r="C144" s="24">
        <f>+D67</f>
        <v>0.24163457394298438</v>
      </c>
    </row>
    <row r="145" spans="2:6" x14ac:dyDescent="0.25">
      <c r="B145" s="23" t="s">
        <v>80</v>
      </c>
      <c r="C145" s="24">
        <f>+D136</f>
        <v>0.37626235923843598</v>
      </c>
    </row>
    <row r="148" spans="2:6" x14ac:dyDescent="0.25">
      <c r="B148" s="12" t="s">
        <v>47</v>
      </c>
      <c r="C148" s="14"/>
      <c r="D148" s="15"/>
      <c r="E148" s="15"/>
      <c r="F148" s="15"/>
    </row>
    <row r="149" spans="2:6" x14ac:dyDescent="0.25">
      <c r="B149" t="s">
        <v>50</v>
      </c>
      <c r="F149" s="5">
        <f>+F92</f>
        <v>4280000</v>
      </c>
    </row>
    <row r="150" spans="2:6" x14ac:dyDescent="0.25">
      <c r="B150" t="s">
        <v>28</v>
      </c>
      <c r="F150" s="5">
        <f>-F71</f>
        <v>-15000000</v>
      </c>
    </row>
    <row r="151" spans="2:6" ht="15.75" thickBot="1" x14ac:dyDescent="0.3">
      <c r="B151" s="51" t="s">
        <v>75</v>
      </c>
      <c r="C151" s="51"/>
      <c r="D151" s="51"/>
      <c r="E151" s="51"/>
      <c r="F151" s="52">
        <f>+F98</f>
        <v>7500000</v>
      </c>
    </row>
    <row r="152" spans="2:6" ht="15.75" thickTop="1" x14ac:dyDescent="0.25">
      <c r="B152" s="7" t="s">
        <v>51</v>
      </c>
      <c r="C152" s="7"/>
      <c r="D152" s="7"/>
      <c r="E152" s="7"/>
      <c r="F152" s="25">
        <f>SUM(F149:F151)</f>
        <v>-3220000</v>
      </c>
    </row>
  </sheetData>
  <mergeCells count="3">
    <mergeCell ref="B21:O21"/>
    <mergeCell ref="B3:O3"/>
    <mergeCell ref="B13:O13"/>
  </mergeCells>
  <pageMargins left="0.7" right="0.7" top="0.75" bottom="0.75" header="0.3" footer="0.3"/>
  <ignoredErrors>
    <ignoredError sqref="F8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2EFA-E169-4919-A8FA-BD3BDF6F517F}">
  <sheetPr>
    <tabColor rgb="FF66FF33"/>
  </sheetPr>
  <dimension ref="B2:M101"/>
  <sheetViews>
    <sheetView showGridLines="0" topLeftCell="A31" workbookViewId="0">
      <selection activeCell="N18" sqref="N18"/>
    </sheetView>
  </sheetViews>
  <sheetFormatPr baseColWidth="10" defaultRowHeight="15" x14ac:dyDescent="0.25"/>
  <cols>
    <col min="2" max="2" width="33.140625" customWidth="1"/>
  </cols>
  <sheetData>
    <row r="2" spans="2:12" x14ac:dyDescent="0.25">
      <c r="B2" s="10" t="s">
        <v>129</v>
      </c>
      <c r="C2" s="10"/>
    </row>
    <row r="4" spans="2:12" ht="67.5" customHeight="1" x14ac:dyDescent="0.25">
      <c r="B4" s="64" t="s">
        <v>81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2:12" x14ac:dyDescent="0.25">
      <c r="B5" s="64" t="s">
        <v>82</v>
      </c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2:12" x14ac:dyDescent="0.25">
      <c r="B6" s="63" t="s">
        <v>83</v>
      </c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2:12" x14ac:dyDescent="0.25">
      <c r="B7" s="63" t="s">
        <v>84</v>
      </c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2:12" x14ac:dyDescent="0.25">
      <c r="B8" s="63" t="s">
        <v>85</v>
      </c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2:12" x14ac:dyDescent="0.25">
      <c r="B9" s="63" t="s">
        <v>86</v>
      </c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2:12" x14ac:dyDescent="0.25">
      <c r="B10" s="63" t="s">
        <v>87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</row>
    <row r="11" spans="2:12" x14ac:dyDescent="0.25">
      <c r="B11" s="63" t="s">
        <v>88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2:12" x14ac:dyDescent="0.25">
      <c r="B12" s="63" t="s">
        <v>89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2:12" x14ac:dyDescent="0.25">
      <c r="B13" s="63" t="s">
        <v>90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</row>
    <row r="14" spans="2:12" x14ac:dyDescent="0.25">
      <c r="B14" s="63" t="s">
        <v>91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</row>
    <row r="15" spans="2:12" x14ac:dyDescent="0.25">
      <c r="B15" s="63" t="s">
        <v>92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</row>
    <row r="16" spans="2:12" x14ac:dyDescent="0.25">
      <c r="B16" s="63" t="s">
        <v>93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2:12" ht="32.25" customHeight="1" x14ac:dyDescent="0.25">
      <c r="B17" s="63" t="s">
        <v>94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20" spans="2:12" ht="15.75" x14ac:dyDescent="0.25">
      <c r="B20" s="30" t="s">
        <v>95</v>
      </c>
      <c r="C20" s="26" t="s">
        <v>96</v>
      </c>
      <c r="D20" s="27"/>
    </row>
    <row r="21" spans="2:12" ht="15.75" x14ac:dyDescent="0.25">
      <c r="B21" s="30" t="s">
        <v>97</v>
      </c>
      <c r="C21" s="26" t="s">
        <v>113</v>
      </c>
      <c r="D21" s="27"/>
    </row>
    <row r="22" spans="2:12" ht="15.75" x14ac:dyDescent="0.25">
      <c r="B22" s="26"/>
      <c r="C22" s="26" t="s">
        <v>114</v>
      </c>
      <c r="D22" s="27"/>
    </row>
    <row r="23" spans="2:12" ht="15.75" x14ac:dyDescent="0.25">
      <c r="B23" s="28" t="s">
        <v>106</v>
      </c>
      <c r="C23" s="29"/>
      <c r="D23" s="27"/>
    </row>
    <row r="24" spans="2:12" ht="15.75" x14ac:dyDescent="0.25">
      <c r="B24" s="28" t="s">
        <v>107</v>
      </c>
      <c r="C24" s="29"/>
      <c r="D24" s="27"/>
    </row>
    <row r="25" spans="2:12" ht="15.75" x14ac:dyDescent="0.25">
      <c r="B25" s="28" t="s">
        <v>115</v>
      </c>
      <c r="C25" s="29"/>
      <c r="D25" s="27"/>
    </row>
    <row r="26" spans="2:12" ht="15.75" x14ac:dyDescent="0.25">
      <c r="B26" s="28"/>
      <c r="C26" s="29" t="s">
        <v>116</v>
      </c>
      <c r="D26" s="27"/>
    </row>
    <row r="27" spans="2:12" ht="15.75" x14ac:dyDescent="0.25">
      <c r="B27" s="28" t="s">
        <v>108</v>
      </c>
      <c r="C27" s="29"/>
      <c r="D27" s="27"/>
    </row>
    <row r="28" spans="2:12" ht="15.75" x14ac:dyDescent="0.25">
      <c r="B28" s="27"/>
      <c r="C28" s="27"/>
      <c r="D28" s="26" t="s">
        <v>98</v>
      </c>
    </row>
    <row r="29" spans="2:12" ht="15.75" x14ac:dyDescent="0.25">
      <c r="B29" s="30" t="s">
        <v>99</v>
      </c>
      <c r="C29" s="26" t="s">
        <v>100</v>
      </c>
      <c r="D29" s="27"/>
    </row>
    <row r="30" spans="2:12" ht="15.75" x14ac:dyDescent="0.25">
      <c r="B30" s="27"/>
      <c r="C30" s="26" t="s">
        <v>101</v>
      </c>
      <c r="D30" s="27"/>
    </row>
    <row r="31" spans="2:12" ht="15.75" x14ac:dyDescent="0.25">
      <c r="B31" s="27"/>
      <c r="C31" s="26" t="s">
        <v>102</v>
      </c>
      <c r="D31" s="27"/>
    </row>
    <row r="32" spans="2:12" ht="15.75" x14ac:dyDescent="0.25">
      <c r="B32" s="30" t="s">
        <v>103</v>
      </c>
      <c r="C32" s="26" t="s">
        <v>104</v>
      </c>
      <c r="D32" s="27"/>
    </row>
    <row r="33" spans="2:13" ht="15.75" x14ac:dyDescent="0.25">
      <c r="B33" s="28" t="s">
        <v>109</v>
      </c>
      <c r="C33" s="29"/>
      <c r="D33" s="27"/>
    </row>
    <row r="34" spans="2:13" ht="15.75" x14ac:dyDescent="0.25">
      <c r="B34" s="28" t="s">
        <v>110</v>
      </c>
      <c r="C34" s="29"/>
      <c r="D34" s="27"/>
    </row>
    <row r="35" spans="2:13" ht="15.75" x14ac:dyDescent="0.25">
      <c r="B35" s="28" t="s">
        <v>111</v>
      </c>
      <c r="C35" s="29"/>
      <c r="D35" s="27"/>
    </row>
    <row r="36" spans="2:13" ht="15.75" x14ac:dyDescent="0.25">
      <c r="B36" s="28" t="s">
        <v>112</v>
      </c>
      <c r="C36" s="29"/>
      <c r="D36" s="27"/>
    </row>
    <row r="37" spans="2:13" ht="15.75" x14ac:dyDescent="0.25">
      <c r="B37" s="27"/>
      <c r="C37" s="26" t="s">
        <v>117</v>
      </c>
      <c r="D37" s="27"/>
    </row>
    <row r="38" spans="2:13" ht="15.75" x14ac:dyDescent="0.25">
      <c r="B38" s="27"/>
      <c r="C38" s="26" t="s">
        <v>118</v>
      </c>
      <c r="D38" s="27"/>
    </row>
    <row r="39" spans="2:13" ht="15.75" x14ac:dyDescent="0.25">
      <c r="B39" s="30" t="s">
        <v>105</v>
      </c>
      <c r="C39" s="26" t="s">
        <v>119</v>
      </c>
      <c r="D39" s="27"/>
    </row>
    <row r="40" spans="2:13" ht="15.75" x14ac:dyDescent="0.25">
      <c r="C40" s="26" t="s">
        <v>120</v>
      </c>
    </row>
    <row r="41" spans="2:13" ht="15.75" x14ac:dyDescent="0.25">
      <c r="C41" s="26" t="s">
        <v>121</v>
      </c>
    </row>
    <row r="44" spans="2:13" x14ac:dyDescent="0.25">
      <c r="B44" s="8" t="s">
        <v>32</v>
      </c>
      <c r="C44" s="9"/>
    </row>
    <row r="46" spans="2:13" x14ac:dyDescent="0.25">
      <c r="B46" s="7" t="s">
        <v>134</v>
      </c>
      <c r="C46" s="11">
        <v>0</v>
      </c>
      <c r="D46" s="11">
        <f>+C46+1</f>
        <v>1</v>
      </c>
      <c r="E46" s="11">
        <f t="shared" ref="E46:M46" si="0">+D46+1</f>
        <v>2</v>
      </c>
      <c r="F46" s="11">
        <f t="shared" si="0"/>
        <v>3</v>
      </c>
      <c r="G46" s="11">
        <f t="shared" si="0"/>
        <v>4</v>
      </c>
      <c r="H46" s="11">
        <f t="shared" si="0"/>
        <v>5</v>
      </c>
      <c r="I46" s="11">
        <f t="shared" si="0"/>
        <v>6</v>
      </c>
      <c r="J46" s="11">
        <f t="shared" si="0"/>
        <v>7</v>
      </c>
      <c r="K46" s="11">
        <f t="shared" si="0"/>
        <v>8</v>
      </c>
      <c r="L46" s="11">
        <f t="shared" si="0"/>
        <v>9</v>
      </c>
      <c r="M46" s="11">
        <f t="shared" si="0"/>
        <v>10</v>
      </c>
    </row>
    <row r="47" spans="2:13" x14ac:dyDescent="0.25">
      <c r="B47" t="s">
        <v>122</v>
      </c>
      <c r="C47" s="3">
        <v>10000000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B48" t="s">
        <v>123</v>
      </c>
      <c r="C48" s="3">
        <v>15000</v>
      </c>
      <c r="D48" s="3">
        <f>+$F$48*15%</f>
        <v>2250</v>
      </c>
      <c r="E48" s="3">
        <f>+$F$48*70%</f>
        <v>10500</v>
      </c>
      <c r="F48" s="3">
        <v>15000</v>
      </c>
      <c r="G48" s="3">
        <v>15000</v>
      </c>
      <c r="H48" s="3">
        <v>15000</v>
      </c>
      <c r="I48" s="3">
        <v>15000</v>
      </c>
      <c r="J48" s="3">
        <v>15000</v>
      </c>
      <c r="K48" s="3">
        <v>15000</v>
      </c>
      <c r="L48" s="3">
        <v>15000</v>
      </c>
      <c r="M48" s="3">
        <v>15000</v>
      </c>
    </row>
    <row r="49" spans="2:13" x14ac:dyDescent="0.25">
      <c r="B49" t="s">
        <v>124</v>
      </c>
      <c r="C49" s="3">
        <v>180</v>
      </c>
      <c r="D49" s="3">
        <f>+$C$49</f>
        <v>180</v>
      </c>
      <c r="E49" s="3">
        <f t="shared" ref="E49:M49" si="1">+$C$49</f>
        <v>180</v>
      </c>
      <c r="F49" s="3">
        <f t="shared" si="1"/>
        <v>180</v>
      </c>
      <c r="G49" s="3">
        <f t="shared" si="1"/>
        <v>180</v>
      </c>
      <c r="H49" s="3">
        <f t="shared" si="1"/>
        <v>180</v>
      </c>
      <c r="I49" s="3">
        <f t="shared" si="1"/>
        <v>180</v>
      </c>
      <c r="J49" s="3">
        <f t="shared" si="1"/>
        <v>180</v>
      </c>
      <c r="K49" s="3">
        <f t="shared" si="1"/>
        <v>180</v>
      </c>
      <c r="L49" s="3">
        <f t="shared" si="1"/>
        <v>180</v>
      </c>
      <c r="M49" s="3">
        <f t="shared" si="1"/>
        <v>180</v>
      </c>
    </row>
    <row r="50" spans="2:13" x14ac:dyDescent="0.25">
      <c r="B50" t="s">
        <v>125</v>
      </c>
      <c r="C50" s="3">
        <v>6</v>
      </c>
      <c r="D50" s="2">
        <f>+C50*1.1</f>
        <v>6.6000000000000005</v>
      </c>
      <c r="E50" s="2">
        <f t="shared" ref="E50:M50" si="2">+D50*1.1</f>
        <v>7.2600000000000016</v>
      </c>
      <c r="F50" s="2">
        <f t="shared" si="2"/>
        <v>7.9860000000000024</v>
      </c>
      <c r="G50" s="2">
        <f t="shared" si="2"/>
        <v>8.7846000000000029</v>
      </c>
      <c r="H50" s="2">
        <f t="shared" si="2"/>
        <v>9.6630600000000033</v>
      </c>
      <c r="I50" s="2">
        <f t="shared" si="2"/>
        <v>10.629366000000005</v>
      </c>
      <c r="J50" s="2">
        <f t="shared" si="2"/>
        <v>11.692302600000007</v>
      </c>
      <c r="K50" s="2">
        <f t="shared" si="2"/>
        <v>12.861532860000008</v>
      </c>
      <c r="L50" s="2">
        <f t="shared" si="2"/>
        <v>14.147686146000009</v>
      </c>
      <c r="M50" s="2">
        <f t="shared" si="2"/>
        <v>15.56245476060001</v>
      </c>
    </row>
    <row r="51" spans="2:13" x14ac:dyDescent="0.25">
      <c r="B51" t="s">
        <v>126</v>
      </c>
      <c r="C51" s="3" t="s">
        <v>130</v>
      </c>
      <c r="D51" s="3">
        <f>+D50*10</f>
        <v>66</v>
      </c>
      <c r="E51" s="3">
        <f t="shared" ref="E51:M51" si="3">+E50*10</f>
        <v>72.600000000000023</v>
      </c>
      <c r="F51" s="3">
        <f t="shared" si="3"/>
        <v>79.860000000000028</v>
      </c>
      <c r="G51" s="3">
        <f t="shared" si="3"/>
        <v>87.846000000000032</v>
      </c>
      <c r="H51" s="3">
        <f t="shared" si="3"/>
        <v>96.63060000000003</v>
      </c>
      <c r="I51" s="3">
        <f t="shared" si="3"/>
        <v>106.29366000000005</v>
      </c>
      <c r="J51" s="3">
        <f t="shared" si="3"/>
        <v>116.92302600000006</v>
      </c>
      <c r="K51" s="3">
        <f t="shared" si="3"/>
        <v>128.61532860000008</v>
      </c>
      <c r="L51" s="3">
        <f t="shared" si="3"/>
        <v>141.47686146000009</v>
      </c>
      <c r="M51" s="3">
        <f t="shared" si="3"/>
        <v>155.62454760600011</v>
      </c>
    </row>
    <row r="52" spans="2:13" x14ac:dyDescent="0.25">
      <c r="B52" t="s">
        <v>127</v>
      </c>
      <c r="C52" s="31">
        <v>0.16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5">
      <c r="B53" t="s">
        <v>128</v>
      </c>
      <c r="C53" s="31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5">
      <c r="B54" t="s">
        <v>135</v>
      </c>
      <c r="C54" s="3">
        <v>800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x14ac:dyDescent="0.25">
      <c r="B55" t="s">
        <v>136</v>
      </c>
      <c r="C55" s="3">
        <v>3000000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x14ac:dyDescent="0.25">
      <c r="B56" t="s">
        <v>137</v>
      </c>
      <c r="C56" s="3">
        <v>8</v>
      </c>
      <c r="D56" s="3" t="s">
        <v>138</v>
      </c>
      <c r="E56" s="3"/>
      <c r="F56" s="3"/>
      <c r="G56" s="3"/>
      <c r="H56" s="3"/>
      <c r="I56" s="3"/>
      <c r="J56" s="3"/>
      <c r="K56" s="3"/>
      <c r="L56" s="3"/>
      <c r="M56" s="3"/>
    </row>
    <row r="57" spans="2:13" x14ac:dyDescent="0.25">
      <c r="B57" t="s">
        <v>54</v>
      </c>
      <c r="C57" s="31">
        <v>0.1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5">
      <c r="B59" s="23" t="s">
        <v>66</v>
      </c>
      <c r="C59" s="33">
        <f>+C46</f>
        <v>0</v>
      </c>
      <c r="D59" s="33">
        <f t="shared" ref="D59:M59" si="4">+D46</f>
        <v>1</v>
      </c>
      <c r="E59" s="33">
        <f t="shared" si="4"/>
        <v>2</v>
      </c>
      <c r="F59" s="33">
        <f t="shared" si="4"/>
        <v>3</v>
      </c>
      <c r="G59" s="33">
        <f t="shared" si="4"/>
        <v>4</v>
      </c>
      <c r="H59" s="33">
        <f t="shared" si="4"/>
        <v>5</v>
      </c>
      <c r="I59" s="33">
        <f t="shared" si="4"/>
        <v>6</v>
      </c>
      <c r="J59" s="33">
        <f t="shared" si="4"/>
        <v>7</v>
      </c>
      <c r="K59" s="33">
        <f t="shared" si="4"/>
        <v>8</v>
      </c>
      <c r="L59" s="33">
        <f t="shared" si="4"/>
        <v>9</v>
      </c>
      <c r="M59" s="33">
        <f t="shared" si="4"/>
        <v>10</v>
      </c>
    </row>
    <row r="60" spans="2:13" x14ac:dyDescent="0.25">
      <c r="B60" s="19" t="s">
        <v>14</v>
      </c>
      <c r="C60" s="34"/>
      <c r="D60" s="34">
        <f>+D48*$C$54</f>
        <v>1800000</v>
      </c>
      <c r="E60" s="34">
        <f t="shared" ref="E60:M60" si="5">+E48*$C$54</f>
        <v>8400000</v>
      </c>
      <c r="F60" s="34">
        <f t="shared" si="5"/>
        <v>12000000</v>
      </c>
      <c r="G60" s="34">
        <f t="shared" si="5"/>
        <v>12000000</v>
      </c>
      <c r="H60" s="34">
        <f t="shared" si="5"/>
        <v>12000000</v>
      </c>
      <c r="I60" s="34">
        <f t="shared" si="5"/>
        <v>12000000</v>
      </c>
      <c r="J60" s="34">
        <f t="shared" si="5"/>
        <v>12000000</v>
      </c>
      <c r="K60" s="34">
        <f t="shared" si="5"/>
        <v>12000000</v>
      </c>
      <c r="L60" s="34">
        <f t="shared" si="5"/>
        <v>12000000</v>
      </c>
      <c r="M60" s="34">
        <f t="shared" si="5"/>
        <v>12000000</v>
      </c>
    </row>
    <row r="61" spans="2:13" x14ac:dyDescent="0.25">
      <c r="B61" s="19" t="s">
        <v>124</v>
      </c>
      <c r="C61" s="34"/>
      <c r="D61" s="34">
        <f>-D48*D49</f>
        <v>-405000</v>
      </c>
      <c r="E61" s="34">
        <f t="shared" ref="E61:M61" si="6">-E48*E49</f>
        <v>-1890000</v>
      </c>
      <c r="F61" s="34">
        <f t="shared" si="6"/>
        <v>-2700000</v>
      </c>
      <c r="G61" s="34">
        <f t="shared" si="6"/>
        <v>-2700000</v>
      </c>
      <c r="H61" s="34">
        <f t="shared" si="6"/>
        <v>-2700000</v>
      </c>
      <c r="I61" s="34">
        <f t="shared" si="6"/>
        <v>-2700000</v>
      </c>
      <c r="J61" s="34">
        <f t="shared" si="6"/>
        <v>-2700000</v>
      </c>
      <c r="K61" s="34">
        <f t="shared" si="6"/>
        <v>-2700000</v>
      </c>
      <c r="L61" s="34">
        <f t="shared" si="6"/>
        <v>-2700000</v>
      </c>
      <c r="M61" s="34">
        <f t="shared" si="6"/>
        <v>-2700000</v>
      </c>
    </row>
    <row r="62" spans="2:13" x14ac:dyDescent="0.25">
      <c r="B62" s="19" t="s">
        <v>126</v>
      </c>
      <c r="C62" s="34"/>
      <c r="D62" s="34">
        <f>-D48*D51</f>
        <v>-148500</v>
      </c>
      <c r="E62" s="34">
        <f t="shared" ref="E62:M62" si="7">-E48*E51</f>
        <v>-762300.00000000023</v>
      </c>
      <c r="F62" s="34">
        <f t="shared" si="7"/>
        <v>-1197900.0000000005</v>
      </c>
      <c r="G62" s="34">
        <f t="shared" si="7"/>
        <v>-1317690.0000000005</v>
      </c>
      <c r="H62" s="34">
        <f t="shared" si="7"/>
        <v>-1449459.0000000005</v>
      </c>
      <c r="I62" s="34">
        <f t="shared" si="7"/>
        <v>-1594404.9000000006</v>
      </c>
      <c r="J62" s="34">
        <f t="shared" si="7"/>
        <v>-1753845.3900000011</v>
      </c>
      <c r="K62" s="34">
        <f t="shared" si="7"/>
        <v>-1929229.9290000012</v>
      </c>
      <c r="L62" s="34">
        <f t="shared" si="7"/>
        <v>-2122152.9219000014</v>
      </c>
      <c r="M62" s="34">
        <f t="shared" si="7"/>
        <v>-2334368.2140900018</v>
      </c>
    </row>
    <row r="63" spans="2:13" x14ac:dyDescent="0.25">
      <c r="B63" s="19" t="s">
        <v>131</v>
      </c>
      <c r="C63" s="34"/>
      <c r="D63" s="34">
        <f>-$C$55</f>
        <v>-3000000</v>
      </c>
      <c r="E63" s="34">
        <f t="shared" ref="E63:M63" si="8">-$C$55</f>
        <v>-3000000</v>
      </c>
      <c r="F63" s="34">
        <f t="shared" si="8"/>
        <v>-3000000</v>
      </c>
      <c r="G63" s="34">
        <f t="shared" si="8"/>
        <v>-3000000</v>
      </c>
      <c r="H63" s="34">
        <f t="shared" si="8"/>
        <v>-3000000</v>
      </c>
      <c r="I63" s="34">
        <f t="shared" si="8"/>
        <v>-3000000</v>
      </c>
      <c r="J63" s="34">
        <f t="shared" si="8"/>
        <v>-3000000</v>
      </c>
      <c r="K63" s="34">
        <f t="shared" si="8"/>
        <v>-3000000</v>
      </c>
      <c r="L63" s="34">
        <f t="shared" si="8"/>
        <v>-3000000</v>
      </c>
      <c r="M63" s="34">
        <f t="shared" si="8"/>
        <v>-3000000</v>
      </c>
    </row>
    <row r="64" spans="2:13" ht="15.75" thickBot="1" x14ac:dyDescent="0.3">
      <c r="B64" s="39" t="s">
        <v>17</v>
      </c>
      <c r="C64" s="40"/>
      <c r="D64" s="40">
        <f>-$C$47*(1-0)/$C$56</f>
        <v>-1250000</v>
      </c>
      <c r="E64" s="40">
        <f t="shared" ref="E64:K64" si="9">-$C$47*(1-0)/$C$56</f>
        <v>-1250000</v>
      </c>
      <c r="F64" s="40">
        <f t="shared" si="9"/>
        <v>-1250000</v>
      </c>
      <c r="G64" s="40">
        <f t="shared" si="9"/>
        <v>-1250000</v>
      </c>
      <c r="H64" s="40">
        <f t="shared" si="9"/>
        <v>-1250000</v>
      </c>
      <c r="I64" s="40">
        <f t="shared" si="9"/>
        <v>-1250000</v>
      </c>
      <c r="J64" s="40">
        <f t="shared" si="9"/>
        <v>-1250000</v>
      </c>
      <c r="K64" s="40">
        <f t="shared" si="9"/>
        <v>-1250000</v>
      </c>
      <c r="L64" s="40"/>
      <c r="M64" s="40"/>
    </row>
    <row r="65" spans="2:13" s="7" customFormat="1" ht="15.75" thickTop="1" x14ac:dyDescent="0.25">
      <c r="B65" s="37" t="s">
        <v>18</v>
      </c>
      <c r="C65" s="38">
        <f>SUM(C60:C64)</f>
        <v>0</v>
      </c>
      <c r="D65" s="38">
        <f t="shared" ref="D65:M65" si="10">SUM(D60:D64)</f>
        <v>-3003500</v>
      </c>
      <c r="E65" s="38">
        <f t="shared" si="10"/>
        <v>1497700</v>
      </c>
      <c r="F65" s="38">
        <f t="shared" si="10"/>
        <v>3852100</v>
      </c>
      <c r="G65" s="38">
        <f t="shared" si="10"/>
        <v>3732310</v>
      </c>
      <c r="H65" s="38">
        <f t="shared" si="10"/>
        <v>3600541</v>
      </c>
      <c r="I65" s="38">
        <f t="shared" si="10"/>
        <v>3455595.0999999996</v>
      </c>
      <c r="J65" s="38">
        <f t="shared" si="10"/>
        <v>3296154.6099999994</v>
      </c>
      <c r="K65" s="38">
        <f t="shared" si="10"/>
        <v>3120770.0709999986</v>
      </c>
      <c r="L65" s="38">
        <f t="shared" si="10"/>
        <v>4177847.0780999986</v>
      </c>
      <c r="M65" s="38">
        <f t="shared" si="10"/>
        <v>3965631.7859099982</v>
      </c>
    </row>
    <row r="66" spans="2:13" ht="15.75" thickBot="1" x14ac:dyDescent="0.3">
      <c r="B66" s="39" t="s">
        <v>128</v>
      </c>
      <c r="C66" s="40">
        <f>-C65*$C$53</f>
        <v>0</v>
      </c>
      <c r="D66" s="40">
        <f t="shared" ref="D66:M66" si="11">-D65*$C$53</f>
        <v>1051225</v>
      </c>
      <c r="E66" s="40">
        <f t="shared" si="11"/>
        <v>-524194.99999999994</v>
      </c>
      <c r="F66" s="40">
        <f t="shared" si="11"/>
        <v>-1348235</v>
      </c>
      <c r="G66" s="40">
        <f t="shared" si="11"/>
        <v>-1306308.5</v>
      </c>
      <c r="H66" s="40">
        <f t="shared" si="11"/>
        <v>-1260189.3499999999</v>
      </c>
      <c r="I66" s="40">
        <f t="shared" si="11"/>
        <v>-1209458.2849999997</v>
      </c>
      <c r="J66" s="40">
        <f t="shared" si="11"/>
        <v>-1153654.1134999997</v>
      </c>
      <c r="K66" s="40">
        <f t="shared" si="11"/>
        <v>-1092269.5248499995</v>
      </c>
      <c r="L66" s="40">
        <f t="shared" si="11"/>
        <v>-1462246.4773349995</v>
      </c>
      <c r="M66" s="40">
        <f t="shared" si="11"/>
        <v>-1387971.1250684992</v>
      </c>
    </row>
    <row r="67" spans="2:13" s="7" customFormat="1" ht="15.75" thickTop="1" x14ac:dyDescent="0.25">
      <c r="B67" s="23" t="s">
        <v>35</v>
      </c>
      <c r="C67" s="35">
        <f>+SUM(C65:C66)</f>
        <v>0</v>
      </c>
      <c r="D67" s="35">
        <f t="shared" ref="D67:M67" si="12">+SUM(D65:D66)</f>
        <v>-1952275</v>
      </c>
      <c r="E67" s="35">
        <f t="shared" si="12"/>
        <v>973505</v>
      </c>
      <c r="F67" s="35">
        <f t="shared" si="12"/>
        <v>2503865</v>
      </c>
      <c r="G67" s="35">
        <f t="shared" si="12"/>
        <v>2426001.5</v>
      </c>
      <c r="H67" s="35">
        <f t="shared" si="12"/>
        <v>2340351.6500000004</v>
      </c>
      <c r="I67" s="35">
        <f t="shared" si="12"/>
        <v>2246136.8149999999</v>
      </c>
      <c r="J67" s="35">
        <f t="shared" si="12"/>
        <v>2142500.4964999994</v>
      </c>
      <c r="K67" s="35">
        <f t="shared" si="12"/>
        <v>2028500.5461499991</v>
      </c>
      <c r="L67" s="35">
        <f t="shared" si="12"/>
        <v>2715600.6007649992</v>
      </c>
      <c r="M67" s="35">
        <f t="shared" si="12"/>
        <v>2577660.660841499</v>
      </c>
    </row>
    <row r="68" spans="2:13" x14ac:dyDescent="0.25">
      <c r="B68" s="19" t="s">
        <v>17</v>
      </c>
      <c r="C68" s="34"/>
      <c r="D68" s="34">
        <f>-D64</f>
        <v>1250000</v>
      </c>
      <c r="E68" s="34">
        <f t="shared" ref="E68:K68" si="13">-E64</f>
        <v>1250000</v>
      </c>
      <c r="F68" s="34">
        <f t="shared" si="13"/>
        <v>1250000</v>
      </c>
      <c r="G68" s="34">
        <f t="shared" si="13"/>
        <v>1250000</v>
      </c>
      <c r="H68" s="34">
        <f t="shared" si="13"/>
        <v>1250000</v>
      </c>
      <c r="I68" s="34">
        <f t="shared" si="13"/>
        <v>1250000</v>
      </c>
      <c r="J68" s="34">
        <f t="shared" si="13"/>
        <v>1250000</v>
      </c>
      <c r="K68" s="34">
        <f t="shared" si="13"/>
        <v>1250000</v>
      </c>
      <c r="L68" s="34"/>
      <c r="M68" s="34"/>
    </row>
    <row r="69" spans="2:13" x14ac:dyDescent="0.25">
      <c r="B69" s="19" t="s">
        <v>28</v>
      </c>
      <c r="C69" s="34">
        <f>-C47</f>
        <v>-10000000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2:13" ht="15.75" thickBot="1" x14ac:dyDescent="0.3">
      <c r="B70" s="39" t="s">
        <v>54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>
        <f>+C47*C57</f>
        <v>1000000</v>
      </c>
    </row>
    <row r="71" spans="2:13" s="7" customFormat="1" ht="15.75" thickTop="1" x14ac:dyDescent="0.25">
      <c r="B71" s="23" t="s">
        <v>132</v>
      </c>
      <c r="C71" s="35">
        <f t="shared" ref="C71:L71" si="14">SUM(C67:C70)</f>
        <v>-10000000</v>
      </c>
      <c r="D71" s="35">
        <f t="shared" si="14"/>
        <v>-702275</v>
      </c>
      <c r="E71" s="35">
        <f t="shared" si="14"/>
        <v>2223505</v>
      </c>
      <c r="F71" s="35">
        <f t="shared" si="14"/>
        <v>3753865</v>
      </c>
      <c r="G71" s="35">
        <f t="shared" si="14"/>
        <v>3676001.5</v>
      </c>
      <c r="H71" s="35">
        <f t="shared" si="14"/>
        <v>3590351.6500000004</v>
      </c>
      <c r="I71" s="35">
        <f t="shared" si="14"/>
        <v>3496136.8149999999</v>
      </c>
      <c r="J71" s="35">
        <f t="shared" si="14"/>
        <v>3392500.4964999994</v>
      </c>
      <c r="K71" s="35">
        <f t="shared" si="14"/>
        <v>3278500.5461499989</v>
      </c>
      <c r="L71" s="35">
        <f t="shared" si="14"/>
        <v>2715600.6007649992</v>
      </c>
      <c r="M71" s="35">
        <f>SUM(M67:M70)</f>
        <v>3577660.660841499</v>
      </c>
    </row>
    <row r="72" spans="2:13" s="7" customFormat="1" x14ac:dyDescent="0.25">
      <c r="B72" s="23" t="s">
        <v>133</v>
      </c>
      <c r="C72" s="35">
        <f>+C71/(1+$C$52)^C59</f>
        <v>-10000000</v>
      </c>
      <c r="D72" s="35">
        <f t="shared" ref="D72:M72" si="15">+D71/(1+$C$52)^D59</f>
        <v>-605409.48275862075</v>
      </c>
      <c r="E72" s="35">
        <f t="shared" si="15"/>
        <v>1652426.4268727705</v>
      </c>
      <c r="F72" s="35">
        <f t="shared" si="15"/>
        <v>2404942.4176883022</v>
      </c>
      <c r="G72" s="35">
        <f t="shared" si="15"/>
        <v>2030222.904245272</v>
      </c>
      <c r="H72" s="35">
        <f t="shared" si="15"/>
        <v>1709413.1504788571</v>
      </c>
      <c r="I72" s="35">
        <f t="shared" si="15"/>
        <v>1434962.2769743581</v>
      </c>
      <c r="J72" s="35">
        <f t="shared" si="15"/>
        <v>1200366.8558136101</v>
      </c>
      <c r="K72" s="35">
        <f t="shared" si="15"/>
        <v>1000026.126701962</v>
      </c>
      <c r="L72" s="35">
        <f t="shared" si="15"/>
        <v>714075.27045631188</v>
      </c>
      <c r="M72" s="35">
        <f t="shared" si="15"/>
        <v>810997.01050942694</v>
      </c>
    </row>
    <row r="73" spans="2:13" s="7" customFormat="1" x14ac:dyDescent="0.25">
      <c r="B73" s="23" t="s">
        <v>26</v>
      </c>
      <c r="C73" s="35">
        <f>+SUM(C72:M72)</f>
        <v>2352022.9569822513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</row>
    <row r="74" spans="2:13" s="7" customFormat="1" x14ac:dyDescent="0.25">
      <c r="B74" s="23" t="s">
        <v>56</v>
      </c>
      <c r="C74" s="36">
        <f>+IRR(C71:M71)</f>
        <v>0.20758107565366912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</row>
    <row r="75" spans="2:1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3:1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3:1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3:1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3:1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3:1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3:1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3:1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3:1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3:1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3:1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3:1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3:1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3:1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3:1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3:1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3:1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3:1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3:1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3:1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3:1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</sheetData>
  <mergeCells count="14">
    <mergeCell ref="B9:L9"/>
    <mergeCell ref="B4:L4"/>
    <mergeCell ref="B5:L5"/>
    <mergeCell ref="B6:L6"/>
    <mergeCell ref="B7:L7"/>
    <mergeCell ref="B8:L8"/>
    <mergeCell ref="B16:L16"/>
    <mergeCell ref="B17:L17"/>
    <mergeCell ref="B10:L10"/>
    <mergeCell ref="B11:L11"/>
    <mergeCell ref="B12:L12"/>
    <mergeCell ref="B13:L13"/>
    <mergeCell ref="B14:L14"/>
    <mergeCell ref="B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5FBC-0F50-4DAA-9057-5F6E3B5509CC}">
  <sheetPr>
    <tabColor rgb="FF66FF33"/>
  </sheetPr>
  <dimension ref="B2:M101"/>
  <sheetViews>
    <sheetView showGridLines="0" topLeftCell="A40" workbookViewId="0">
      <selection activeCell="E62" sqref="E62"/>
    </sheetView>
  </sheetViews>
  <sheetFormatPr baseColWidth="10" defaultRowHeight="15" x14ac:dyDescent="0.25"/>
  <cols>
    <col min="2" max="2" width="33.140625" customWidth="1"/>
  </cols>
  <sheetData>
    <row r="2" spans="2:12" x14ac:dyDescent="0.25">
      <c r="B2" s="10" t="s">
        <v>129</v>
      </c>
      <c r="C2" s="10"/>
    </row>
    <row r="4" spans="2:12" ht="67.5" customHeight="1" x14ac:dyDescent="0.25">
      <c r="B4" s="64" t="s">
        <v>81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2:12" x14ac:dyDescent="0.25">
      <c r="B5" s="64" t="s">
        <v>82</v>
      </c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2:12" x14ac:dyDescent="0.25">
      <c r="B6" s="63" t="s">
        <v>83</v>
      </c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2:12" x14ac:dyDescent="0.25">
      <c r="B7" s="63" t="s">
        <v>84</v>
      </c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2:12" x14ac:dyDescent="0.25">
      <c r="B8" s="63" t="s">
        <v>85</v>
      </c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2:12" x14ac:dyDescent="0.25">
      <c r="B9" s="63" t="s">
        <v>86</v>
      </c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2:12" x14ac:dyDescent="0.25">
      <c r="B10" s="63" t="s">
        <v>87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</row>
    <row r="11" spans="2:12" x14ac:dyDescent="0.25">
      <c r="B11" s="63" t="s">
        <v>88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2:12" x14ac:dyDescent="0.25">
      <c r="B12" s="63" t="s">
        <v>89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2:12" x14ac:dyDescent="0.25">
      <c r="B13" s="63" t="s">
        <v>90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</row>
    <row r="14" spans="2:12" x14ac:dyDescent="0.25">
      <c r="B14" s="63" t="s">
        <v>91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</row>
    <row r="15" spans="2:12" x14ac:dyDescent="0.25">
      <c r="B15" s="63" t="s">
        <v>92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</row>
    <row r="16" spans="2:12" x14ac:dyDescent="0.25">
      <c r="B16" s="63" t="s">
        <v>93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2:12" ht="32.25" customHeight="1" x14ac:dyDescent="0.25">
      <c r="B17" s="63" t="s">
        <v>94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20" spans="2:12" ht="15.75" x14ac:dyDescent="0.25">
      <c r="B20" s="30" t="s">
        <v>95</v>
      </c>
      <c r="C20" s="26" t="s">
        <v>96</v>
      </c>
      <c r="D20" s="27"/>
    </row>
    <row r="21" spans="2:12" ht="15.75" x14ac:dyDescent="0.25">
      <c r="B21" s="30" t="s">
        <v>97</v>
      </c>
      <c r="C21" s="26" t="s">
        <v>113</v>
      </c>
      <c r="D21" s="27"/>
    </row>
    <row r="22" spans="2:12" ht="15.75" x14ac:dyDescent="0.25">
      <c r="B22" s="26"/>
      <c r="C22" s="26" t="s">
        <v>114</v>
      </c>
      <c r="D22" s="27"/>
    </row>
    <row r="23" spans="2:12" ht="15.75" x14ac:dyDescent="0.25">
      <c r="B23" s="28" t="s">
        <v>106</v>
      </c>
      <c r="C23" s="29"/>
      <c r="D23" s="27"/>
    </row>
    <row r="24" spans="2:12" ht="15.75" x14ac:dyDescent="0.25">
      <c r="B24" s="28" t="s">
        <v>107</v>
      </c>
      <c r="C24" s="29"/>
      <c r="D24" s="27"/>
    </row>
    <row r="25" spans="2:12" ht="15.75" x14ac:dyDescent="0.25">
      <c r="B25" s="28" t="s">
        <v>115</v>
      </c>
      <c r="C25" s="29"/>
      <c r="D25" s="27"/>
    </row>
    <row r="26" spans="2:12" ht="15.75" x14ac:dyDescent="0.25">
      <c r="B26" s="28"/>
      <c r="C26" s="29" t="s">
        <v>116</v>
      </c>
      <c r="D26" s="27"/>
    </row>
    <row r="27" spans="2:12" ht="15.75" x14ac:dyDescent="0.25">
      <c r="B27" s="28" t="s">
        <v>108</v>
      </c>
      <c r="C27" s="29"/>
      <c r="D27" s="27"/>
    </row>
    <row r="28" spans="2:12" ht="15.75" x14ac:dyDescent="0.25">
      <c r="B28" s="27"/>
      <c r="C28" s="27"/>
      <c r="D28" s="26" t="s">
        <v>98</v>
      </c>
    </row>
    <row r="29" spans="2:12" ht="15.75" x14ac:dyDescent="0.25">
      <c r="B29" s="30" t="s">
        <v>99</v>
      </c>
      <c r="C29" s="26" t="s">
        <v>100</v>
      </c>
      <c r="D29" s="27"/>
    </row>
    <row r="30" spans="2:12" ht="15.75" x14ac:dyDescent="0.25">
      <c r="B30" s="27"/>
      <c r="C30" s="26" t="s">
        <v>101</v>
      </c>
      <c r="D30" s="27"/>
    </row>
    <row r="31" spans="2:12" ht="15.75" x14ac:dyDescent="0.25">
      <c r="B31" s="27"/>
      <c r="C31" s="26" t="s">
        <v>102</v>
      </c>
      <c r="D31" s="27"/>
    </row>
    <row r="32" spans="2:12" ht="15.75" x14ac:dyDescent="0.25">
      <c r="B32" s="30" t="s">
        <v>103</v>
      </c>
      <c r="C32" s="26" t="s">
        <v>104</v>
      </c>
      <c r="D32" s="27"/>
    </row>
    <row r="33" spans="2:13" ht="15.75" x14ac:dyDescent="0.25">
      <c r="B33" s="28" t="s">
        <v>109</v>
      </c>
      <c r="C33" s="29"/>
      <c r="D33" s="27"/>
    </row>
    <row r="34" spans="2:13" ht="15.75" x14ac:dyDescent="0.25">
      <c r="B34" s="28" t="s">
        <v>110</v>
      </c>
      <c r="C34" s="29"/>
      <c r="D34" s="27"/>
    </row>
    <row r="35" spans="2:13" ht="15.75" x14ac:dyDescent="0.25">
      <c r="B35" s="28" t="s">
        <v>111</v>
      </c>
      <c r="C35" s="29"/>
      <c r="D35" s="27"/>
    </row>
    <row r="36" spans="2:13" ht="15.75" x14ac:dyDescent="0.25">
      <c r="B36" s="28" t="s">
        <v>112</v>
      </c>
      <c r="C36" s="29"/>
      <c r="D36" s="27"/>
    </row>
    <row r="37" spans="2:13" ht="15.75" x14ac:dyDescent="0.25">
      <c r="B37" s="27"/>
      <c r="C37" s="26" t="s">
        <v>117</v>
      </c>
      <c r="D37" s="27"/>
    </row>
    <row r="38" spans="2:13" ht="15.75" x14ac:dyDescent="0.25">
      <c r="B38" s="27"/>
      <c r="C38" s="26" t="s">
        <v>118</v>
      </c>
      <c r="D38" s="27"/>
    </row>
    <row r="39" spans="2:13" ht="15.75" x14ac:dyDescent="0.25">
      <c r="B39" s="30" t="s">
        <v>105</v>
      </c>
      <c r="C39" s="26" t="s">
        <v>119</v>
      </c>
      <c r="D39" s="27"/>
    </row>
    <row r="40" spans="2:13" ht="15.75" x14ac:dyDescent="0.25">
      <c r="C40" s="26" t="s">
        <v>120</v>
      </c>
    </row>
    <row r="41" spans="2:13" ht="15.75" x14ac:dyDescent="0.25">
      <c r="C41" s="26" t="s">
        <v>121</v>
      </c>
    </row>
    <row r="44" spans="2:13" x14ac:dyDescent="0.25">
      <c r="B44" s="8" t="s">
        <v>32</v>
      </c>
      <c r="C44" s="9"/>
    </row>
    <row r="46" spans="2:13" x14ac:dyDescent="0.25">
      <c r="B46" s="7" t="s">
        <v>134</v>
      </c>
      <c r="C46" s="11">
        <v>0</v>
      </c>
      <c r="D46" s="11">
        <f>+C46+1</f>
        <v>1</v>
      </c>
      <c r="E46" s="11">
        <f t="shared" ref="E46:M46" si="0">+D46+1</f>
        <v>2</v>
      </c>
      <c r="F46" s="11">
        <f t="shared" si="0"/>
        <v>3</v>
      </c>
      <c r="G46" s="11">
        <f t="shared" si="0"/>
        <v>4</v>
      </c>
      <c r="H46" s="11">
        <f t="shared" si="0"/>
        <v>5</v>
      </c>
      <c r="I46" s="11">
        <f t="shared" si="0"/>
        <v>6</v>
      </c>
      <c r="J46" s="11">
        <f t="shared" si="0"/>
        <v>7</v>
      </c>
      <c r="K46" s="11">
        <f t="shared" si="0"/>
        <v>8</v>
      </c>
      <c r="L46" s="11">
        <f t="shared" si="0"/>
        <v>9</v>
      </c>
      <c r="M46" s="11">
        <f t="shared" si="0"/>
        <v>10</v>
      </c>
    </row>
    <row r="47" spans="2:13" x14ac:dyDescent="0.25">
      <c r="B47" t="s">
        <v>122</v>
      </c>
      <c r="C47" s="42">
        <f>10000000*0.9</f>
        <v>9000000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B48" t="s">
        <v>123</v>
      </c>
      <c r="C48" s="42">
        <f>15000*1.15</f>
        <v>17250</v>
      </c>
      <c r="D48" s="3">
        <f>+$F$48*15%</f>
        <v>2587.5</v>
      </c>
      <c r="E48" s="3">
        <f>+$F$48*70%</f>
        <v>12075</v>
      </c>
      <c r="F48" s="3">
        <f>+$C$48</f>
        <v>17250</v>
      </c>
      <c r="G48" s="3">
        <f t="shared" ref="G48:M48" si="1">+$C$48</f>
        <v>17250</v>
      </c>
      <c r="H48" s="3">
        <f t="shared" si="1"/>
        <v>17250</v>
      </c>
      <c r="I48" s="3">
        <f t="shared" si="1"/>
        <v>17250</v>
      </c>
      <c r="J48" s="3">
        <f t="shared" si="1"/>
        <v>17250</v>
      </c>
      <c r="K48" s="3">
        <f t="shared" si="1"/>
        <v>17250</v>
      </c>
      <c r="L48" s="3">
        <f t="shared" si="1"/>
        <v>17250</v>
      </c>
      <c r="M48" s="3">
        <f t="shared" si="1"/>
        <v>17250</v>
      </c>
    </row>
    <row r="49" spans="2:13" x14ac:dyDescent="0.25">
      <c r="B49" t="s">
        <v>124</v>
      </c>
      <c r="C49" s="3">
        <v>180</v>
      </c>
      <c r="D49" s="3">
        <f>+$C$49</f>
        <v>180</v>
      </c>
      <c r="E49" s="3">
        <f t="shared" ref="E49:M49" si="2">+$C$49</f>
        <v>180</v>
      </c>
      <c r="F49" s="3">
        <f t="shared" si="2"/>
        <v>180</v>
      </c>
      <c r="G49" s="3">
        <f t="shared" si="2"/>
        <v>180</v>
      </c>
      <c r="H49" s="3">
        <f t="shared" si="2"/>
        <v>180</v>
      </c>
      <c r="I49" s="3">
        <f t="shared" si="2"/>
        <v>180</v>
      </c>
      <c r="J49" s="3">
        <f t="shared" si="2"/>
        <v>180</v>
      </c>
      <c r="K49" s="3">
        <f t="shared" si="2"/>
        <v>180</v>
      </c>
      <c r="L49" s="3">
        <f t="shared" si="2"/>
        <v>180</v>
      </c>
      <c r="M49" s="3">
        <f t="shared" si="2"/>
        <v>180</v>
      </c>
    </row>
    <row r="50" spans="2:13" x14ac:dyDescent="0.25">
      <c r="B50" t="s">
        <v>125</v>
      </c>
      <c r="C50" s="3">
        <v>6</v>
      </c>
      <c r="D50" s="2">
        <f>+C50*1.1</f>
        <v>6.6000000000000005</v>
      </c>
      <c r="E50" s="2">
        <f t="shared" ref="E50:M50" si="3">+D50*1.1</f>
        <v>7.2600000000000016</v>
      </c>
      <c r="F50" s="2">
        <f t="shared" si="3"/>
        <v>7.9860000000000024</v>
      </c>
      <c r="G50" s="2">
        <f t="shared" si="3"/>
        <v>8.7846000000000029</v>
      </c>
      <c r="H50" s="2">
        <f t="shared" si="3"/>
        <v>9.6630600000000033</v>
      </c>
      <c r="I50" s="2">
        <f t="shared" si="3"/>
        <v>10.629366000000005</v>
      </c>
      <c r="J50" s="2">
        <f t="shared" si="3"/>
        <v>11.692302600000007</v>
      </c>
      <c r="K50" s="2">
        <f t="shared" si="3"/>
        <v>12.861532860000008</v>
      </c>
      <c r="L50" s="2">
        <f t="shared" si="3"/>
        <v>14.147686146000009</v>
      </c>
      <c r="M50" s="2">
        <f t="shared" si="3"/>
        <v>15.56245476060001</v>
      </c>
    </row>
    <row r="51" spans="2:13" x14ac:dyDescent="0.25">
      <c r="B51" t="s">
        <v>139</v>
      </c>
      <c r="C51" s="42">
        <v>9</v>
      </c>
      <c r="D51" s="3">
        <f>+D50*$C$51</f>
        <v>59.400000000000006</v>
      </c>
      <c r="E51" s="3">
        <f t="shared" ref="E51:M51" si="4">+E50*$C$51</f>
        <v>65.340000000000018</v>
      </c>
      <c r="F51" s="3">
        <f t="shared" si="4"/>
        <v>71.874000000000024</v>
      </c>
      <c r="G51" s="3">
        <f t="shared" si="4"/>
        <v>79.06140000000002</v>
      </c>
      <c r="H51" s="3">
        <f t="shared" si="4"/>
        <v>86.967540000000028</v>
      </c>
      <c r="I51" s="3">
        <f t="shared" si="4"/>
        <v>95.664294000000041</v>
      </c>
      <c r="J51" s="3">
        <f t="shared" si="4"/>
        <v>105.23072340000006</v>
      </c>
      <c r="K51" s="3">
        <f t="shared" si="4"/>
        <v>115.75379574000007</v>
      </c>
      <c r="L51" s="3">
        <f t="shared" si="4"/>
        <v>127.32917531400008</v>
      </c>
      <c r="M51" s="3">
        <f t="shared" si="4"/>
        <v>140.06209284540009</v>
      </c>
    </row>
    <row r="52" spans="2:13" x14ac:dyDescent="0.25">
      <c r="B52" t="s">
        <v>127</v>
      </c>
      <c r="C52" s="41">
        <v>0.15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5">
      <c r="B53" t="s">
        <v>128</v>
      </c>
      <c r="C53" s="31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5">
      <c r="B54" t="s">
        <v>135</v>
      </c>
      <c r="C54" s="3">
        <v>800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x14ac:dyDescent="0.25">
      <c r="B55" t="s">
        <v>136</v>
      </c>
      <c r="C55" s="3">
        <v>3000000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x14ac:dyDescent="0.25">
      <c r="B56" t="s">
        <v>137</v>
      </c>
      <c r="C56" s="3">
        <v>8</v>
      </c>
      <c r="D56" s="3" t="s">
        <v>138</v>
      </c>
      <c r="E56" s="3"/>
      <c r="F56" s="3"/>
      <c r="G56" s="3"/>
      <c r="H56" s="3"/>
      <c r="I56" s="3"/>
      <c r="J56" s="3"/>
      <c r="K56" s="3"/>
      <c r="L56" s="3"/>
      <c r="M56" s="3"/>
    </row>
    <row r="57" spans="2:13" x14ac:dyDescent="0.25">
      <c r="B57" t="s">
        <v>54</v>
      </c>
      <c r="C57" s="31">
        <v>0.1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5">
      <c r="B59" s="23" t="s">
        <v>66</v>
      </c>
      <c r="C59" s="33">
        <f>+C46</f>
        <v>0</v>
      </c>
      <c r="D59" s="33">
        <f t="shared" ref="D59:M59" si="5">+D46</f>
        <v>1</v>
      </c>
      <c r="E59" s="33">
        <f t="shared" si="5"/>
        <v>2</v>
      </c>
      <c r="F59" s="33">
        <f t="shared" si="5"/>
        <v>3</v>
      </c>
      <c r="G59" s="33">
        <f t="shared" si="5"/>
        <v>4</v>
      </c>
      <c r="H59" s="33">
        <f t="shared" si="5"/>
        <v>5</v>
      </c>
      <c r="I59" s="33">
        <f t="shared" si="5"/>
        <v>6</v>
      </c>
      <c r="J59" s="33">
        <f t="shared" si="5"/>
        <v>7</v>
      </c>
      <c r="K59" s="33">
        <f t="shared" si="5"/>
        <v>8</v>
      </c>
      <c r="L59" s="33">
        <f t="shared" si="5"/>
        <v>9</v>
      </c>
      <c r="M59" s="33">
        <f t="shared" si="5"/>
        <v>10</v>
      </c>
    </row>
    <row r="60" spans="2:13" x14ac:dyDescent="0.25">
      <c r="B60" s="19" t="s">
        <v>14</v>
      </c>
      <c r="C60" s="34"/>
      <c r="D60" s="34">
        <f>+D48*$C$54</f>
        <v>2070000</v>
      </c>
      <c r="E60" s="34">
        <f t="shared" ref="E60:M60" si="6">+E48*$C$54</f>
        <v>9660000</v>
      </c>
      <c r="F60" s="34">
        <f t="shared" si="6"/>
        <v>13800000</v>
      </c>
      <c r="G60" s="34">
        <f t="shared" si="6"/>
        <v>13800000</v>
      </c>
      <c r="H60" s="34">
        <f t="shared" si="6"/>
        <v>13800000</v>
      </c>
      <c r="I60" s="34">
        <f t="shared" si="6"/>
        <v>13800000</v>
      </c>
      <c r="J60" s="34">
        <f t="shared" si="6"/>
        <v>13800000</v>
      </c>
      <c r="K60" s="34">
        <f t="shared" si="6"/>
        <v>13800000</v>
      </c>
      <c r="L60" s="34">
        <f t="shared" si="6"/>
        <v>13800000</v>
      </c>
      <c r="M60" s="34">
        <f t="shared" si="6"/>
        <v>13800000</v>
      </c>
    </row>
    <row r="61" spans="2:13" x14ac:dyDescent="0.25">
      <c r="B61" s="19" t="s">
        <v>124</v>
      </c>
      <c r="C61" s="34"/>
      <c r="D61" s="34">
        <f>-D48*D49</f>
        <v>-465750</v>
      </c>
      <c r="E61" s="34">
        <f t="shared" ref="E61:M61" si="7">-E48*E49</f>
        <v>-2173500</v>
      </c>
      <c r="F61" s="34">
        <f t="shared" si="7"/>
        <v>-3105000</v>
      </c>
      <c r="G61" s="34">
        <f t="shared" si="7"/>
        <v>-3105000</v>
      </c>
      <c r="H61" s="34">
        <f t="shared" si="7"/>
        <v>-3105000</v>
      </c>
      <c r="I61" s="34">
        <f t="shared" si="7"/>
        <v>-3105000</v>
      </c>
      <c r="J61" s="34">
        <f t="shared" si="7"/>
        <v>-3105000</v>
      </c>
      <c r="K61" s="34">
        <f t="shared" si="7"/>
        <v>-3105000</v>
      </c>
      <c r="L61" s="34">
        <f t="shared" si="7"/>
        <v>-3105000</v>
      </c>
      <c r="M61" s="34">
        <f t="shared" si="7"/>
        <v>-3105000</v>
      </c>
    </row>
    <row r="62" spans="2:13" x14ac:dyDescent="0.25">
      <c r="B62" s="19" t="s">
        <v>126</v>
      </c>
      <c r="C62" s="34"/>
      <c r="D62" s="34">
        <f>-D48*D51</f>
        <v>-153697.50000000003</v>
      </c>
      <c r="E62" s="34">
        <f t="shared" ref="E62:M62" si="8">-E48*E51</f>
        <v>-788980.50000000023</v>
      </c>
      <c r="F62" s="34">
        <f t="shared" si="8"/>
        <v>-1239826.5000000005</v>
      </c>
      <c r="G62" s="34">
        <f t="shared" si="8"/>
        <v>-1363809.1500000004</v>
      </c>
      <c r="H62" s="34">
        <f t="shared" si="8"/>
        <v>-1500190.0650000004</v>
      </c>
      <c r="I62" s="34">
        <f t="shared" si="8"/>
        <v>-1650209.0715000008</v>
      </c>
      <c r="J62" s="34">
        <f t="shared" si="8"/>
        <v>-1815229.9786500011</v>
      </c>
      <c r="K62" s="34">
        <f t="shared" si="8"/>
        <v>-1996752.9765150012</v>
      </c>
      <c r="L62" s="34">
        <f t="shared" si="8"/>
        <v>-2196428.2741665016</v>
      </c>
      <c r="M62" s="34">
        <f t="shared" si="8"/>
        <v>-2416071.1015831516</v>
      </c>
    </row>
    <row r="63" spans="2:13" x14ac:dyDescent="0.25">
      <c r="B63" s="19" t="s">
        <v>131</v>
      </c>
      <c r="C63" s="34"/>
      <c r="D63" s="34">
        <f>-$C$55</f>
        <v>-3000000</v>
      </c>
      <c r="E63" s="34">
        <f t="shared" ref="E63:M63" si="9">-$C$55</f>
        <v>-3000000</v>
      </c>
      <c r="F63" s="34">
        <f t="shared" si="9"/>
        <v>-3000000</v>
      </c>
      <c r="G63" s="34">
        <f t="shared" si="9"/>
        <v>-3000000</v>
      </c>
      <c r="H63" s="34">
        <f t="shared" si="9"/>
        <v>-3000000</v>
      </c>
      <c r="I63" s="34">
        <f t="shared" si="9"/>
        <v>-3000000</v>
      </c>
      <c r="J63" s="34">
        <f t="shared" si="9"/>
        <v>-3000000</v>
      </c>
      <c r="K63" s="34">
        <f t="shared" si="9"/>
        <v>-3000000</v>
      </c>
      <c r="L63" s="34">
        <f t="shared" si="9"/>
        <v>-3000000</v>
      </c>
      <c r="M63" s="34">
        <f t="shared" si="9"/>
        <v>-3000000</v>
      </c>
    </row>
    <row r="64" spans="2:13" ht="15.75" thickBot="1" x14ac:dyDescent="0.3">
      <c r="B64" s="39" t="s">
        <v>17</v>
      </c>
      <c r="C64" s="40"/>
      <c r="D64" s="40">
        <f>-$C$47*(1-0)/$C$56</f>
        <v>-1125000</v>
      </c>
      <c r="E64" s="40">
        <f t="shared" ref="E64:K64" si="10">-$C$47*(1-0)/$C$56</f>
        <v>-1125000</v>
      </c>
      <c r="F64" s="40">
        <f t="shared" si="10"/>
        <v>-1125000</v>
      </c>
      <c r="G64" s="40">
        <f t="shared" si="10"/>
        <v>-1125000</v>
      </c>
      <c r="H64" s="40">
        <f t="shared" si="10"/>
        <v>-1125000</v>
      </c>
      <c r="I64" s="40">
        <f t="shared" si="10"/>
        <v>-1125000</v>
      </c>
      <c r="J64" s="40">
        <f t="shared" si="10"/>
        <v>-1125000</v>
      </c>
      <c r="K64" s="40">
        <f t="shared" si="10"/>
        <v>-1125000</v>
      </c>
      <c r="L64" s="40"/>
      <c r="M64" s="40"/>
    </row>
    <row r="65" spans="2:13" s="7" customFormat="1" ht="15.75" thickTop="1" x14ac:dyDescent="0.25">
      <c r="B65" s="37" t="s">
        <v>18</v>
      </c>
      <c r="C65" s="38">
        <f>SUM(C60:C64)</f>
        <v>0</v>
      </c>
      <c r="D65" s="38">
        <f t="shared" ref="D65:M65" si="11">SUM(D60:D64)</f>
        <v>-2674447.5</v>
      </c>
      <c r="E65" s="38">
        <f t="shared" si="11"/>
        <v>2572519.5</v>
      </c>
      <c r="F65" s="38">
        <f t="shared" si="11"/>
        <v>5330173.5</v>
      </c>
      <c r="G65" s="38">
        <f t="shared" si="11"/>
        <v>5206190.8499999996</v>
      </c>
      <c r="H65" s="38">
        <f t="shared" si="11"/>
        <v>5069809.9349999987</v>
      </c>
      <c r="I65" s="38">
        <f t="shared" si="11"/>
        <v>4919790.9284999985</v>
      </c>
      <c r="J65" s="38">
        <f t="shared" si="11"/>
        <v>4754770.0213499982</v>
      </c>
      <c r="K65" s="38">
        <f t="shared" si="11"/>
        <v>4573247.0234849993</v>
      </c>
      <c r="L65" s="38">
        <f t="shared" si="11"/>
        <v>5498571.7258334979</v>
      </c>
      <c r="M65" s="38">
        <f t="shared" si="11"/>
        <v>5278928.8984168489</v>
      </c>
    </row>
    <row r="66" spans="2:13" ht="15.75" thickBot="1" x14ac:dyDescent="0.3">
      <c r="B66" s="39" t="s">
        <v>128</v>
      </c>
      <c r="C66" s="40">
        <f>-C65*$C$53</f>
        <v>0</v>
      </c>
      <c r="D66" s="40">
        <f t="shared" ref="D66:M66" si="12">-D65*$C$53</f>
        <v>936056.62499999988</v>
      </c>
      <c r="E66" s="40">
        <f t="shared" si="12"/>
        <v>-900381.82499999995</v>
      </c>
      <c r="F66" s="40">
        <f t="shared" si="12"/>
        <v>-1865560.7249999999</v>
      </c>
      <c r="G66" s="40">
        <f t="shared" si="12"/>
        <v>-1822166.7974999999</v>
      </c>
      <c r="H66" s="40">
        <f t="shared" si="12"/>
        <v>-1774433.4772499995</v>
      </c>
      <c r="I66" s="40">
        <f t="shared" si="12"/>
        <v>-1721926.8249749993</v>
      </c>
      <c r="J66" s="40">
        <f t="shared" si="12"/>
        <v>-1664169.5074724993</v>
      </c>
      <c r="K66" s="40">
        <f t="shared" si="12"/>
        <v>-1600636.4582197496</v>
      </c>
      <c r="L66" s="40">
        <f t="shared" si="12"/>
        <v>-1924500.1040417242</v>
      </c>
      <c r="M66" s="40">
        <f t="shared" si="12"/>
        <v>-1847625.1144458971</v>
      </c>
    </row>
    <row r="67" spans="2:13" s="7" customFormat="1" ht="15.75" thickTop="1" x14ac:dyDescent="0.25">
      <c r="B67" s="23" t="s">
        <v>35</v>
      </c>
      <c r="C67" s="35">
        <f>+SUM(C65:C66)</f>
        <v>0</v>
      </c>
      <c r="D67" s="35">
        <f t="shared" ref="D67:M67" si="13">+SUM(D65:D66)</f>
        <v>-1738390.875</v>
      </c>
      <c r="E67" s="35">
        <f t="shared" si="13"/>
        <v>1672137.675</v>
      </c>
      <c r="F67" s="35">
        <f t="shared" si="13"/>
        <v>3464612.7750000004</v>
      </c>
      <c r="G67" s="35">
        <f t="shared" si="13"/>
        <v>3384024.0524999998</v>
      </c>
      <c r="H67" s="35">
        <f t="shared" si="13"/>
        <v>3295376.4577499991</v>
      </c>
      <c r="I67" s="35">
        <f t="shared" si="13"/>
        <v>3197864.1035249992</v>
      </c>
      <c r="J67" s="35">
        <f t="shared" si="13"/>
        <v>3090600.5138774989</v>
      </c>
      <c r="K67" s="35">
        <f t="shared" si="13"/>
        <v>2972610.5652652495</v>
      </c>
      <c r="L67" s="35">
        <f t="shared" si="13"/>
        <v>3574071.6217917735</v>
      </c>
      <c r="M67" s="35">
        <f t="shared" si="13"/>
        <v>3431303.783970952</v>
      </c>
    </row>
    <row r="68" spans="2:13" x14ac:dyDescent="0.25">
      <c r="B68" s="19" t="s">
        <v>17</v>
      </c>
      <c r="C68" s="34"/>
      <c r="D68" s="34">
        <f>-D64</f>
        <v>1125000</v>
      </c>
      <c r="E68" s="34">
        <f t="shared" ref="E68:K68" si="14">-E64</f>
        <v>1125000</v>
      </c>
      <c r="F68" s="34">
        <f t="shared" si="14"/>
        <v>1125000</v>
      </c>
      <c r="G68" s="34">
        <f t="shared" si="14"/>
        <v>1125000</v>
      </c>
      <c r="H68" s="34">
        <f t="shared" si="14"/>
        <v>1125000</v>
      </c>
      <c r="I68" s="34">
        <f t="shared" si="14"/>
        <v>1125000</v>
      </c>
      <c r="J68" s="34">
        <f t="shared" si="14"/>
        <v>1125000</v>
      </c>
      <c r="K68" s="34">
        <f t="shared" si="14"/>
        <v>1125000</v>
      </c>
      <c r="L68" s="34"/>
      <c r="M68" s="34"/>
    </row>
    <row r="69" spans="2:13" x14ac:dyDescent="0.25">
      <c r="B69" s="19" t="s">
        <v>28</v>
      </c>
      <c r="C69" s="34">
        <f>-C47</f>
        <v>-9000000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2:13" ht="15.75" thickBot="1" x14ac:dyDescent="0.3">
      <c r="B70" s="39" t="s">
        <v>54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>
        <f>+C47*C57</f>
        <v>900000</v>
      </c>
    </row>
    <row r="71" spans="2:13" s="7" customFormat="1" ht="15.75" thickTop="1" x14ac:dyDescent="0.25">
      <c r="B71" s="23" t="s">
        <v>132</v>
      </c>
      <c r="C71" s="35">
        <f t="shared" ref="C71:L71" si="15">SUM(C67:C70)</f>
        <v>-9000000</v>
      </c>
      <c r="D71" s="35">
        <f t="shared" si="15"/>
        <v>-613390.875</v>
      </c>
      <c r="E71" s="35">
        <f t="shared" si="15"/>
        <v>2797137.6749999998</v>
      </c>
      <c r="F71" s="35">
        <f t="shared" si="15"/>
        <v>4589612.7750000004</v>
      </c>
      <c r="G71" s="35">
        <f t="shared" si="15"/>
        <v>4509024.0525000002</v>
      </c>
      <c r="H71" s="35">
        <f t="shared" si="15"/>
        <v>4420376.4577499991</v>
      </c>
      <c r="I71" s="35">
        <f t="shared" si="15"/>
        <v>4322864.1035249997</v>
      </c>
      <c r="J71" s="35">
        <f t="shared" si="15"/>
        <v>4215600.5138774989</v>
      </c>
      <c r="K71" s="35">
        <f t="shared" si="15"/>
        <v>4097610.5652652495</v>
      </c>
      <c r="L71" s="35">
        <f t="shared" si="15"/>
        <v>3574071.6217917735</v>
      </c>
      <c r="M71" s="35">
        <f>SUM(M67:M70)</f>
        <v>4331303.783970952</v>
      </c>
    </row>
    <row r="72" spans="2:13" s="7" customFormat="1" x14ac:dyDescent="0.25">
      <c r="B72" s="23" t="s">
        <v>133</v>
      </c>
      <c r="C72" s="35">
        <f>+C71/(1+$C$52)^C59</f>
        <v>-9000000</v>
      </c>
      <c r="D72" s="35">
        <f t="shared" ref="D72:M72" si="16">+D71/(1+$C$52)^D59</f>
        <v>-533383.36956521741</v>
      </c>
      <c r="E72" s="35">
        <f t="shared" si="16"/>
        <v>2115037.939508507</v>
      </c>
      <c r="F72" s="35">
        <f t="shared" si="16"/>
        <v>3017744.9001397234</v>
      </c>
      <c r="G72" s="35">
        <f t="shared" si="16"/>
        <v>2578049.1364739272</v>
      </c>
      <c r="H72" s="35">
        <f t="shared" si="16"/>
        <v>2197708.3360535637</v>
      </c>
      <c r="I72" s="35">
        <f t="shared" si="16"/>
        <v>1868893.4453293288</v>
      </c>
      <c r="J72" s="35">
        <f t="shared" si="16"/>
        <v>1584800.3786853752</v>
      </c>
      <c r="K72" s="35">
        <f t="shared" si="16"/>
        <v>1339516.1623160073</v>
      </c>
      <c r="L72" s="35">
        <f t="shared" si="16"/>
        <v>1015974.2200147649</v>
      </c>
      <c r="M72" s="35">
        <f t="shared" si="16"/>
        <v>1070632.0529653854</v>
      </c>
    </row>
    <row r="73" spans="2:13" s="7" customFormat="1" x14ac:dyDescent="0.25">
      <c r="B73" s="23" t="s">
        <v>26</v>
      </c>
      <c r="C73" s="35">
        <f>+SUM(C72:M72)</f>
        <v>7254973.2019213662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</row>
    <row r="74" spans="2:13" s="7" customFormat="1" x14ac:dyDescent="0.25">
      <c r="B74" s="23" t="s">
        <v>56</v>
      </c>
      <c r="C74" s="36">
        <f>+IRR(C71:M71)</f>
        <v>0.2927249746181293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</row>
    <row r="75" spans="2:1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3:1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3:1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3:1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3:1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3:1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3:1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3:1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3:1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3:1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3:1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3:1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3:1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3:1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3:1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3:1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3:1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3:1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3:1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3:1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3:1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</sheetData>
  <mergeCells count="14">
    <mergeCell ref="B9:L9"/>
    <mergeCell ref="B4:L4"/>
    <mergeCell ref="B5:L5"/>
    <mergeCell ref="B6:L6"/>
    <mergeCell ref="B7:L7"/>
    <mergeCell ref="B8:L8"/>
    <mergeCell ref="B16:L16"/>
    <mergeCell ref="B17:L17"/>
    <mergeCell ref="B10:L10"/>
    <mergeCell ref="B11:L11"/>
    <mergeCell ref="B12:L12"/>
    <mergeCell ref="B13:L13"/>
    <mergeCell ref="B14:L14"/>
    <mergeCell ref="B15:L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491E-C7C0-416E-8032-407C23879B27}">
  <sheetPr>
    <tabColor rgb="FF66FF33"/>
  </sheetPr>
  <dimension ref="B2:M101"/>
  <sheetViews>
    <sheetView showGridLines="0" topLeftCell="A40" workbookViewId="0">
      <selection activeCell="D24" sqref="D24"/>
    </sheetView>
  </sheetViews>
  <sheetFormatPr baseColWidth="10" defaultRowHeight="15" x14ac:dyDescent="0.25"/>
  <cols>
    <col min="2" max="2" width="33.140625" customWidth="1"/>
  </cols>
  <sheetData>
    <row r="2" spans="2:12" x14ac:dyDescent="0.25">
      <c r="B2" s="10" t="s">
        <v>129</v>
      </c>
      <c r="C2" s="10"/>
    </row>
    <row r="4" spans="2:12" ht="67.5" customHeight="1" x14ac:dyDescent="0.25">
      <c r="B4" s="64" t="s">
        <v>81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2:12" x14ac:dyDescent="0.25">
      <c r="B5" s="64" t="s">
        <v>82</v>
      </c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2:12" x14ac:dyDescent="0.25">
      <c r="B6" s="63" t="s">
        <v>83</v>
      </c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2:12" x14ac:dyDescent="0.25">
      <c r="B7" s="63" t="s">
        <v>84</v>
      </c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2:12" x14ac:dyDescent="0.25">
      <c r="B8" s="63" t="s">
        <v>85</v>
      </c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2:12" x14ac:dyDescent="0.25">
      <c r="B9" s="63" t="s">
        <v>86</v>
      </c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2:12" x14ac:dyDescent="0.25">
      <c r="B10" s="63" t="s">
        <v>87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</row>
    <row r="11" spans="2:12" x14ac:dyDescent="0.25">
      <c r="B11" s="63" t="s">
        <v>88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2:12" x14ac:dyDescent="0.25">
      <c r="B12" s="63" t="s">
        <v>89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2:12" x14ac:dyDescent="0.25">
      <c r="B13" s="63" t="s">
        <v>90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</row>
    <row r="14" spans="2:12" x14ac:dyDescent="0.25">
      <c r="B14" s="63" t="s">
        <v>91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</row>
    <row r="15" spans="2:12" x14ac:dyDescent="0.25">
      <c r="B15" s="63" t="s">
        <v>92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</row>
    <row r="16" spans="2:12" x14ac:dyDescent="0.25">
      <c r="B16" s="63" t="s">
        <v>93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2:12" ht="32.25" customHeight="1" x14ac:dyDescent="0.25">
      <c r="B17" s="63" t="s">
        <v>94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20" spans="2:12" ht="15.75" x14ac:dyDescent="0.25">
      <c r="B20" s="30" t="s">
        <v>95</v>
      </c>
      <c r="C20" s="26" t="s">
        <v>96</v>
      </c>
      <c r="D20" s="27"/>
    </row>
    <row r="21" spans="2:12" ht="15.75" x14ac:dyDescent="0.25">
      <c r="B21" s="30" t="s">
        <v>97</v>
      </c>
      <c r="C21" s="26" t="s">
        <v>113</v>
      </c>
      <c r="D21" s="27"/>
    </row>
    <row r="22" spans="2:12" ht="15.75" x14ac:dyDescent="0.25">
      <c r="B22" s="26"/>
      <c r="C22" s="26" t="s">
        <v>114</v>
      </c>
      <c r="D22" s="27"/>
    </row>
    <row r="23" spans="2:12" ht="15.75" x14ac:dyDescent="0.25">
      <c r="B23" s="28" t="s">
        <v>106</v>
      </c>
      <c r="C23" s="29"/>
      <c r="D23" s="27"/>
    </row>
    <row r="24" spans="2:12" ht="15.75" x14ac:dyDescent="0.25">
      <c r="B24" s="28" t="s">
        <v>107</v>
      </c>
      <c r="C24" s="29"/>
      <c r="D24" s="27"/>
    </row>
    <row r="25" spans="2:12" ht="15.75" x14ac:dyDescent="0.25">
      <c r="B25" s="28" t="s">
        <v>115</v>
      </c>
      <c r="C25" s="29"/>
      <c r="D25" s="27"/>
    </row>
    <row r="26" spans="2:12" ht="15.75" x14ac:dyDescent="0.25">
      <c r="B26" s="28"/>
      <c r="C26" s="29" t="s">
        <v>116</v>
      </c>
      <c r="D26" s="27"/>
    </row>
    <row r="27" spans="2:12" ht="15.75" x14ac:dyDescent="0.25">
      <c r="B27" s="28" t="s">
        <v>108</v>
      </c>
      <c r="C27" s="29"/>
      <c r="D27" s="27"/>
    </row>
    <row r="28" spans="2:12" ht="15.75" x14ac:dyDescent="0.25">
      <c r="B28" s="27"/>
      <c r="C28" s="27"/>
      <c r="D28" s="26" t="s">
        <v>98</v>
      </c>
    </row>
    <row r="29" spans="2:12" ht="15.75" x14ac:dyDescent="0.25">
      <c r="B29" s="30" t="s">
        <v>99</v>
      </c>
      <c r="C29" s="26" t="s">
        <v>100</v>
      </c>
      <c r="D29" s="27"/>
    </row>
    <row r="30" spans="2:12" ht="15.75" x14ac:dyDescent="0.25">
      <c r="B30" s="27"/>
      <c r="C30" s="26" t="s">
        <v>101</v>
      </c>
      <c r="D30" s="27"/>
    </row>
    <row r="31" spans="2:12" ht="15.75" x14ac:dyDescent="0.25">
      <c r="B31" s="27"/>
      <c r="C31" s="26" t="s">
        <v>102</v>
      </c>
      <c r="D31" s="27"/>
    </row>
    <row r="32" spans="2:12" ht="15.75" x14ac:dyDescent="0.25">
      <c r="B32" s="30" t="s">
        <v>103</v>
      </c>
      <c r="C32" s="26" t="s">
        <v>104</v>
      </c>
      <c r="D32" s="27"/>
    </row>
    <row r="33" spans="2:13" ht="15.75" x14ac:dyDescent="0.25">
      <c r="B33" s="28" t="s">
        <v>109</v>
      </c>
      <c r="C33" s="29"/>
      <c r="D33" s="27"/>
    </row>
    <row r="34" spans="2:13" ht="15.75" x14ac:dyDescent="0.25">
      <c r="B34" s="28" t="s">
        <v>110</v>
      </c>
      <c r="C34" s="29"/>
      <c r="D34" s="27"/>
    </row>
    <row r="35" spans="2:13" ht="15.75" x14ac:dyDescent="0.25">
      <c r="B35" s="28" t="s">
        <v>111</v>
      </c>
      <c r="C35" s="29"/>
      <c r="D35" s="27"/>
    </row>
    <row r="36" spans="2:13" ht="15.75" x14ac:dyDescent="0.25">
      <c r="B36" s="28" t="s">
        <v>112</v>
      </c>
      <c r="C36" s="29"/>
      <c r="D36" s="27"/>
    </row>
    <row r="37" spans="2:13" ht="15.75" x14ac:dyDescent="0.25">
      <c r="B37" s="27"/>
      <c r="C37" s="26" t="s">
        <v>117</v>
      </c>
      <c r="D37" s="27"/>
    </row>
    <row r="38" spans="2:13" ht="15.75" x14ac:dyDescent="0.25">
      <c r="B38" s="27"/>
      <c r="C38" s="26" t="s">
        <v>118</v>
      </c>
      <c r="D38" s="27"/>
    </row>
    <row r="39" spans="2:13" ht="15.75" x14ac:dyDescent="0.25">
      <c r="B39" s="30" t="s">
        <v>105</v>
      </c>
      <c r="C39" s="26" t="s">
        <v>119</v>
      </c>
      <c r="D39" s="27"/>
    </row>
    <row r="40" spans="2:13" ht="15.75" x14ac:dyDescent="0.25">
      <c r="C40" s="26" t="s">
        <v>120</v>
      </c>
    </row>
    <row r="41" spans="2:13" ht="15.75" x14ac:dyDescent="0.25">
      <c r="C41" s="26" t="s">
        <v>121</v>
      </c>
    </row>
    <row r="44" spans="2:13" x14ac:dyDescent="0.25">
      <c r="B44" s="8" t="s">
        <v>32</v>
      </c>
      <c r="C44" s="9"/>
    </row>
    <row r="46" spans="2:13" x14ac:dyDescent="0.25">
      <c r="B46" s="7" t="s">
        <v>134</v>
      </c>
      <c r="C46" s="11">
        <v>0</v>
      </c>
      <c r="D46" s="11">
        <f>+C46+1</f>
        <v>1</v>
      </c>
      <c r="E46" s="11">
        <f t="shared" ref="E46:M46" si="0">+D46+1</f>
        <v>2</v>
      </c>
      <c r="F46" s="11">
        <f t="shared" si="0"/>
        <v>3</v>
      </c>
      <c r="G46" s="11">
        <f t="shared" si="0"/>
        <v>4</v>
      </c>
      <c r="H46" s="11">
        <f t="shared" si="0"/>
        <v>5</v>
      </c>
      <c r="I46" s="11">
        <f t="shared" si="0"/>
        <v>6</v>
      </c>
      <c r="J46" s="11">
        <f t="shared" si="0"/>
        <v>7</v>
      </c>
      <c r="K46" s="11">
        <f t="shared" si="0"/>
        <v>8</v>
      </c>
      <c r="L46" s="11">
        <f t="shared" si="0"/>
        <v>9</v>
      </c>
      <c r="M46" s="11">
        <f t="shared" si="0"/>
        <v>10</v>
      </c>
    </row>
    <row r="47" spans="2:13" x14ac:dyDescent="0.25">
      <c r="B47" t="s">
        <v>122</v>
      </c>
      <c r="C47" s="42">
        <f>10000000*1.1</f>
        <v>11000000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B48" t="s">
        <v>123</v>
      </c>
      <c r="C48" s="42">
        <f>15000*0.85</f>
        <v>12750</v>
      </c>
      <c r="D48" s="3">
        <f>+$F$48*15%</f>
        <v>1912.5</v>
      </c>
      <c r="E48" s="3">
        <f>+$F$48*70%</f>
        <v>8925</v>
      </c>
      <c r="F48" s="3">
        <f>+$C$48</f>
        <v>12750</v>
      </c>
      <c r="G48" s="3">
        <f t="shared" ref="G48:M48" si="1">+$C$48</f>
        <v>12750</v>
      </c>
      <c r="H48" s="3">
        <f t="shared" si="1"/>
        <v>12750</v>
      </c>
      <c r="I48" s="3">
        <f t="shared" si="1"/>
        <v>12750</v>
      </c>
      <c r="J48" s="3">
        <f t="shared" si="1"/>
        <v>12750</v>
      </c>
      <c r="K48" s="3">
        <f t="shared" si="1"/>
        <v>12750</v>
      </c>
      <c r="L48" s="3">
        <f t="shared" si="1"/>
        <v>12750</v>
      </c>
      <c r="M48" s="3">
        <f t="shared" si="1"/>
        <v>12750</v>
      </c>
    </row>
    <row r="49" spans="2:13" x14ac:dyDescent="0.25">
      <c r="B49" t="s">
        <v>124</v>
      </c>
      <c r="C49" s="3">
        <v>180</v>
      </c>
      <c r="D49" s="3">
        <f>+$C$49</f>
        <v>180</v>
      </c>
      <c r="E49" s="3">
        <f t="shared" ref="E49:M49" si="2">+$C$49</f>
        <v>180</v>
      </c>
      <c r="F49" s="3">
        <f t="shared" si="2"/>
        <v>180</v>
      </c>
      <c r="G49" s="3">
        <f t="shared" si="2"/>
        <v>180</v>
      </c>
      <c r="H49" s="3">
        <f t="shared" si="2"/>
        <v>180</v>
      </c>
      <c r="I49" s="3">
        <f t="shared" si="2"/>
        <v>180</v>
      </c>
      <c r="J49" s="3">
        <f t="shared" si="2"/>
        <v>180</v>
      </c>
      <c r="K49" s="3">
        <f t="shared" si="2"/>
        <v>180</v>
      </c>
      <c r="L49" s="3">
        <f t="shared" si="2"/>
        <v>180</v>
      </c>
      <c r="M49" s="3">
        <f t="shared" si="2"/>
        <v>180</v>
      </c>
    </row>
    <row r="50" spans="2:13" x14ac:dyDescent="0.25">
      <c r="B50" t="s">
        <v>125</v>
      </c>
      <c r="C50" s="3">
        <v>6</v>
      </c>
      <c r="D50" s="2">
        <f>+C50*1.1</f>
        <v>6.6000000000000005</v>
      </c>
      <c r="E50" s="2">
        <f t="shared" ref="E50:M50" si="3">+D50*1.1</f>
        <v>7.2600000000000016</v>
      </c>
      <c r="F50" s="2">
        <f t="shared" si="3"/>
        <v>7.9860000000000024</v>
      </c>
      <c r="G50" s="2">
        <f t="shared" si="3"/>
        <v>8.7846000000000029</v>
      </c>
      <c r="H50" s="2">
        <f t="shared" si="3"/>
        <v>9.6630600000000033</v>
      </c>
      <c r="I50" s="2">
        <f t="shared" si="3"/>
        <v>10.629366000000005</v>
      </c>
      <c r="J50" s="2">
        <f t="shared" si="3"/>
        <v>11.692302600000007</v>
      </c>
      <c r="K50" s="2">
        <f t="shared" si="3"/>
        <v>12.861532860000008</v>
      </c>
      <c r="L50" s="2">
        <f t="shared" si="3"/>
        <v>14.147686146000009</v>
      </c>
      <c r="M50" s="2">
        <f t="shared" si="3"/>
        <v>15.56245476060001</v>
      </c>
    </row>
    <row r="51" spans="2:13" x14ac:dyDescent="0.25">
      <c r="B51" t="s">
        <v>139</v>
      </c>
      <c r="C51" s="43">
        <v>12.5</v>
      </c>
      <c r="D51" s="2">
        <f>+D50*$C$51</f>
        <v>82.5</v>
      </c>
      <c r="E51" s="2">
        <f t="shared" ref="E51:M51" si="4">+E50*$C$51</f>
        <v>90.750000000000014</v>
      </c>
      <c r="F51" s="2">
        <f t="shared" si="4"/>
        <v>99.825000000000031</v>
      </c>
      <c r="G51" s="2">
        <f t="shared" si="4"/>
        <v>109.80750000000003</v>
      </c>
      <c r="H51" s="2">
        <f t="shared" si="4"/>
        <v>120.78825000000005</v>
      </c>
      <c r="I51" s="2">
        <f t="shared" si="4"/>
        <v>132.86707500000006</v>
      </c>
      <c r="J51" s="2">
        <f t="shared" si="4"/>
        <v>146.15378250000009</v>
      </c>
      <c r="K51" s="2">
        <f t="shared" si="4"/>
        <v>160.76916075000008</v>
      </c>
      <c r="L51" s="2">
        <f t="shared" si="4"/>
        <v>176.8460768250001</v>
      </c>
      <c r="M51" s="2">
        <f t="shared" si="4"/>
        <v>194.53068450750013</v>
      </c>
    </row>
    <row r="52" spans="2:13" x14ac:dyDescent="0.25">
      <c r="B52" t="s">
        <v>127</v>
      </c>
      <c r="C52" s="41">
        <v>0.17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5">
      <c r="B53" t="s">
        <v>128</v>
      </c>
      <c r="C53" s="31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5">
      <c r="B54" t="s">
        <v>135</v>
      </c>
      <c r="C54" s="3">
        <v>800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x14ac:dyDescent="0.25">
      <c r="B55" t="s">
        <v>136</v>
      </c>
      <c r="C55" s="3">
        <v>3000000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x14ac:dyDescent="0.25">
      <c r="B56" t="s">
        <v>137</v>
      </c>
      <c r="C56" s="3">
        <v>8</v>
      </c>
      <c r="D56" s="3" t="s">
        <v>138</v>
      </c>
      <c r="E56" s="3"/>
      <c r="F56" s="3"/>
      <c r="G56" s="3"/>
      <c r="H56" s="3"/>
      <c r="I56" s="3"/>
      <c r="J56" s="3"/>
      <c r="K56" s="3"/>
      <c r="L56" s="3"/>
      <c r="M56" s="3"/>
    </row>
    <row r="57" spans="2:13" x14ac:dyDescent="0.25">
      <c r="B57" t="s">
        <v>54</v>
      </c>
      <c r="C57" s="31">
        <v>0.1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5">
      <c r="B59" s="23" t="s">
        <v>66</v>
      </c>
      <c r="C59" s="33">
        <f>+C46</f>
        <v>0</v>
      </c>
      <c r="D59" s="33">
        <f t="shared" ref="D59:M59" si="5">+D46</f>
        <v>1</v>
      </c>
      <c r="E59" s="33">
        <f t="shared" si="5"/>
        <v>2</v>
      </c>
      <c r="F59" s="33">
        <f t="shared" si="5"/>
        <v>3</v>
      </c>
      <c r="G59" s="33">
        <f t="shared" si="5"/>
        <v>4</v>
      </c>
      <c r="H59" s="33">
        <f t="shared" si="5"/>
        <v>5</v>
      </c>
      <c r="I59" s="33">
        <f t="shared" si="5"/>
        <v>6</v>
      </c>
      <c r="J59" s="33">
        <f t="shared" si="5"/>
        <v>7</v>
      </c>
      <c r="K59" s="33">
        <f t="shared" si="5"/>
        <v>8</v>
      </c>
      <c r="L59" s="33">
        <f t="shared" si="5"/>
        <v>9</v>
      </c>
      <c r="M59" s="33">
        <f t="shared" si="5"/>
        <v>10</v>
      </c>
    </row>
    <row r="60" spans="2:13" x14ac:dyDescent="0.25">
      <c r="B60" s="19" t="s">
        <v>14</v>
      </c>
      <c r="C60" s="34"/>
      <c r="D60" s="34">
        <f>+D48*$C$54</f>
        <v>1530000</v>
      </c>
      <c r="E60" s="34">
        <f t="shared" ref="E60:M60" si="6">+E48*$C$54</f>
        <v>7140000</v>
      </c>
      <c r="F60" s="34">
        <f t="shared" si="6"/>
        <v>10200000</v>
      </c>
      <c r="G60" s="34">
        <f t="shared" si="6"/>
        <v>10200000</v>
      </c>
      <c r="H60" s="34">
        <f t="shared" si="6"/>
        <v>10200000</v>
      </c>
      <c r="I60" s="34">
        <f t="shared" si="6"/>
        <v>10200000</v>
      </c>
      <c r="J60" s="34">
        <f t="shared" si="6"/>
        <v>10200000</v>
      </c>
      <c r="K60" s="34">
        <f t="shared" si="6"/>
        <v>10200000</v>
      </c>
      <c r="L60" s="34">
        <f t="shared" si="6"/>
        <v>10200000</v>
      </c>
      <c r="M60" s="34">
        <f t="shared" si="6"/>
        <v>10200000</v>
      </c>
    </row>
    <row r="61" spans="2:13" x14ac:dyDescent="0.25">
      <c r="B61" s="19" t="s">
        <v>124</v>
      </c>
      <c r="C61" s="34"/>
      <c r="D61" s="34">
        <f>-D48*D49</f>
        <v>-344250</v>
      </c>
      <c r="E61" s="34">
        <f t="shared" ref="E61:M61" si="7">-E48*E49</f>
        <v>-1606500</v>
      </c>
      <c r="F61" s="34">
        <f t="shared" si="7"/>
        <v>-2295000</v>
      </c>
      <c r="G61" s="34">
        <f t="shared" si="7"/>
        <v>-2295000</v>
      </c>
      <c r="H61" s="34">
        <f t="shared" si="7"/>
        <v>-2295000</v>
      </c>
      <c r="I61" s="34">
        <f t="shared" si="7"/>
        <v>-2295000</v>
      </c>
      <c r="J61" s="34">
        <f t="shared" si="7"/>
        <v>-2295000</v>
      </c>
      <c r="K61" s="34">
        <f t="shared" si="7"/>
        <v>-2295000</v>
      </c>
      <c r="L61" s="34">
        <f t="shared" si="7"/>
        <v>-2295000</v>
      </c>
      <c r="M61" s="34">
        <f t="shared" si="7"/>
        <v>-2295000</v>
      </c>
    </row>
    <row r="62" spans="2:13" x14ac:dyDescent="0.25">
      <c r="B62" s="19" t="s">
        <v>126</v>
      </c>
      <c r="C62" s="34"/>
      <c r="D62" s="34">
        <f>-D48*D51</f>
        <v>-157781.25</v>
      </c>
      <c r="E62" s="34">
        <f t="shared" ref="E62:M62" si="8">-E48*E51</f>
        <v>-809943.75000000012</v>
      </c>
      <c r="F62" s="34">
        <f t="shared" si="8"/>
        <v>-1272768.7500000005</v>
      </c>
      <c r="G62" s="34">
        <f t="shared" si="8"/>
        <v>-1400045.6250000005</v>
      </c>
      <c r="H62" s="34">
        <f t="shared" si="8"/>
        <v>-1540050.1875000007</v>
      </c>
      <c r="I62" s="34">
        <f t="shared" si="8"/>
        <v>-1694055.2062500007</v>
      </c>
      <c r="J62" s="34">
        <f t="shared" si="8"/>
        <v>-1863460.7268750011</v>
      </c>
      <c r="K62" s="34">
        <f t="shared" si="8"/>
        <v>-2049806.799562501</v>
      </c>
      <c r="L62" s="34">
        <f t="shared" si="8"/>
        <v>-2254787.4795187511</v>
      </c>
      <c r="M62" s="34">
        <f t="shared" si="8"/>
        <v>-2480266.2274706266</v>
      </c>
    </row>
    <row r="63" spans="2:13" x14ac:dyDescent="0.25">
      <c r="B63" s="19" t="s">
        <v>131</v>
      </c>
      <c r="C63" s="34"/>
      <c r="D63" s="34">
        <f>-$C$55</f>
        <v>-3000000</v>
      </c>
      <c r="E63" s="34">
        <f t="shared" ref="E63:M63" si="9">-$C$55</f>
        <v>-3000000</v>
      </c>
      <c r="F63" s="34">
        <f t="shared" si="9"/>
        <v>-3000000</v>
      </c>
      <c r="G63" s="34">
        <f t="shared" si="9"/>
        <v>-3000000</v>
      </c>
      <c r="H63" s="34">
        <f t="shared" si="9"/>
        <v>-3000000</v>
      </c>
      <c r="I63" s="34">
        <f t="shared" si="9"/>
        <v>-3000000</v>
      </c>
      <c r="J63" s="34">
        <f t="shared" si="9"/>
        <v>-3000000</v>
      </c>
      <c r="K63" s="34">
        <f t="shared" si="9"/>
        <v>-3000000</v>
      </c>
      <c r="L63" s="34">
        <f t="shared" si="9"/>
        <v>-3000000</v>
      </c>
      <c r="M63" s="34">
        <f t="shared" si="9"/>
        <v>-3000000</v>
      </c>
    </row>
    <row r="64" spans="2:13" ht="15.75" thickBot="1" x14ac:dyDescent="0.3">
      <c r="B64" s="39" t="s">
        <v>17</v>
      </c>
      <c r="C64" s="40"/>
      <c r="D64" s="40">
        <f>-$C$47*(1-0)/$C$56</f>
        <v>-1375000</v>
      </c>
      <c r="E64" s="40">
        <f t="shared" ref="E64:K64" si="10">-$C$47*(1-0)/$C$56</f>
        <v>-1375000</v>
      </c>
      <c r="F64" s="40">
        <f t="shared" si="10"/>
        <v>-1375000</v>
      </c>
      <c r="G64" s="40">
        <f t="shared" si="10"/>
        <v>-1375000</v>
      </c>
      <c r="H64" s="40">
        <f t="shared" si="10"/>
        <v>-1375000</v>
      </c>
      <c r="I64" s="40">
        <f t="shared" si="10"/>
        <v>-1375000</v>
      </c>
      <c r="J64" s="40">
        <f t="shared" si="10"/>
        <v>-1375000</v>
      </c>
      <c r="K64" s="40">
        <f t="shared" si="10"/>
        <v>-1375000</v>
      </c>
      <c r="L64" s="40"/>
      <c r="M64" s="40"/>
    </row>
    <row r="65" spans="2:13" s="7" customFormat="1" ht="15.75" thickTop="1" x14ac:dyDescent="0.25">
      <c r="B65" s="37" t="s">
        <v>18</v>
      </c>
      <c r="C65" s="38">
        <f>SUM(C60:C64)</f>
        <v>0</v>
      </c>
      <c r="D65" s="38">
        <f t="shared" ref="D65:M65" si="11">SUM(D60:D64)</f>
        <v>-3347031.25</v>
      </c>
      <c r="E65" s="38">
        <f t="shared" si="11"/>
        <v>348556.25</v>
      </c>
      <c r="F65" s="38">
        <f t="shared" si="11"/>
        <v>2257231.25</v>
      </c>
      <c r="G65" s="38">
        <f t="shared" si="11"/>
        <v>2129954.375</v>
      </c>
      <c r="H65" s="38">
        <f t="shared" si="11"/>
        <v>1989949.8124999991</v>
      </c>
      <c r="I65" s="38">
        <f t="shared" si="11"/>
        <v>1835944.7937499993</v>
      </c>
      <c r="J65" s="38">
        <f t="shared" si="11"/>
        <v>1666539.2731249984</v>
      </c>
      <c r="K65" s="38">
        <f t="shared" si="11"/>
        <v>1480193.2004374992</v>
      </c>
      <c r="L65" s="38">
        <f t="shared" si="11"/>
        <v>2650212.5204812493</v>
      </c>
      <c r="M65" s="38">
        <f t="shared" si="11"/>
        <v>2424733.7725293729</v>
      </c>
    </row>
    <row r="66" spans="2:13" ht="15.75" thickBot="1" x14ac:dyDescent="0.3">
      <c r="B66" s="39" t="s">
        <v>128</v>
      </c>
      <c r="C66" s="40">
        <f>-C65*$C$53</f>
        <v>0</v>
      </c>
      <c r="D66" s="40">
        <f t="shared" ref="D66:M66" si="12">-D65*$C$53</f>
        <v>1171460.9375</v>
      </c>
      <c r="E66" s="40">
        <f t="shared" si="12"/>
        <v>-121994.68749999999</v>
      </c>
      <c r="F66" s="40">
        <f t="shared" si="12"/>
        <v>-790030.9375</v>
      </c>
      <c r="G66" s="40">
        <f t="shared" si="12"/>
        <v>-745484.03125</v>
      </c>
      <c r="H66" s="40">
        <f t="shared" si="12"/>
        <v>-696482.4343749996</v>
      </c>
      <c r="I66" s="40">
        <f t="shared" si="12"/>
        <v>-642580.67781249969</v>
      </c>
      <c r="J66" s="40">
        <f t="shared" si="12"/>
        <v>-583288.74559374945</v>
      </c>
      <c r="K66" s="40">
        <f t="shared" si="12"/>
        <v>-518067.62015312468</v>
      </c>
      <c r="L66" s="40">
        <f t="shared" si="12"/>
        <v>-927574.38216843724</v>
      </c>
      <c r="M66" s="40">
        <f t="shared" si="12"/>
        <v>-848656.82038528053</v>
      </c>
    </row>
    <row r="67" spans="2:13" s="7" customFormat="1" ht="15.75" thickTop="1" x14ac:dyDescent="0.25">
      <c r="B67" s="23" t="s">
        <v>35</v>
      </c>
      <c r="C67" s="35">
        <f>+SUM(C65:C66)</f>
        <v>0</v>
      </c>
      <c r="D67" s="35">
        <f t="shared" ref="D67:M67" si="13">+SUM(D65:D66)</f>
        <v>-2175570.3125</v>
      </c>
      <c r="E67" s="35">
        <f t="shared" si="13"/>
        <v>226561.5625</v>
      </c>
      <c r="F67" s="35">
        <f t="shared" si="13"/>
        <v>1467200.3125</v>
      </c>
      <c r="G67" s="35">
        <f t="shared" si="13"/>
        <v>1384470.34375</v>
      </c>
      <c r="H67" s="35">
        <f t="shared" si="13"/>
        <v>1293467.3781249993</v>
      </c>
      <c r="I67" s="35">
        <f t="shared" si="13"/>
        <v>1193364.1159374996</v>
      </c>
      <c r="J67" s="35">
        <f t="shared" si="13"/>
        <v>1083250.527531249</v>
      </c>
      <c r="K67" s="35">
        <f t="shared" si="13"/>
        <v>962125.58028437453</v>
      </c>
      <c r="L67" s="35">
        <f t="shared" si="13"/>
        <v>1722638.138312812</v>
      </c>
      <c r="M67" s="35">
        <f t="shared" si="13"/>
        <v>1576076.9521440924</v>
      </c>
    </row>
    <row r="68" spans="2:13" x14ac:dyDescent="0.25">
      <c r="B68" s="19" t="s">
        <v>17</v>
      </c>
      <c r="C68" s="34"/>
      <c r="D68" s="34">
        <f>-D64</f>
        <v>1375000</v>
      </c>
      <c r="E68" s="34">
        <f t="shared" ref="E68:K68" si="14">-E64</f>
        <v>1375000</v>
      </c>
      <c r="F68" s="34">
        <f t="shared" si="14"/>
        <v>1375000</v>
      </c>
      <c r="G68" s="34">
        <f t="shared" si="14"/>
        <v>1375000</v>
      </c>
      <c r="H68" s="34">
        <f t="shared" si="14"/>
        <v>1375000</v>
      </c>
      <c r="I68" s="34">
        <f t="shared" si="14"/>
        <v>1375000</v>
      </c>
      <c r="J68" s="34">
        <f t="shared" si="14"/>
        <v>1375000</v>
      </c>
      <c r="K68" s="34">
        <f t="shared" si="14"/>
        <v>1375000</v>
      </c>
      <c r="L68" s="34"/>
      <c r="M68" s="34"/>
    </row>
    <row r="69" spans="2:13" x14ac:dyDescent="0.25">
      <c r="B69" s="19" t="s">
        <v>28</v>
      </c>
      <c r="C69" s="34">
        <f>-C47</f>
        <v>-11000000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2:13" ht="15.75" thickBot="1" x14ac:dyDescent="0.3">
      <c r="B70" s="39" t="s">
        <v>54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>
        <f>+C47*C57</f>
        <v>1100000</v>
      </c>
    </row>
    <row r="71" spans="2:13" s="7" customFormat="1" ht="15.75" thickTop="1" x14ac:dyDescent="0.25">
      <c r="B71" s="23" t="s">
        <v>132</v>
      </c>
      <c r="C71" s="35">
        <f t="shared" ref="C71:L71" si="15">SUM(C67:C70)</f>
        <v>-11000000</v>
      </c>
      <c r="D71" s="35">
        <f t="shared" si="15"/>
        <v>-800570.3125</v>
      </c>
      <c r="E71" s="35">
        <f t="shared" si="15"/>
        <v>1601561.5625</v>
      </c>
      <c r="F71" s="35">
        <f t="shared" si="15"/>
        <v>2842200.3125</v>
      </c>
      <c r="G71" s="35">
        <f t="shared" si="15"/>
        <v>2759470.34375</v>
      </c>
      <c r="H71" s="35">
        <f t="shared" si="15"/>
        <v>2668467.3781249993</v>
      </c>
      <c r="I71" s="35">
        <f t="shared" si="15"/>
        <v>2568364.1159374993</v>
      </c>
      <c r="J71" s="35">
        <f t="shared" si="15"/>
        <v>2458250.527531249</v>
      </c>
      <c r="K71" s="35">
        <f t="shared" si="15"/>
        <v>2337125.5802843748</v>
      </c>
      <c r="L71" s="35">
        <f t="shared" si="15"/>
        <v>1722638.138312812</v>
      </c>
      <c r="M71" s="35">
        <f>SUM(M67:M70)</f>
        <v>2676076.9521440924</v>
      </c>
    </row>
    <row r="72" spans="2:13" s="7" customFormat="1" x14ac:dyDescent="0.25">
      <c r="B72" s="23" t="s">
        <v>133</v>
      </c>
      <c r="C72" s="35">
        <f>+C71/(1+$C$52)^C59</f>
        <v>-11000000</v>
      </c>
      <c r="D72" s="35">
        <f t="shared" ref="D72:M72" si="16">+D71/(1+$C$52)^D59</f>
        <v>-684248.13034188037</v>
      </c>
      <c r="E72" s="35">
        <f t="shared" si="16"/>
        <v>1169962.4242092192</v>
      </c>
      <c r="F72" s="35">
        <f t="shared" si="16"/>
        <v>1774586.1906090926</v>
      </c>
      <c r="G72" s="35">
        <f t="shared" si="16"/>
        <v>1472591.4820401601</v>
      </c>
      <c r="H72" s="35">
        <f t="shared" si="16"/>
        <v>1217117.7308077079</v>
      </c>
      <c r="I72" s="35">
        <f t="shared" si="16"/>
        <v>1001247.4500331377</v>
      </c>
      <c r="J72" s="35">
        <f t="shared" si="16"/>
        <v>819077.71264733782</v>
      </c>
      <c r="K72" s="35">
        <f t="shared" si="16"/>
        <v>665572.17104102403</v>
      </c>
      <c r="L72" s="35">
        <f t="shared" si="16"/>
        <v>419296.56285121699</v>
      </c>
      <c r="M72" s="35">
        <f t="shared" si="16"/>
        <v>556724.04659416992</v>
      </c>
    </row>
    <row r="73" spans="2:13" s="7" customFormat="1" x14ac:dyDescent="0.25">
      <c r="B73" s="23" t="s">
        <v>26</v>
      </c>
      <c r="C73" s="35">
        <f>+SUM(C72:M72)</f>
        <v>-2588072.3595088157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</row>
    <row r="74" spans="2:13" s="7" customFormat="1" x14ac:dyDescent="0.25">
      <c r="B74" s="23" t="s">
        <v>56</v>
      </c>
      <c r="C74" s="36">
        <f>+IRR(C71:M71)</f>
        <v>0.1143580378205673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</row>
    <row r="75" spans="2:1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3:1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3:1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3:1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3:1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3:1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3:1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3:1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3:1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3:1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3:1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3:1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3:1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3:1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3:1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3:1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3:1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3:1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3:1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3:1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3:1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</sheetData>
  <mergeCells count="14">
    <mergeCell ref="B9:L9"/>
    <mergeCell ref="B4:L4"/>
    <mergeCell ref="B5:L5"/>
    <mergeCell ref="B6:L6"/>
    <mergeCell ref="B7:L7"/>
    <mergeCell ref="B8:L8"/>
    <mergeCell ref="B16:L16"/>
    <mergeCell ref="B17:L17"/>
    <mergeCell ref="B10:L10"/>
    <mergeCell ref="B11:L11"/>
    <mergeCell ref="B12:L12"/>
    <mergeCell ref="B13:L13"/>
    <mergeCell ref="B14:L14"/>
    <mergeCell ref="B15:L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4076-5D65-4FEE-BD0F-5AE91B1F18C7}">
  <sheetPr>
    <tabColor rgb="FF66FF33"/>
  </sheetPr>
  <dimension ref="B2:M101"/>
  <sheetViews>
    <sheetView showGridLines="0" topLeftCell="A16" workbookViewId="0">
      <selection activeCell="C1" sqref="C1"/>
    </sheetView>
  </sheetViews>
  <sheetFormatPr baseColWidth="10" defaultRowHeight="15" x14ac:dyDescent="0.25"/>
  <cols>
    <col min="2" max="2" width="33.140625" customWidth="1"/>
  </cols>
  <sheetData>
    <row r="2" spans="2:12" x14ac:dyDescent="0.25">
      <c r="B2" s="10" t="s">
        <v>129</v>
      </c>
      <c r="C2" s="10"/>
    </row>
    <row r="4" spans="2:12" ht="67.5" customHeight="1" x14ac:dyDescent="0.25">
      <c r="B4" s="64" t="s">
        <v>81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2:12" x14ac:dyDescent="0.25">
      <c r="B5" s="64" t="s">
        <v>82</v>
      </c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2:12" x14ac:dyDescent="0.25">
      <c r="B6" s="63" t="s">
        <v>83</v>
      </c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2:12" x14ac:dyDescent="0.25">
      <c r="B7" s="63" t="s">
        <v>84</v>
      </c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2:12" x14ac:dyDescent="0.25">
      <c r="B8" s="63" t="s">
        <v>85</v>
      </c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2:12" x14ac:dyDescent="0.25">
      <c r="B9" s="63" t="s">
        <v>86</v>
      </c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2:12" x14ac:dyDescent="0.25">
      <c r="B10" s="63" t="s">
        <v>87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</row>
    <row r="11" spans="2:12" x14ac:dyDescent="0.25">
      <c r="B11" s="63" t="s">
        <v>88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2:12" x14ac:dyDescent="0.25">
      <c r="B12" s="63" t="s">
        <v>89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2:12" x14ac:dyDescent="0.25">
      <c r="B13" s="63" t="s">
        <v>90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</row>
    <row r="14" spans="2:12" x14ac:dyDescent="0.25">
      <c r="B14" s="63" t="s">
        <v>91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</row>
    <row r="15" spans="2:12" x14ac:dyDescent="0.25">
      <c r="B15" s="63" t="s">
        <v>92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</row>
    <row r="16" spans="2:12" x14ac:dyDescent="0.25">
      <c r="B16" s="63" t="s">
        <v>93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2:12" ht="32.25" customHeight="1" x14ac:dyDescent="0.25">
      <c r="B17" s="63" t="s">
        <v>94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20" spans="2:12" ht="15.75" x14ac:dyDescent="0.25">
      <c r="B20" s="30" t="s">
        <v>95</v>
      </c>
      <c r="C20" s="26" t="s">
        <v>96</v>
      </c>
      <c r="D20" s="27"/>
    </row>
    <row r="21" spans="2:12" ht="15.75" x14ac:dyDescent="0.25">
      <c r="B21" s="30" t="s">
        <v>97</v>
      </c>
      <c r="C21" s="26" t="s">
        <v>113</v>
      </c>
      <c r="D21" s="27"/>
    </row>
    <row r="22" spans="2:12" ht="15.75" x14ac:dyDescent="0.25">
      <c r="B22" s="26"/>
      <c r="C22" s="26" t="s">
        <v>114</v>
      </c>
      <c r="D22" s="27"/>
    </row>
    <row r="23" spans="2:12" ht="15.75" x14ac:dyDescent="0.25">
      <c r="B23" s="28" t="s">
        <v>106</v>
      </c>
      <c r="C23" s="29"/>
      <c r="D23" s="27"/>
    </row>
    <row r="24" spans="2:12" ht="15.75" x14ac:dyDescent="0.25">
      <c r="B24" s="28" t="s">
        <v>107</v>
      </c>
      <c r="C24" s="29"/>
      <c r="D24" s="27"/>
    </row>
    <row r="25" spans="2:12" ht="15.75" x14ac:dyDescent="0.25">
      <c r="B25" s="28" t="s">
        <v>115</v>
      </c>
      <c r="C25" s="29"/>
      <c r="D25" s="27"/>
    </row>
    <row r="26" spans="2:12" ht="15.75" x14ac:dyDescent="0.25">
      <c r="B26" s="28"/>
      <c r="C26" s="29" t="s">
        <v>116</v>
      </c>
      <c r="D26" s="27"/>
    </row>
    <row r="27" spans="2:12" ht="15.75" x14ac:dyDescent="0.25">
      <c r="B27" s="28" t="s">
        <v>108</v>
      </c>
      <c r="C27" s="29"/>
      <c r="D27" s="27"/>
    </row>
    <row r="28" spans="2:12" ht="15.75" x14ac:dyDescent="0.25">
      <c r="B28" s="27"/>
      <c r="C28" s="27"/>
      <c r="D28" s="26" t="s">
        <v>98</v>
      </c>
    </row>
    <row r="29" spans="2:12" ht="15.75" x14ac:dyDescent="0.25">
      <c r="B29" s="30" t="s">
        <v>99</v>
      </c>
      <c r="C29" s="26" t="s">
        <v>100</v>
      </c>
      <c r="D29" s="27"/>
    </row>
    <row r="30" spans="2:12" ht="15.75" x14ac:dyDescent="0.25">
      <c r="B30" s="27"/>
      <c r="C30" s="26" t="s">
        <v>101</v>
      </c>
      <c r="D30" s="27"/>
    </row>
    <row r="31" spans="2:12" ht="15.75" x14ac:dyDescent="0.25">
      <c r="B31" s="27"/>
      <c r="C31" s="26" t="s">
        <v>102</v>
      </c>
      <c r="D31" s="27"/>
    </row>
    <row r="32" spans="2:12" ht="15.75" x14ac:dyDescent="0.25">
      <c r="B32" s="30" t="s">
        <v>103</v>
      </c>
      <c r="C32" s="26" t="s">
        <v>104</v>
      </c>
      <c r="D32" s="27"/>
    </row>
    <row r="33" spans="2:13" ht="15.75" x14ac:dyDescent="0.25">
      <c r="B33" s="28" t="s">
        <v>109</v>
      </c>
      <c r="C33" s="29"/>
      <c r="D33" s="27"/>
    </row>
    <row r="34" spans="2:13" ht="15.75" x14ac:dyDescent="0.25">
      <c r="B34" s="28" t="s">
        <v>110</v>
      </c>
      <c r="C34" s="29"/>
      <c r="D34" s="27"/>
    </row>
    <row r="35" spans="2:13" ht="15.75" x14ac:dyDescent="0.25">
      <c r="B35" s="28" t="s">
        <v>111</v>
      </c>
      <c r="C35" s="29"/>
      <c r="D35" s="27"/>
    </row>
    <row r="36" spans="2:13" ht="15.75" x14ac:dyDescent="0.25">
      <c r="B36" s="28" t="s">
        <v>112</v>
      </c>
      <c r="C36" s="29"/>
      <c r="D36" s="27"/>
    </row>
    <row r="37" spans="2:13" ht="15.75" x14ac:dyDescent="0.25">
      <c r="B37" s="27"/>
      <c r="C37" s="26" t="s">
        <v>117</v>
      </c>
      <c r="D37" s="27"/>
    </row>
    <row r="38" spans="2:13" ht="15.75" x14ac:dyDescent="0.25">
      <c r="B38" s="27"/>
      <c r="C38" s="26" t="s">
        <v>118</v>
      </c>
      <c r="D38" s="27"/>
    </row>
    <row r="39" spans="2:13" ht="15.75" x14ac:dyDescent="0.25">
      <c r="B39" s="30" t="s">
        <v>105</v>
      </c>
      <c r="C39" s="26" t="s">
        <v>119</v>
      </c>
      <c r="D39" s="27"/>
    </row>
    <row r="40" spans="2:13" ht="15.75" x14ac:dyDescent="0.25">
      <c r="C40" s="26" t="s">
        <v>120</v>
      </c>
    </row>
    <row r="41" spans="2:13" ht="15.75" x14ac:dyDescent="0.25">
      <c r="C41" s="26" t="s">
        <v>121</v>
      </c>
    </row>
    <row r="44" spans="2:13" x14ac:dyDescent="0.25">
      <c r="B44" s="8" t="s">
        <v>32</v>
      </c>
      <c r="C44" s="9"/>
    </row>
    <row r="46" spans="2:13" x14ac:dyDescent="0.25">
      <c r="B46" s="7" t="s">
        <v>134</v>
      </c>
      <c r="C46" s="11">
        <v>0</v>
      </c>
      <c r="D46" s="11">
        <f>+C46+1</f>
        <v>1</v>
      </c>
      <c r="E46" s="11">
        <f t="shared" ref="E46:M46" si="0">+D46+1</f>
        <v>2</v>
      </c>
      <c r="F46" s="11">
        <f t="shared" si="0"/>
        <v>3</v>
      </c>
      <c r="G46" s="11">
        <f t="shared" si="0"/>
        <v>4</v>
      </c>
      <c r="H46" s="11">
        <f t="shared" si="0"/>
        <v>5</v>
      </c>
      <c r="I46" s="11">
        <f t="shared" si="0"/>
        <v>6</v>
      </c>
      <c r="J46" s="11">
        <f t="shared" si="0"/>
        <v>7</v>
      </c>
      <c r="K46" s="11">
        <f t="shared" si="0"/>
        <v>8</v>
      </c>
      <c r="L46" s="11">
        <f t="shared" si="0"/>
        <v>9</v>
      </c>
      <c r="M46" s="11">
        <f t="shared" si="0"/>
        <v>10</v>
      </c>
    </row>
    <row r="47" spans="2:13" x14ac:dyDescent="0.25">
      <c r="B47" t="s">
        <v>122</v>
      </c>
      <c r="C47" s="44">
        <f>10000000</f>
        <v>10000000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B48" t="s">
        <v>123</v>
      </c>
      <c r="C48" s="44">
        <f>15000</f>
        <v>15000</v>
      </c>
      <c r="D48" s="3">
        <f>+$F$48*15%</f>
        <v>2250</v>
      </c>
      <c r="E48" s="3">
        <f>+$F$48*70%</f>
        <v>10500</v>
      </c>
      <c r="F48" s="3">
        <f>+$C$48</f>
        <v>15000</v>
      </c>
      <c r="G48" s="3">
        <f t="shared" ref="G48:M48" si="1">+$C$48</f>
        <v>15000</v>
      </c>
      <c r="H48" s="3">
        <f t="shared" si="1"/>
        <v>15000</v>
      </c>
      <c r="I48" s="3">
        <f t="shared" si="1"/>
        <v>15000</v>
      </c>
      <c r="J48" s="3">
        <f t="shared" si="1"/>
        <v>15000</v>
      </c>
      <c r="K48" s="3">
        <f t="shared" si="1"/>
        <v>15000</v>
      </c>
      <c r="L48" s="3">
        <f t="shared" si="1"/>
        <v>15000</v>
      </c>
      <c r="M48" s="3">
        <f t="shared" si="1"/>
        <v>15000</v>
      </c>
    </row>
    <row r="49" spans="2:13" x14ac:dyDescent="0.25">
      <c r="B49" t="s">
        <v>124</v>
      </c>
      <c r="C49" s="44">
        <v>180</v>
      </c>
      <c r="D49" s="3">
        <f>+$C$49</f>
        <v>180</v>
      </c>
      <c r="E49" s="3">
        <f t="shared" ref="E49:M49" si="2">+$C$49</f>
        <v>180</v>
      </c>
      <c r="F49" s="3">
        <f t="shared" si="2"/>
        <v>180</v>
      </c>
      <c r="G49" s="3">
        <f t="shared" si="2"/>
        <v>180</v>
      </c>
      <c r="H49" s="3">
        <f t="shared" si="2"/>
        <v>180</v>
      </c>
      <c r="I49" s="3">
        <f t="shared" si="2"/>
        <v>180</v>
      </c>
      <c r="J49" s="3">
        <f t="shared" si="2"/>
        <v>180</v>
      </c>
      <c r="K49" s="3">
        <f t="shared" si="2"/>
        <v>180</v>
      </c>
      <c r="L49" s="3">
        <f t="shared" si="2"/>
        <v>180</v>
      </c>
      <c r="M49" s="3">
        <f t="shared" si="2"/>
        <v>180</v>
      </c>
    </row>
    <row r="50" spans="2:13" x14ac:dyDescent="0.25">
      <c r="B50" t="s">
        <v>125</v>
      </c>
      <c r="C50" s="44">
        <v>6</v>
      </c>
      <c r="D50" s="2">
        <f>+C50*1.1</f>
        <v>6.6000000000000005</v>
      </c>
      <c r="E50" s="2">
        <f t="shared" ref="E50:M50" si="3">+D50*1.1</f>
        <v>7.2600000000000016</v>
      </c>
      <c r="F50" s="2">
        <f t="shared" si="3"/>
        <v>7.9860000000000024</v>
      </c>
      <c r="G50" s="2">
        <f t="shared" si="3"/>
        <v>8.7846000000000029</v>
      </c>
      <c r="H50" s="2">
        <f t="shared" si="3"/>
        <v>9.6630600000000033</v>
      </c>
      <c r="I50" s="2">
        <f t="shared" si="3"/>
        <v>10.629366000000005</v>
      </c>
      <c r="J50" s="2">
        <f t="shared" si="3"/>
        <v>11.692302600000007</v>
      </c>
      <c r="K50" s="2">
        <f t="shared" si="3"/>
        <v>12.861532860000008</v>
      </c>
      <c r="L50" s="2">
        <f t="shared" si="3"/>
        <v>14.147686146000009</v>
      </c>
      <c r="M50" s="2">
        <f t="shared" si="3"/>
        <v>15.56245476060001</v>
      </c>
    </row>
    <row r="51" spans="2:13" x14ac:dyDescent="0.25">
      <c r="B51" t="s">
        <v>139</v>
      </c>
      <c r="C51" s="43">
        <v>16.206198714713366</v>
      </c>
      <c r="D51" s="2">
        <f>+D50*$C$51</f>
        <v>106.96091151710823</v>
      </c>
      <c r="E51" s="2">
        <f t="shared" ref="E51:M51" si="4">+E50*$C$51</f>
        <v>117.65700266881906</v>
      </c>
      <c r="F51" s="2">
        <f t="shared" si="4"/>
        <v>129.42270293570098</v>
      </c>
      <c r="G51" s="2">
        <f t="shared" si="4"/>
        <v>142.36497322927107</v>
      </c>
      <c r="H51" s="2">
        <f t="shared" si="4"/>
        <v>156.60147055219821</v>
      </c>
      <c r="I51" s="2">
        <f t="shared" si="4"/>
        <v>172.26161760741803</v>
      </c>
      <c r="J51" s="2">
        <f t="shared" si="4"/>
        <v>189.48777936815986</v>
      </c>
      <c r="K51" s="2">
        <f t="shared" si="4"/>
        <v>208.43655730497585</v>
      </c>
      <c r="L51" s="2">
        <f t="shared" si="4"/>
        <v>229.28021303547345</v>
      </c>
      <c r="M51" s="2">
        <f t="shared" si="4"/>
        <v>252.20823433902081</v>
      </c>
    </row>
    <row r="52" spans="2:13" x14ac:dyDescent="0.25">
      <c r="B52" t="s">
        <v>127</v>
      </c>
      <c r="C52" s="46">
        <v>0.16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5">
      <c r="B53" t="s">
        <v>128</v>
      </c>
      <c r="C53" s="31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5">
      <c r="B54" t="s">
        <v>135</v>
      </c>
      <c r="C54" s="3">
        <v>800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x14ac:dyDescent="0.25">
      <c r="B55" t="s">
        <v>136</v>
      </c>
      <c r="C55" s="3">
        <v>3000000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x14ac:dyDescent="0.25">
      <c r="B56" t="s">
        <v>137</v>
      </c>
      <c r="C56" s="3">
        <v>8</v>
      </c>
      <c r="D56" s="3" t="s">
        <v>138</v>
      </c>
      <c r="E56" s="3"/>
      <c r="F56" s="3"/>
      <c r="G56" s="3"/>
      <c r="H56" s="3"/>
      <c r="I56" s="3"/>
      <c r="J56" s="3"/>
      <c r="K56" s="3"/>
      <c r="L56" s="3"/>
      <c r="M56" s="3"/>
    </row>
    <row r="57" spans="2:13" x14ac:dyDescent="0.25">
      <c r="B57" t="s">
        <v>54</v>
      </c>
      <c r="C57" s="31">
        <v>0.1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5">
      <c r="B59" s="23" t="s">
        <v>66</v>
      </c>
      <c r="C59" s="33">
        <f>+C46</f>
        <v>0</v>
      </c>
      <c r="D59" s="33">
        <f t="shared" ref="D59:M59" si="5">+D46</f>
        <v>1</v>
      </c>
      <c r="E59" s="33">
        <f t="shared" si="5"/>
        <v>2</v>
      </c>
      <c r="F59" s="33">
        <f t="shared" si="5"/>
        <v>3</v>
      </c>
      <c r="G59" s="33">
        <f t="shared" si="5"/>
        <v>4</v>
      </c>
      <c r="H59" s="33">
        <f t="shared" si="5"/>
        <v>5</v>
      </c>
      <c r="I59" s="33">
        <f t="shared" si="5"/>
        <v>6</v>
      </c>
      <c r="J59" s="33">
        <f t="shared" si="5"/>
        <v>7</v>
      </c>
      <c r="K59" s="33">
        <f t="shared" si="5"/>
        <v>8</v>
      </c>
      <c r="L59" s="33">
        <f t="shared" si="5"/>
        <v>9</v>
      </c>
      <c r="M59" s="33">
        <f t="shared" si="5"/>
        <v>10</v>
      </c>
    </row>
    <row r="60" spans="2:13" x14ac:dyDescent="0.25">
      <c r="B60" s="19" t="s">
        <v>14</v>
      </c>
      <c r="C60" s="34"/>
      <c r="D60" s="34">
        <f>+D48*$C$54</f>
        <v>1800000</v>
      </c>
      <c r="E60" s="34">
        <f t="shared" ref="E60:M60" si="6">+E48*$C$54</f>
        <v>8400000</v>
      </c>
      <c r="F60" s="34">
        <f t="shared" si="6"/>
        <v>12000000</v>
      </c>
      <c r="G60" s="34">
        <f t="shared" si="6"/>
        <v>12000000</v>
      </c>
      <c r="H60" s="34">
        <f t="shared" si="6"/>
        <v>12000000</v>
      </c>
      <c r="I60" s="34">
        <f t="shared" si="6"/>
        <v>12000000</v>
      </c>
      <c r="J60" s="34">
        <f t="shared" si="6"/>
        <v>12000000</v>
      </c>
      <c r="K60" s="34">
        <f t="shared" si="6"/>
        <v>12000000</v>
      </c>
      <c r="L60" s="34">
        <f t="shared" si="6"/>
        <v>12000000</v>
      </c>
      <c r="M60" s="34">
        <f t="shared" si="6"/>
        <v>12000000</v>
      </c>
    </row>
    <row r="61" spans="2:13" x14ac:dyDescent="0.25">
      <c r="B61" s="19" t="s">
        <v>124</v>
      </c>
      <c r="C61" s="34"/>
      <c r="D61" s="34">
        <f>-D48*D49</f>
        <v>-405000</v>
      </c>
      <c r="E61" s="34">
        <f t="shared" ref="E61:M61" si="7">-E48*E49</f>
        <v>-1890000</v>
      </c>
      <c r="F61" s="34">
        <f t="shared" si="7"/>
        <v>-2700000</v>
      </c>
      <c r="G61" s="34">
        <f t="shared" si="7"/>
        <v>-2700000</v>
      </c>
      <c r="H61" s="34">
        <f t="shared" si="7"/>
        <v>-2700000</v>
      </c>
      <c r="I61" s="34">
        <f t="shared" si="7"/>
        <v>-2700000</v>
      </c>
      <c r="J61" s="34">
        <f t="shared" si="7"/>
        <v>-2700000</v>
      </c>
      <c r="K61" s="34">
        <f t="shared" si="7"/>
        <v>-2700000</v>
      </c>
      <c r="L61" s="34">
        <f t="shared" si="7"/>
        <v>-2700000</v>
      </c>
      <c r="M61" s="34">
        <f t="shared" si="7"/>
        <v>-2700000</v>
      </c>
    </row>
    <row r="62" spans="2:13" x14ac:dyDescent="0.25">
      <c r="B62" s="19" t="s">
        <v>126</v>
      </c>
      <c r="C62" s="34"/>
      <c r="D62" s="34">
        <f>-D48*D51</f>
        <v>-240662.05091349353</v>
      </c>
      <c r="E62" s="34">
        <f t="shared" ref="E62:M62" si="8">-E48*E51</f>
        <v>-1235398.5280226001</v>
      </c>
      <c r="F62" s="34">
        <f t="shared" si="8"/>
        <v>-1941340.5440355148</v>
      </c>
      <c r="G62" s="34">
        <f t="shared" si="8"/>
        <v>-2135474.5984390662</v>
      </c>
      <c r="H62" s="34">
        <f t="shared" si="8"/>
        <v>-2349022.0582829732</v>
      </c>
      <c r="I62" s="34">
        <f t="shared" si="8"/>
        <v>-2583924.2641112707</v>
      </c>
      <c r="J62" s="34">
        <f t="shared" si="8"/>
        <v>-2842316.6905223979</v>
      </c>
      <c r="K62" s="34">
        <f t="shared" si="8"/>
        <v>-3126548.3595746378</v>
      </c>
      <c r="L62" s="34">
        <f t="shared" si="8"/>
        <v>-3439203.1955321017</v>
      </c>
      <c r="M62" s="34">
        <f t="shared" si="8"/>
        <v>-3783123.5150853121</v>
      </c>
    </row>
    <row r="63" spans="2:13" x14ac:dyDescent="0.25">
      <c r="B63" s="19" t="s">
        <v>131</v>
      </c>
      <c r="C63" s="34"/>
      <c r="D63" s="34">
        <f>-$C$55</f>
        <v>-3000000</v>
      </c>
      <c r="E63" s="34">
        <f t="shared" ref="E63:M63" si="9">-$C$55</f>
        <v>-3000000</v>
      </c>
      <c r="F63" s="34">
        <f t="shared" si="9"/>
        <v>-3000000</v>
      </c>
      <c r="G63" s="34">
        <f t="shared" si="9"/>
        <v>-3000000</v>
      </c>
      <c r="H63" s="34">
        <f t="shared" si="9"/>
        <v>-3000000</v>
      </c>
      <c r="I63" s="34">
        <f t="shared" si="9"/>
        <v>-3000000</v>
      </c>
      <c r="J63" s="34">
        <f t="shared" si="9"/>
        <v>-3000000</v>
      </c>
      <c r="K63" s="34">
        <f t="shared" si="9"/>
        <v>-3000000</v>
      </c>
      <c r="L63" s="34">
        <f t="shared" si="9"/>
        <v>-3000000</v>
      </c>
      <c r="M63" s="34">
        <f t="shared" si="9"/>
        <v>-3000000</v>
      </c>
    </row>
    <row r="64" spans="2:13" ht="15.75" thickBot="1" x14ac:dyDescent="0.3">
      <c r="B64" s="39" t="s">
        <v>17</v>
      </c>
      <c r="C64" s="40"/>
      <c r="D64" s="40">
        <f>-$C$47*(1-0)/$C$56</f>
        <v>-1250000</v>
      </c>
      <c r="E64" s="40">
        <f t="shared" ref="E64:K64" si="10">-$C$47*(1-0)/$C$56</f>
        <v>-1250000</v>
      </c>
      <c r="F64" s="40">
        <f t="shared" si="10"/>
        <v>-1250000</v>
      </c>
      <c r="G64" s="40">
        <f t="shared" si="10"/>
        <v>-1250000</v>
      </c>
      <c r="H64" s="40">
        <f t="shared" si="10"/>
        <v>-1250000</v>
      </c>
      <c r="I64" s="40">
        <f t="shared" si="10"/>
        <v>-1250000</v>
      </c>
      <c r="J64" s="40">
        <f t="shared" si="10"/>
        <v>-1250000</v>
      </c>
      <c r="K64" s="40">
        <f t="shared" si="10"/>
        <v>-1250000</v>
      </c>
      <c r="L64" s="40"/>
      <c r="M64" s="40"/>
    </row>
    <row r="65" spans="2:13" s="7" customFormat="1" ht="15.75" thickTop="1" x14ac:dyDescent="0.25">
      <c r="B65" s="37" t="s">
        <v>18</v>
      </c>
      <c r="C65" s="38">
        <f>SUM(C60:C64)</f>
        <v>0</v>
      </c>
      <c r="D65" s="38">
        <f t="shared" ref="D65:M65" si="11">SUM(D60:D64)</f>
        <v>-3095662.0509134936</v>
      </c>
      <c r="E65" s="38">
        <f t="shared" si="11"/>
        <v>1024601.4719773997</v>
      </c>
      <c r="F65" s="38">
        <f t="shared" si="11"/>
        <v>3108659.4559644852</v>
      </c>
      <c r="G65" s="38">
        <f t="shared" si="11"/>
        <v>2914525.4015609343</v>
      </c>
      <c r="H65" s="38">
        <f t="shared" si="11"/>
        <v>2700977.9417170268</v>
      </c>
      <c r="I65" s="38">
        <f t="shared" si="11"/>
        <v>2466075.7358887289</v>
      </c>
      <c r="J65" s="38">
        <f t="shared" si="11"/>
        <v>2207683.3094776021</v>
      </c>
      <c r="K65" s="38">
        <f t="shared" si="11"/>
        <v>1923451.6404253617</v>
      </c>
      <c r="L65" s="38">
        <f t="shared" si="11"/>
        <v>2860796.8044678979</v>
      </c>
      <c r="M65" s="38">
        <f t="shared" si="11"/>
        <v>2516876.4849146884</v>
      </c>
    </row>
    <row r="66" spans="2:13" ht="15.75" thickBot="1" x14ac:dyDescent="0.3">
      <c r="B66" s="39" t="s">
        <v>128</v>
      </c>
      <c r="C66" s="40">
        <f>-C65*$C$53</f>
        <v>0</v>
      </c>
      <c r="D66" s="40">
        <f t="shared" ref="D66:M66" si="12">-D65*$C$53</f>
        <v>1083481.7178197226</v>
      </c>
      <c r="E66" s="40">
        <f t="shared" si="12"/>
        <v>-358610.51519208984</v>
      </c>
      <c r="F66" s="40">
        <f t="shared" si="12"/>
        <v>-1088030.8095875697</v>
      </c>
      <c r="G66" s="40">
        <f t="shared" si="12"/>
        <v>-1020083.8905463269</v>
      </c>
      <c r="H66" s="40">
        <f t="shared" si="12"/>
        <v>-945342.27960095927</v>
      </c>
      <c r="I66" s="40">
        <f t="shared" si="12"/>
        <v>-863126.50756105501</v>
      </c>
      <c r="J66" s="40">
        <f t="shared" si="12"/>
        <v>-772689.15831716068</v>
      </c>
      <c r="K66" s="40">
        <f t="shared" si="12"/>
        <v>-673208.07414887659</v>
      </c>
      <c r="L66" s="40">
        <f t="shared" si="12"/>
        <v>-1001278.8815637642</v>
      </c>
      <c r="M66" s="40">
        <f t="shared" si="12"/>
        <v>-880906.76972014084</v>
      </c>
    </row>
    <row r="67" spans="2:13" s="7" customFormat="1" ht="15.75" thickTop="1" x14ac:dyDescent="0.25">
      <c r="B67" s="23" t="s">
        <v>35</v>
      </c>
      <c r="C67" s="35">
        <f>+SUM(C65:C66)</f>
        <v>0</v>
      </c>
      <c r="D67" s="35">
        <f t="shared" ref="D67:M67" si="13">+SUM(D65:D66)</f>
        <v>-2012180.333093771</v>
      </c>
      <c r="E67" s="35">
        <f t="shared" si="13"/>
        <v>665990.95678530983</v>
      </c>
      <c r="F67" s="35">
        <f t="shared" si="13"/>
        <v>2020628.6463769155</v>
      </c>
      <c r="G67" s="35">
        <f t="shared" si="13"/>
        <v>1894441.5110146073</v>
      </c>
      <c r="H67" s="35">
        <f t="shared" si="13"/>
        <v>1755635.6621160675</v>
      </c>
      <c r="I67" s="35">
        <f t="shared" si="13"/>
        <v>1602949.2283276739</v>
      </c>
      <c r="J67" s="35">
        <f t="shared" si="13"/>
        <v>1434994.1511604413</v>
      </c>
      <c r="K67" s="35">
        <f t="shared" si="13"/>
        <v>1250243.5662764851</v>
      </c>
      <c r="L67" s="35">
        <f t="shared" si="13"/>
        <v>1859517.9229041338</v>
      </c>
      <c r="M67" s="35">
        <f t="shared" si="13"/>
        <v>1635969.7151945475</v>
      </c>
    </row>
    <row r="68" spans="2:13" x14ac:dyDescent="0.25">
      <c r="B68" s="19" t="s">
        <v>17</v>
      </c>
      <c r="C68" s="34"/>
      <c r="D68" s="34">
        <f>-D64</f>
        <v>1250000</v>
      </c>
      <c r="E68" s="34">
        <f t="shared" ref="E68:K68" si="14">-E64</f>
        <v>1250000</v>
      </c>
      <c r="F68" s="34">
        <f t="shared" si="14"/>
        <v>1250000</v>
      </c>
      <c r="G68" s="34">
        <f t="shared" si="14"/>
        <v>1250000</v>
      </c>
      <c r="H68" s="34">
        <f t="shared" si="14"/>
        <v>1250000</v>
      </c>
      <c r="I68" s="34">
        <f t="shared" si="14"/>
        <v>1250000</v>
      </c>
      <c r="J68" s="34">
        <f t="shared" si="14"/>
        <v>1250000</v>
      </c>
      <c r="K68" s="34">
        <f t="shared" si="14"/>
        <v>1250000</v>
      </c>
      <c r="L68" s="34"/>
      <c r="M68" s="34"/>
    </row>
    <row r="69" spans="2:13" x14ac:dyDescent="0.25">
      <c r="B69" s="19" t="s">
        <v>28</v>
      </c>
      <c r="C69" s="34">
        <f>-C47</f>
        <v>-10000000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2:13" ht="15.75" thickBot="1" x14ac:dyDescent="0.3">
      <c r="B70" s="39" t="s">
        <v>54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>
        <f>+C47*C57</f>
        <v>1000000</v>
      </c>
    </row>
    <row r="71" spans="2:13" s="7" customFormat="1" ht="15.75" thickTop="1" x14ac:dyDescent="0.25">
      <c r="B71" s="23" t="s">
        <v>132</v>
      </c>
      <c r="C71" s="35">
        <f t="shared" ref="C71:L71" si="15">SUM(C67:C70)</f>
        <v>-10000000</v>
      </c>
      <c r="D71" s="35">
        <f t="shared" si="15"/>
        <v>-762180.33309377101</v>
      </c>
      <c r="E71" s="35">
        <f t="shared" si="15"/>
        <v>1915990.9567853098</v>
      </c>
      <c r="F71" s="35">
        <f t="shared" si="15"/>
        <v>3270628.6463769153</v>
      </c>
      <c r="G71" s="35">
        <f t="shared" si="15"/>
        <v>3144441.5110146073</v>
      </c>
      <c r="H71" s="35">
        <f t="shared" si="15"/>
        <v>3005635.6621160675</v>
      </c>
      <c r="I71" s="35">
        <f t="shared" si="15"/>
        <v>2852949.2283276739</v>
      </c>
      <c r="J71" s="35">
        <f t="shared" si="15"/>
        <v>2684994.1511604413</v>
      </c>
      <c r="K71" s="35">
        <f t="shared" si="15"/>
        <v>2500243.5662764851</v>
      </c>
      <c r="L71" s="35">
        <f t="shared" si="15"/>
        <v>1859517.9229041338</v>
      </c>
      <c r="M71" s="35">
        <f>SUM(M67:M70)</f>
        <v>2635969.7151945475</v>
      </c>
    </row>
    <row r="72" spans="2:13" s="7" customFormat="1" x14ac:dyDescent="0.25">
      <c r="B72" s="23" t="s">
        <v>133</v>
      </c>
      <c r="C72" s="35">
        <f>+C71/(1+$C$52)^C59</f>
        <v>-10000000</v>
      </c>
      <c r="D72" s="35">
        <f t="shared" ref="D72:M72" si="16">+D71/(1+$C$52)^D59</f>
        <v>-657052.01128773368</v>
      </c>
      <c r="E72" s="35">
        <f t="shared" si="16"/>
        <v>1423893.3983243981</v>
      </c>
      <c r="F72" s="35">
        <f t="shared" si="16"/>
        <v>2095353.3396055314</v>
      </c>
      <c r="G72" s="35">
        <f t="shared" si="16"/>
        <v>1736647.0543391963</v>
      </c>
      <c r="H72" s="35">
        <f t="shared" si="16"/>
        <v>1431022.2583265437</v>
      </c>
      <c r="I72" s="35">
        <f t="shared" si="16"/>
        <v>1170970.9137264746</v>
      </c>
      <c r="J72" s="35">
        <f t="shared" si="16"/>
        <v>950030.21825096209</v>
      </c>
      <c r="K72" s="35">
        <f t="shared" si="16"/>
        <v>762637.93590979581</v>
      </c>
      <c r="L72" s="35">
        <f t="shared" si="16"/>
        <v>488965.77918787848</v>
      </c>
      <c r="M72" s="35">
        <f t="shared" si="16"/>
        <v>597531.11361694708</v>
      </c>
    </row>
    <row r="73" spans="2:13" s="7" customFormat="1" x14ac:dyDescent="0.25">
      <c r="B73" s="23" t="s">
        <v>26</v>
      </c>
      <c r="C73" s="35">
        <f>+SUM(C72:M72)</f>
        <v>-5.9371814131736755E-9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</row>
    <row r="74" spans="2:13" s="7" customFormat="1" x14ac:dyDescent="0.25">
      <c r="B74" s="23" t="s">
        <v>56</v>
      </c>
      <c r="C74" s="36">
        <f>+IRR(C71:M71)</f>
        <v>0.1599999999999997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</row>
    <row r="75" spans="2:1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3:1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3:1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3:1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3:1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3:1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3:1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3:1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3:1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3:1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3:1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3:1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3:1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3:1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3:1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3:1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3:1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3:1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3:1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3:1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3:1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</sheetData>
  <mergeCells count="14">
    <mergeCell ref="B16:L16"/>
    <mergeCell ref="B17:L17"/>
    <mergeCell ref="B10:L10"/>
    <mergeCell ref="B11:L11"/>
    <mergeCell ref="B12:L12"/>
    <mergeCell ref="B13:L13"/>
    <mergeCell ref="B14:L14"/>
    <mergeCell ref="B15:L15"/>
    <mergeCell ref="B9:L9"/>
    <mergeCell ref="B4:L4"/>
    <mergeCell ref="B5:L5"/>
    <mergeCell ref="B6:L6"/>
    <mergeCell ref="B7:L7"/>
    <mergeCell ref="B8:L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3B08-31F3-4A39-BA20-87DDA81F5D21}">
  <sheetPr>
    <tabColor rgb="FF66FF33"/>
  </sheetPr>
  <dimension ref="B2:M101"/>
  <sheetViews>
    <sheetView showGridLines="0" topLeftCell="A25" workbookViewId="0">
      <selection activeCell="B1" sqref="B1"/>
    </sheetView>
  </sheetViews>
  <sheetFormatPr baseColWidth="10" defaultRowHeight="15" x14ac:dyDescent="0.25"/>
  <cols>
    <col min="2" max="2" width="33.140625" customWidth="1"/>
  </cols>
  <sheetData>
    <row r="2" spans="2:12" x14ac:dyDescent="0.25">
      <c r="B2" s="10" t="s">
        <v>129</v>
      </c>
      <c r="C2" s="10"/>
    </row>
    <row r="4" spans="2:12" ht="67.5" customHeight="1" x14ac:dyDescent="0.25">
      <c r="B4" s="64" t="s">
        <v>81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2:12" x14ac:dyDescent="0.25">
      <c r="B5" s="64" t="s">
        <v>82</v>
      </c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2:12" x14ac:dyDescent="0.25">
      <c r="B6" s="63" t="s">
        <v>83</v>
      </c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2:12" x14ac:dyDescent="0.25">
      <c r="B7" s="63" t="s">
        <v>84</v>
      </c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2:12" x14ac:dyDescent="0.25">
      <c r="B8" s="63" t="s">
        <v>85</v>
      </c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2:12" x14ac:dyDescent="0.25">
      <c r="B9" s="63" t="s">
        <v>86</v>
      </c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2:12" x14ac:dyDescent="0.25">
      <c r="B10" s="63" t="s">
        <v>87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</row>
    <row r="11" spans="2:12" x14ac:dyDescent="0.25">
      <c r="B11" s="63" t="s">
        <v>88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2:12" x14ac:dyDescent="0.25">
      <c r="B12" s="63" t="s">
        <v>89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2:12" x14ac:dyDescent="0.25">
      <c r="B13" s="63" t="s">
        <v>90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</row>
    <row r="14" spans="2:12" x14ac:dyDescent="0.25">
      <c r="B14" s="63" t="s">
        <v>91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</row>
    <row r="15" spans="2:12" x14ac:dyDescent="0.25">
      <c r="B15" s="63" t="s">
        <v>92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</row>
    <row r="16" spans="2:12" x14ac:dyDescent="0.25">
      <c r="B16" s="63" t="s">
        <v>93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2:12" ht="32.25" customHeight="1" x14ac:dyDescent="0.25">
      <c r="B17" s="63" t="s">
        <v>94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20" spans="2:12" ht="15.75" x14ac:dyDescent="0.25">
      <c r="B20" s="30" t="s">
        <v>95</v>
      </c>
      <c r="C20" s="26" t="s">
        <v>96</v>
      </c>
      <c r="D20" s="27"/>
    </row>
    <row r="21" spans="2:12" ht="15.75" x14ac:dyDescent="0.25">
      <c r="B21" s="30" t="s">
        <v>97</v>
      </c>
      <c r="C21" s="26" t="s">
        <v>113</v>
      </c>
      <c r="D21" s="27"/>
    </row>
    <row r="22" spans="2:12" ht="15.75" x14ac:dyDescent="0.25">
      <c r="B22" s="26"/>
      <c r="C22" s="26" t="s">
        <v>114</v>
      </c>
      <c r="D22" s="27"/>
    </row>
    <row r="23" spans="2:12" ht="15.75" x14ac:dyDescent="0.25">
      <c r="B23" s="28" t="s">
        <v>106</v>
      </c>
      <c r="C23" s="29"/>
      <c r="D23" s="27"/>
    </row>
    <row r="24" spans="2:12" ht="15.75" x14ac:dyDescent="0.25">
      <c r="B24" s="28" t="s">
        <v>107</v>
      </c>
      <c r="C24" s="29"/>
      <c r="D24" s="27"/>
    </row>
    <row r="25" spans="2:12" ht="15.75" x14ac:dyDescent="0.25">
      <c r="B25" s="28" t="s">
        <v>115</v>
      </c>
      <c r="C25" s="29"/>
      <c r="D25" s="27"/>
    </row>
    <row r="26" spans="2:12" ht="15.75" x14ac:dyDescent="0.25">
      <c r="B26" s="28"/>
      <c r="C26" s="29" t="s">
        <v>116</v>
      </c>
      <c r="D26" s="27"/>
    </row>
    <row r="27" spans="2:12" ht="15.75" x14ac:dyDescent="0.25">
      <c r="B27" s="28" t="s">
        <v>108</v>
      </c>
      <c r="C27" s="29"/>
      <c r="D27" s="27"/>
    </row>
    <row r="28" spans="2:12" ht="15.75" x14ac:dyDescent="0.25">
      <c r="B28" s="27"/>
      <c r="C28" s="27"/>
      <c r="D28" s="26" t="s">
        <v>98</v>
      </c>
    </row>
    <row r="29" spans="2:12" ht="15.75" x14ac:dyDescent="0.25">
      <c r="B29" s="30" t="s">
        <v>99</v>
      </c>
      <c r="C29" s="26" t="s">
        <v>100</v>
      </c>
      <c r="D29" s="27"/>
    </row>
    <row r="30" spans="2:12" ht="15.75" x14ac:dyDescent="0.25">
      <c r="B30" s="27"/>
      <c r="C30" s="26" t="s">
        <v>101</v>
      </c>
      <c r="D30" s="27"/>
    </row>
    <row r="31" spans="2:12" ht="15.75" x14ac:dyDescent="0.25">
      <c r="B31" s="27"/>
      <c r="C31" s="26" t="s">
        <v>102</v>
      </c>
      <c r="D31" s="27"/>
    </row>
    <row r="32" spans="2:12" ht="15.75" x14ac:dyDescent="0.25">
      <c r="B32" s="30" t="s">
        <v>103</v>
      </c>
      <c r="C32" s="26" t="s">
        <v>104</v>
      </c>
      <c r="D32" s="27"/>
    </row>
    <row r="33" spans="2:13" ht="15.75" x14ac:dyDescent="0.25">
      <c r="B33" s="28" t="s">
        <v>109</v>
      </c>
      <c r="C33" s="29"/>
      <c r="D33" s="27"/>
    </row>
    <row r="34" spans="2:13" ht="15.75" x14ac:dyDescent="0.25">
      <c r="B34" s="28" t="s">
        <v>110</v>
      </c>
      <c r="C34" s="29"/>
      <c r="D34" s="27"/>
    </row>
    <row r="35" spans="2:13" ht="15.75" x14ac:dyDescent="0.25">
      <c r="B35" s="28" t="s">
        <v>111</v>
      </c>
      <c r="C35" s="29"/>
      <c r="D35" s="27"/>
    </row>
    <row r="36" spans="2:13" ht="15.75" x14ac:dyDescent="0.25">
      <c r="B36" s="28" t="s">
        <v>112</v>
      </c>
      <c r="C36" s="29"/>
      <c r="D36" s="27"/>
    </row>
    <row r="37" spans="2:13" ht="15.75" x14ac:dyDescent="0.25">
      <c r="B37" s="27"/>
      <c r="C37" s="26" t="s">
        <v>117</v>
      </c>
      <c r="D37" s="27"/>
    </row>
    <row r="38" spans="2:13" ht="15.75" x14ac:dyDescent="0.25">
      <c r="B38" s="27"/>
      <c r="C38" s="26" t="s">
        <v>118</v>
      </c>
      <c r="D38" s="27"/>
    </row>
    <row r="39" spans="2:13" ht="15.75" x14ac:dyDescent="0.25">
      <c r="B39" s="30" t="s">
        <v>105</v>
      </c>
      <c r="C39" s="26" t="s">
        <v>119</v>
      </c>
      <c r="D39" s="27"/>
    </row>
    <row r="40" spans="2:13" ht="15.75" x14ac:dyDescent="0.25">
      <c r="C40" s="26" t="s">
        <v>120</v>
      </c>
    </row>
    <row r="41" spans="2:13" ht="15.75" x14ac:dyDescent="0.25">
      <c r="C41" s="26" t="s">
        <v>121</v>
      </c>
    </row>
    <row r="44" spans="2:13" x14ac:dyDescent="0.25">
      <c r="B44" s="8" t="s">
        <v>32</v>
      </c>
      <c r="C44" s="9"/>
    </row>
    <row r="46" spans="2:13" x14ac:dyDescent="0.25">
      <c r="B46" s="7" t="s">
        <v>134</v>
      </c>
      <c r="C46" s="11">
        <v>0</v>
      </c>
      <c r="D46" s="11">
        <f>+C46+1</f>
        <v>1</v>
      </c>
      <c r="E46" s="11">
        <f t="shared" ref="E46:M46" si="0">+D46+1</f>
        <v>2</v>
      </c>
      <c r="F46" s="11">
        <f t="shared" si="0"/>
        <v>3</v>
      </c>
      <c r="G46" s="11">
        <f t="shared" si="0"/>
        <v>4</v>
      </c>
      <c r="H46" s="11">
        <f t="shared" si="0"/>
        <v>5</v>
      </c>
      <c r="I46" s="11">
        <f t="shared" si="0"/>
        <v>6</v>
      </c>
      <c r="J46" s="11">
        <f t="shared" si="0"/>
        <v>7</v>
      </c>
      <c r="K46" s="11">
        <f t="shared" si="0"/>
        <v>8</v>
      </c>
      <c r="L46" s="11">
        <f t="shared" si="0"/>
        <v>9</v>
      </c>
      <c r="M46" s="11">
        <f t="shared" si="0"/>
        <v>10</v>
      </c>
    </row>
    <row r="47" spans="2:13" x14ac:dyDescent="0.25">
      <c r="B47" t="s">
        <v>122</v>
      </c>
      <c r="C47" s="44">
        <f>10000000</f>
        <v>10000000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B48" t="s">
        <v>123</v>
      </c>
      <c r="C48" s="42">
        <v>13204.545443058558</v>
      </c>
      <c r="D48" s="3">
        <f>+$F$48*15%</f>
        <v>1980.6818164587835</v>
      </c>
      <c r="E48" s="3">
        <f>+$F$48*70%</f>
        <v>9243.1818101409899</v>
      </c>
      <c r="F48" s="3">
        <f>+$C$48</f>
        <v>13204.545443058558</v>
      </c>
      <c r="G48" s="3">
        <f t="shared" ref="G48:M48" si="1">+$C$48</f>
        <v>13204.545443058558</v>
      </c>
      <c r="H48" s="3">
        <f t="shared" si="1"/>
        <v>13204.545443058558</v>
      </c>
      <c r="I48" s="3">
        <f t="shared" si="1"/>
        <v>13204.545443058558</v>
      </c>
      <c r="J48" s="3">
        <f t="shared" si="1"/>
        <v>13204.545443058558</v>
      </c>
      <c r="K48" s="3">
        <f t="shared" si="1"/>
        <v>13204.545443058558</v>
      </c>
      <c r="L48" s="3">
        <f t="shared" si="1"/>
        <v>13204.545443058558</v>
      </c>
      <c r="M48" s="3">
        <f t="shared" si="1"/>
        <v>13204.545443058558</v>
      </c>
    </row>
    <row r="49" spans="2:13" x14ac:dyDescent="0.25">
      <c r="B49" t="s">
        <v>124</v>
      </c>
      <c r="C49" s="44">
        <v>180</v>
      </c>
      <c r="D49" s="3">
        <f>+$C$49</f>
        <v>180</v>
      </c>
      <c r="E49" s="3">
        <f t="shared" ref="E49:M49" si="2">+$C$49</f>
        <v>180</v>
      </c>
      <c r="F49" s="3">
        <f t="shared" si="2"/>
        <v>180</v>
      </c>
      <c r="G49" s="3">
        <f t="shared" si="2"/>
        <v>180</v>
      </c>
      <c r="H49" s="3">
        <f t="shared" si="2"/>
        <v>180</v>
      </c>
      <c r="I49" s="3">
        <f t="shared" si="2"/>
        <v>180</v>
      </c>
      <c r="J49" s="3">
        <f t="shared" si="2"/>
        <v>180</v>
      </c>
      <c r="K49" s="3">
        <f t="shared" si="2"/>
        <v>180</v>
      </c>
      <c r="L49" s="3">
        <f t="shared" si="2"/>
        <v>180</v>
      </c>
      <c r="M49" s="3">
        <f t="shared" si="2"/>
        <v>180</v>
      </c>
    </row>
    <row r="50" spans="2:13" x14ac:dyDescent="0.25">
      <c r="B50" t="s">
        <v>125</v>
      </c>
      <c r="C50" s="44">
        <v>6</v>
      </c>
      <c r="D50" s="2">
        <f>+C50*1.1</f>
        <v>6.6000000000000005</v>
      </c>
      <c r="E50" s="2">
        <f t="shared" ref="E50:M50" si="3">+D50*1.1</f>
        <v>7.2600000000000016</v>
      </c>
      <c r="F50" s="2">
        <f t="shared" si="3"/>
        <v>7.9860000000000024</v>
      </c>
      <c r="G50" s="2">
        <f t="shared" si="3"/>
        <v>8.7846000000000029</v>
      </c>
      <c r="H50" s="2">
        <f t="shared" si="3"/>
        <v>9.6630600000000033</v>
      </c>
      <c r="I50" s="2">
        <f t="shared" si="3"/>
        <v>10.629366000000005</v>
      </c>
      <c r="J50" s="2">
        <f t="shared" si="3"/>
        <v>11.692302600000007</v>
      </c>
      <c r="K50" s="2">
        <f t="shared" si="3"/>
        <v>12.861532860000008</v>
      </c>
      <c r="L50" s="2">
        <f t="shared" si="3"/>
        <v>14.147686146000009</v>
      </c>
      <c r="M50" s="2">
        <f t="shared" si="3"/>
        <v>15.56245476060001</v>
      </c>
    </row>
    <row r="51" spans="2:13" x14ac:dyDescent="0.25">
      <c r="B51" t="s">
        <v>139</v>
      </c>
      <c r="C51" s="45">
        <v>10</v>
      </c>
      <c r="D51" s="2">
        <f>+D50*$C$51</f>
        <v>66</v>
      </c>
      <c r="E51" s="2">
        <f t="shared" ref="E51:M51" si="4">+E50*$C$51</f>
        <v>72.600000000000023</v>
      </c>
      <c r="F51" s="2">
        <f t="shared" si="4"/>
        <v>79.860000000000028</v>
      </c>
      <c r="G51" s="2">
        <f t="shared" si="4"/>
        <v>87.846000000000032</v>
      </c>
      <c r="H51" s="2">
        <f t="shared" si="4"/>
        <v>96.63060000000003</v>
      </c>
      <c r="I51" s="2">
        <f t="shared" si="4"/>
        <v>106.29366000000005</v>
      </c>
      <c r="J51" s="2">
        <f t="shared" si="4"/>
        <v>116.92302600000006</v>
      </c>
      <c r="K51" s="2">
        <f t="shared" si="4"/>
        <v>128.61532860000008</v>
      </c>
      <c r="L51" s="2">
        <f t="shared" si="4"/>
        <v>141.47686146000009</v>
      </c>
      <c r="M51" s="2">
        <f t="shared" si="4"/>
        <v>155.62454760600011</v>
      </c>
    </row>
    <row r="52" spans="2:13" x14ac:dyDescent="0.25">
      <c r="B52" t="s">
        <v>127</v>
      </c>
      <c r="C52" s="46">
        <v>0.16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5">
      <c r="B53" t="s">
        <v>128</v>
      </c>
      <c r="C53" s="31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5">
      <c r="B54" t="s">
        <v>135</v>
      </c>
      <c r="C54" s="3">
        <v>800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x14ac:dyDescent="0.25">
      <c r="B55" t="s">
        <v>136</v>
      </c>
      <c r="C55" s="3">
        <v>3000000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x14ac:dyDescent="0.25">
      <c r="B56" t="s">
        <v>137</v>
      </c>
      <c r="C56" s="3">
        <v>8</v>
      </c>
      <c r="D56" s="3" t="s">
        <v>138</v>
      </c>
      <c r="E56" s="3"/>
      <c r="F56" s="3"/>
      <c r="G56" s="3"/>
      <c r="H56" s="3"/>
      <c r="I56" s="3"/>
      <c r="J56" s="3"/>
      <c r="K56" s="3"/>
      <c r="L56" s="3"/>
      <c r="M56" s="3"/>
    </row>
    <row r="57" spans="2:13" x14ac:dyDescent="0.25">
      <c r="B57" t="s">
        <v>54</v>
      </c>
      <c r="C57" s="31">
        <v>0.1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5">
      <c r="B59" s="23" t="s">
        <v>66</v>
      </c>
      <c r="C59" s="33">
        <f>+C46</f>
        <v>0</v>
      </c>
      <c r="D59" s="33">
        <f t="shared" ref="D59:M59" si="5">+D46</f>
        <v>1</v>
      </c>
      <c r="E59" s="33">
        <f t="shared" si="5"/>
        <v>2</v>
      </c>
      <c r="F59" s="33">
        <f t="shared" si="5"/>
        <v>3</v>
      </c>
      <c r="G59" s="33">
        <f t="shared" si="5"/>
        <v>4</v>
      </c>
      <c r="H59" s="33">
        <f t="shared" si="5"/>
        <v>5</v>
      </c>
      <c r="I59" s="33">
        <f t="shared" si="5"/>
        <v>6</v>
      </c>
      <c r="J59" s="33">
        <f t="shared" si="5"/>
        <v>7</v>
      </c>
      <c r="K59" s="33">
        <f t="shared" si="5"/>
        <v>8</v>
      </c>
      <c r="L59" s="33">
        <f t="shared" si="5"/>
        <v>9</v>
      </c>
      <c r="M59" s="33">
        <f t="shared" si="5"/>
        <v>10</v>
      </c>
    </row>
    <row r="60" spans="2:13" x14ac:dyDescent="0.25">
      <c r="B60" s="19" t="s">
        <v>14</v>
      </c>
      <c r="C60" s="34"/>
      <c r="D60" s="34">
        <f>+D48*$C$54</f>
        <v>1584545.4531670269</v>
      </c>
      <c r="E60" s="34">
        <f t="shared" ref="E60:M60" si="6">+E48*$C$54</f>
        <v>7394545.4481127923</v>
      </c>
      <c r="F60" s="34">
        <f t="shared" si="6"/>
        <v>10563636.354446847</v>
      </c>
      <c r="G60" s="34">
        <f t="shared" si="6"/>
        <v>10563636.354446847</v>
      </c>
      <c r="H60" s="34">
        <f t="shared" si="6"/>
        <v>10563636.354446847</v>
      </c>
      <c r="I60" s="34">
        <f t="shared" si="6"/>
        <v>10563636.354446847</v>
      </c>
      <c r="J60" s="34">
        <f t="shared" si="6"/>
        <v>10563636.354446847</v>
      </c>
      <c r="K60" s="34">
        <f t="shared" si="6"/>
        <v>10563636.354446847</v>
      </c>
      <c r="L60" s="34">
        <f t="shared" si="6"/>
        <v>10563636.354446847</v>
      </c>
      <c r="M60" s="34">
        <f t="shared" si="6"/>
        <v>10563636.354446847</v>
      </c>
    </row>
    <row r="61" spans="2:13" x14ac:dyDescent="0.25">
      <c r="B61" s="19" t="s">
        <v>124</v>
      </c>
      <c r="C61" s="34"/>
      <c r="D61" s="34">
        <f>-D48*D49</f>
        <v>-356522.72696258104</v>
      </c>
      <c r="E61" s="34">
        <f t="shared" ref="E61:M61" si="7">-E48*E49</f>
        <v>-1663772.7258253782</v>
      </c>
      <c r="F61" s="34">
        <f t="shared" si="7"/>
        <v>-2376818.1797505403</v>
      </c>
      <c r="G61" s="34">
        <f t="shared" si="7"/>
        <v>-2376818.1797505403</v>
      </c>
      <c r="H61" s="34">
        <f t="shared" si="7"/>
        <v>-2376818.1797505403</v>
      </c>
      <c r="I61" s="34">
        <f t="shared" si="7"/>
        <v>-2376818.1797505403</v>
      </c>
      <c r="J61" s="34">
        <f t="shared" si="7"/>
        <v>-2376818.1797505403</v>
      </c>
      <c r="K61" s="34">
        <f t="shared" si="7"/>
        <v>-2376818.1797505403</v>
      </c>
      <c r="L61" s="34">
        <f t="shared" si="7"/>
        <v>-2376818.1797505403</v>
      </c>
      <c r="M61" s="34">
        <f t="shared" si="7"/>
        <v>-2376818.1797505403</v>
      </c>
    </row>
    <row r="62" spans="2:13" x14ac:dyDescent="0.25">
      <c r="B62" s="19" t="s">
        <v>126</v>
      </c>
      <c r="C62" s="34"/>
      <c r="D62" s="34">
        <f>-D48*D51</f>
        <v>-130724.99988627971</v>
      </c>
      <c r="E62" s="34">
        <f t="shared" ref="E62:M62" si="8">-E48*E51</f>
        <v>-671054.99941623607</v>
      </c>
      <c r="F62" s="34">
        <f t="shared" si="8"/>
        <v>-1054514.9990826568</v>
      </c>
      <c r="G62" s="34">
        <f t="shared" si="8"/>
        <v>-1159966.4989909225</v>
      </c>
      <c r="H62" s="34">
        <f t="shared" si="8"/>
        <v>-1275963.1488900147</v>
      </c>
      <c r="I62" s="34">
        <f t="shared" si="8"/>
        <v>-1403559.4637790164</v>
      </c>
      <c r="J62" s="34">
        <f t="shared" si="8"/>
        <v>-1543915.4101569182</v>
      </c>
      <c r="K62" s="34">
        <f t="shared" si="8"/>
        <v>-1698306.95117261</v>
      </c>
      <c r="L62" s="34">
        <f t="shared" si="8"/>
        <v>-1868137.6462898711</v>
      </c>
      <c r="M62" s="34">
        <f t="shared" si="8"/>
        <v>-2054951.4109188584</v>
      </c>
    </row>
    <row r="63" spans="2:13" x14ac:dyDescent="0.25">
      <c r="B63" s="19" t="s">
        <v>131</v>
      </c>
      <c r="C63" s="34"/>
      <c r="D63" s="34">
        <f>-$C$55</f>
        <v>-3000000</v>
      </c>
      <c r="E63" s="34">
        <f t="shared" ref="E63:M63" si="9">-$C$55</f>
        <v>-3000000</v>
      </c>
      <c r="F63" s="34">
        <f t="shared" si="9"/>
        <v>-3000000</v>
      </c>
      <c r="G63" s="34">
        <f t="shared" si="9"/>
        <v>-3000000</v>
      </c>
      <c r="H63" s="34">
        <f t="shared" si="9"/>
        <v>-3000000</v>
      </c>
      <c r="I63" s="34">
        <f t="shared" si="9"/>
        <v>-3000000</v>
      </c>
      <c r="J63" s="34">
        <f t="shared" si="9"/>
        <v>-3000000</v>
      </c>
      <c r="K63" s="34">
        <f t="shared" si="9"/>
        <v>-3000000</v>
      </c>
      <c r="L63" s="34">
        <f t="shared" si="9"/>
        <v>-3000000</v>
      </c>
      <c r="M63" s="34">
        <f t="shared" si="9"/>
        <v>-3000000</v>
      </c>
    </row>
    <row r="64" spans="2:13" ht="15.75" thickBot="1" x14ac:dyDescent="0.3">
      <c r="B64" s="39" t="s">
        <v>17</v>
      </c>
      <c r="C64" s="40"/>
      <c r="D64" s="40">
        <f>-$C$47*(1-0)/$C$56</f>
        <v>-1250000</v>
      </c>
      <c r="E64" s="40">
        <f t="shared" ref="E64:K64" si="10">-$C$47*(1-0)/$C$56</f>
        <v>-1250000</v>
      </c>
      <c r="F64" s="40">
        <f t="shared" si="10"/>
        <v>-1250000</v>
      </c>
      <c r="G64" s="40">
        <f t="shared" si="10"/>
        <v>-1250000</v>
      </c>
      <c r="H64" s="40">
        <f t="shared" si="10"/>
        <v>-1250000</v>
      </c>
      <c r="I64" s="40">
        <f t="shared" si="10"/>
        <v>-1250000</v>
      </c>
      <c r="J64" s="40">
        <f t="shared" si="10"/>
        <v>-1250000</v>
      </c>
      <c r="K64" s="40">
        <f t="shared" si="10"/>
        <v>-1250000</v>
      </c>
      <c r="L64" s="40"/>
      <c r="M64" s="40"/>
    </row>
    <row r="65" spans="2:13" s="7" customFormat="1" ht="15.75" thickTop="1" x14ac:dyDescent="0.25">
      <c r="B65" s="37" t="s">
        <v>18</v>
      </c>
      <c r="C65" s="38">
        <f>SUM(C60:C64)</f>
        <v>0</v>
      </c>
      <c r="D65" s="38">
        <f t="shared" ref="D65:M65" si="11">SUM(D60:D64)</f>
        <v>-3152702.2736818339</v>
      </c>
      <c r="E65" s="38">
        <f t="shared" si="11"/>
        <v>809717.72287117876</v>
      </c>
      <c r="F65" s="38">
        <f t="shared" si="11"/>
        <v>2882303.1756136501</v>
      </c>
      <c r="G65" s="38">
        <f t="shared" si="11"/>
        <v>2776851.6757053845</v>
      </c>
      <c r="H65" s="38">
        <f t="shared" si="11"/>
        <v>2660855.025806292</v>
      </c>
      <c r="I65" s="38">
        <f t="shared" si="11"/>
        <v>2533258.7109172903</v>
      </c>
      <c r="J65" s="38">
        <f t="shared" si="11"/>
        <v>2392902.7645393889</v>
      </c>
      <c r="K65" s="38">
        <f t="shared" si="11"/>
        <v>2238511.2235236969</v>
      </c>
      <c r="L65" s="38">
        <f t="shared" si="11"/>
        <v>3318680.5284064356</v>
      </c>
      <c r="M65" s="38">
        <f t="shared" si="11"/>
        <v>3131866.7637774479</v>
      </c>
    </row>
    <row r="66" spans="2:13" ht="15.75" thickBot="1" x14ac:dyDescent="0.3">
      <c r="B66" s="39" t="s">
        <v>128</v>
      </c>
      <c r="C66" s="40">
        <f>-C65*$C$53</f>
        <v>0</v>
      </c>
      <c r="D66" s="40">
        <f t="shared" ref="D66:M66" si="12">-D65*$C$53</f>
        <v>1103445.7957886418</v>
      </c>
      <c r="E66" s="40">
        <f t="shared" si="12"/>
        <v>-283401.20300491253</v>
      </c>
      <c r="F66" s="40">
        <f t="shared" si="12"/>
        <v>-1008806.1114647775</v>
      </c>
      <c r="G66" s="40">
        <f t="shared" si="12"/>
        <v>-971898.08649688447</v>
      </c>
      <c r="H66" s="40">
        <f t="shared" si="12"/>
        <v>-931299.25903220207</v>
      </c>
      <c r="I66" s="40">
        <f t="shared" si="12"/>
        <v>-886640.54882105161</v>
      </c>
      <c r="J66" s="40">
        <f t="shared" si="12"/>
        <v>-837515.96758878604</v>
      </c>
      <c r="K66" s="40">
        <f t="shared" si="12"/>
        <v>-783478.92823329382</v>
      </c>
      <c r="L66" s="40">
        <f t="shared" si="12"/>
        <v>-1161538.1849422525</v>
      </c>
      <c r="M66" s="40">
        <f t="shared" si="12"/>
        <v>-1096153.3673221066</v>
      </c>
    </row>
    <row r="67" spans="2:13" s="7" customFormat="1" ht="15.75" thickTop="1" x14ac:dyDescent="0.25">
      <c r="B67" s="23" t="s">
        <v>35</v>
      </c>
      <c r="C67" s="35">
        <f>+SUM(C65:C66)</f>
        <v>0</v>
      </c>
      <c r="D67" s="35">
        <f t="shared" ref="D67:M67" si="13">+SUM(D65:D66)</f>
        <v>-2049256.4778931921</v>
      </c>
      <c r="E67" s="35">
        <f t="shared" si="13"/>
        <v>526316.51986626629</v>
      </c>
      <c r="F67" s="35">
        <f t="shared" si="13"/>
        <v>1873497.0641488726</v>
      </c>
      <c r="G67" s="35">
        <f t="shared" si="13"/>
        <v>1804953.5892085</v>
      </c>
      <c r="H67" s="35">
        <f t="shared" si="13"/>
        <v>1729555.76677409</v>
      </c>
      <c r="I67" s="35">
        <f t="shared" si="13"/>
        <v>1646618.1620962387</v>
      </c>
      <c r="J67" s="35">
        <f t="shared" si="13"/>
        <v>1555386.7969506029</v>
      </c>
      <c r="K67" s="35">
        <f t="shared" si="13"/>
        <v>1455032.2952904031</v>
      </c>
      <c r="L67" s="35">
        <f t="shared" si="13"/>
        <v>2157142.3434641832</v>
      </c>
      <c r="M67" s="35">
        <f t="shared" si="13"/>
        <v>2035713.3964553413</v>
      </c>
    </row>
    <row r="68" spans="2:13" x14ac:dyDescent="0.25">
      <c r="B68" s="19" t="s">
        <v>17</v>
      </c>
      <c r="C68" s="34"/>
      <c r="D68" s="34">
        <f>-D64</f>
        <v>1250000</v>
      </c>
      <c r="E68" s="34">
        <f t="shared" ref="E68:K68" si="14">-E64</f>
        <v>1250000</v>
      </c>
      <c r="F68" s="34">
        <f t="shared" si="14"/>
        <v>1250000</v>
      </c>
      <c r="G68" s="34">
        <f t="shared" si="14"/>
        <v>1250000</v>
      </c>
      <c r="H68" s="34">
        <f t="shared" si="14"/>
        <v>1250000</v>
      </c>
      <c r="I68" s="34">
        <f t="shared" si="14"/>
        <v>1250000</v>
      </c>
      <c r="J68" s="34">
        <f t="shared" si="14"/>
        <v>1250000</v>
      </c>
      <c r="K68" s="34">
        <f t="shared" si="14"/>
        <v>1250000</v>
      </c>
      <c r="L68" s="34"/>
      <c r="M68" s="34"/>
    </row>
    <row r="69" spans="2:13" x14ac:dyDescent="0.25">
      <c r="B69" s="19" t="s">
        <v>28</v>
      </c>
      <c r="C69" s="34">
        <f>-C47</f>
        <v>-10000000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2:13" ht="15.75" thickBot="1" x14ac:dyDescent="0.3">
      <c r="B70" s="39" t="s">
        <v>54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>
        <f>+C47*C57</f>
        <v>1000000</v>
      </c>
    </row>
    <row r="71" spans="2:13" s="7" customFormat="1" ht="15.75" thickTop="1" x14ac:dyDescent="0.25">
      <c r="B71" s="23" t="s">
        <v>132</v>
      </c>
      <c r="C71" s="35">
        <f t="shared" ref="C71:L71" si="15">SUM(C67:C70)</f>
        <v>-10000000</v>
      </c>
      <c r="D71" s="35">
        <f t="shared" si="15"/>
        <v>-799256.47789319209</v>
      </c>
      <c r="E71" s="35">
        <f t="shared" si="15"/>
        <v>1776316.5198662663</v>
      </c>
      <c r="F71" s="35">
        <f t="shared" si="15"/>
        <v>3123497.0641488726</v>
      </c>
      <c r="G71" s="35">
        <f t="shared" si="15"/>
        <v>3054953.5892085</v>
      </c>
      <c r="H71" s="35">
        <f t="shared" si="15"/>
        <v>2979555.76677409</v>
      </c>
      <c r="I71" s="35">
        <f t="shared" si="15"/>
        <v>2896618.1620962387</v>
      </c>
      <c r="J71" s="35">
        <f t="shared" si="15"/>
        <v>2805386.7969506029</v>
      </c>
      <c r="K71" s="35">
        <f t="shared" si="15"/>
        <v>2705032.2952904031</v>
      </c>
      <c r="L71" s="35">
        <f t="shared" si="15"/>
        <v>2157142.3434641832</v>
      </c>
      <c r="M71" s="35">
        <f>SUM(M67:M70)</f>
        <v>3035713.396455341</v>
      </c>
    </row>
    <row r="72" spans="2:13" s="7" customFormat="1" x14ac:dyDescent="0.25">
      <c r="B72" s="23" t="s">
        <v>133</v>
      </c>
      <c r="C72" s="35">
        <f>+C71/(1+$C$52)^C59</f>
        <v>-10000000</v>
      </c>
      <c r="D72" s="35">
        <f t="shared" ref="D72:M72" si="16">+D71/(1+$C$52)^D59</f>
        <v>-689014.20508033806</v>
      </c>
      <c r="E72" s="35">
        <f t="shared" si="16"/>
        <v>1320092.5385450851</v>
      </c>
      <c r="F72" s="35">
        <f t="shared" si="16"/>
        <v>2001092.3624308556</v>
      </c>
      <c r="G72" s="35">
        <f t="shared" si="16"/>
        <v>1687223.6717578594</v>
      </c>
      <c r="H72" s="35">
        <f t="shared" si="16"/>
        <v>1418605.280713588</v>
      </c>
      <c r="I72" s="35">
        <f t="shared" si="16"/>
        <v>1188894.4893613665</v>
      </c>
      <c r="J72" s="35">
        <f t="shared" si="16"/>
        <v>992628.69151259097</v>
      </c>
      <c r="K72" s="35">
        <f t="shared" si="16"/>
        <v>825103.71152435208</v>
      </c>
      <c r="L72" s="35">
        <f t="shared" si="16"/>
        <v>567227.00749440875</v>
      </c>
      <c r="M72" s="35">
        <f t="shared" si="16"/>
        <v>688146.45174023462</v>
      </c>
    </row>
    <row r="73" spans="2:13" s="7" customFormat="1" x14ac:dyDescent="0.25">
      <c r="B73" s="23" t="s">
        <v>26</v>
      </c>
      <c r="C73" s="35">
        <f>+SUM(C72:M72)</f>
        <v>2.9103830456733704E-9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</row>
    <row r="74" spans="2:13" s="7" customFormat="1" x14ac:dyDescent="0.25">
      <c r="B74" s="23" t="s">
        <v>56</v>
      </c>
      <c r="C74" s="36">
        <f>+IRR(C71:M71)</f>
        <v>0.15999999999999992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</row>
    <row r="75" spans="2:1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3:1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3:1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3:1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3:1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3:1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3:1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3:1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3:1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3:1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3:1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3:1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3:1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3:1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3:1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3:1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3:1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3:1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3:1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3:1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3:1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</sheetData>
  <mergeCells count="14">
    <mergeCell ref="B16:L16"/>
    <mergeCell ref="B17:L17"/>
    <mergeCell ref="B10:L10"/>
    <mergeCell ref="B11:L11"/>
    <mergeCell ref="B12:L12"/>
    <mergeCell ref="B13:L13"/>
    <mergeCell ref="B14:L14"/>
    <mergeCell ref="B15:L15"/>
    <mergeCell ref="B9:L9"/>
    <mergeCell ref="B4:L4"/>
    <mergeCell ref="B5:L5"/>
    <mergeCell ref="B6:L6"/>
    <mergeCell ref="B7:L7"/>
    <mergeCell ref="B8:L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57C2-79B6-44A2-A9A3-0630C6EB2D76}">
  <sheetPr>
    <tabColor rgb="FF66FF33"/>
  </sheetPr>
  <dimension ref="B2:M104"/>
  <sheetViews>
    <sheetView showGridLines="0" tabSelected="1" topLeftCell="A22" workbookViewId="0">
      <selection activeCell="H41" sqref="H41"/>
    </sheetView>
  </sheetViews>
  <sheetFormatPr baseColWidth="10" defaultRowHeight="15" x14ac:dyDescent="0.25"/>
  <cols>
    <col min="1" max="1" width="11.42578125" style="54"/>
    <col min="2" max="2" width="33.140625" style="54" customWidth="1"/>
    <col min="3" max="4" width="13.42578125" style="54" bestFit="1" customWidth="1"/>
    <col min="5" max="5" width="11.5703125" style="54" bestFit="1" customWidth="1"/>
    <col min="6" max="13" width="13.42578125" style="54" bestFit="1" customWidth="1"/>
    <col min="14" max="16384" width="11.42578125" style="54"/>
  </cols>
  <sheetData>
    <row r="2" spans="2:12" x14ac:dyDescent="0.25">
      <c r="B2" s="53" t="s">
        <v>129</v>
      </c>
      <c r="C2" s="53"/>
    </row>
    <row r="4" spans="2:12" ht="67.5" customHeight="1" x14ac:dyDescent="0.25">
      <c r="B4" s="66" t="s">
        <v>81</v>
      </c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2:12" ht="15.75" x14ac:dyDescent="0.25">
      <c r="B5" s="66" t="s">
        <v>82</v>
      </c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2:12" ht="15.75" x14ac:dyDescent="0.25">
      <c r="B6" s="65" t="s">
        <v>145</v>
      </c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2:12" ht="15.75" x14ac:dyDescent="0.25">
      <c r="B7" s="65" t="s">
        <v>146</v>
      </c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2:12" ht="15.75" x14ac:dyDescent="0.25">
      <c r="B8" s="65" t="s">
        <v>147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2:12" ht="15.75" x14ac:dyDescent="0.25">
      <c r="B9" s="65" t="s">
        <v>148</v>
      </c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2:12" ht="15.75" x14ac:dyDescent="0.25">
      <c r="B10" s="65" t="s">
        <v>149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2:12" ht="15.75" x14ac:dyDescent="0.25">
      <c r="B11" s="65" t="s">
        <v>150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</row>
    <row r="12" spans="2:12" ht="15.75" x14ac:dyDescent="0.25">
      <c r="B12" s="65" t="s">
        <v>151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</row>
    <row r="13" spans="2:12" ht="15.75" x14ac:dyDescent="0.25">
      <c r="B13" s="65" t="s">
        <v>152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2:12" ht="15.75" x14ac:dyDescent="0.25">
      <c r="B14" s="65" t="s">
        <v>153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2:12" ht="15.75" x14ac:dyDescent="0.25">
      <c r="B15" s="65" t="s">
        <v>154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2:12" ht="15.75" x14ac:dyDescent="0.25">
      <c r="B16" s="65" t="s">
        <v>155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2:12" ht="32.25" customHeight="1" x14ac:dyDescent="0.25">
      <c r="B17" s="65" t="s">
        <v>156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</row>
    <row r="20" spans="2:12" ht="15.75" x14ac:dyDescent="0.25">
      <c r="B20" s="30" t="s">
        <v>95</v>
      </c>
      <c r="C20" s="26" t="s">
        <v>96</v>
      </c>
      <c r="D20" s="27"/>
    </row>
    <row r="21" spans="2:12" ht="15.75" x14ac:dyDescent="0.25">
      <c r="B21" s="30" t="s">
        <v>97</v>
      </c>
      <c r="C21" s="26" t="s">
        <v>113</v>
      </c>
      <c r="D21" s="27"/>
    </row>
    <row r="22" spans="2:12" ht="15.75" x14ac:dyDescent="0.25">
      <c r="B22" s="26"/>
      <c r="C22" s="26" t="s">
        <v>114</v>
      </c>
      <c r="D22" s="27"/>
    </row>
    <row r="23" spans="2:12" ht="15.75" x14ac:dyDescent="0.25">
      <c r="B23" s="55" t="s">
        <v>106</v>
      </c>
      <c r="C23" s="29"/>
      <c r="D23" s="27"/>
    </row>
    <row r="24" spans="2:12" ht="15.75" x14ac:dyDescent="0.25">
      <c r="B24" s="55" t="s">
        <v>107</v>
      </c>
      <c r="C24" s="29"/>
      <c r="D24" s="27"/>
    </row>
    <row r="25" spans="2:12" ht="15.75" x14ac:dyDescent="0.25">
      <c r="B25" s="55" t="s">
        <v>115</v>
      </c>
      <c r="C25" s="29"/>
      <c r="D25" s="27"/>
    </row>
    <row r="26" spans="2:12" ht="15.75" x14ac:dyDescent="0.25">
      <c r="B26" s="55"/>
      <c r="C26" s="29" t="s">
        <v>116</v>
      </c>
      <c r="D26" s="27"/>
    </row>
    <row r="27" spans="2:12" ht="15.75" x14ac:dyDescent="0.25">
      <c r="B27" s="55" t="s">
        <v>108</v>
      </c>
      <c r="C27" s="29"/>
      <c r="D27" s="27"/>
    </row>
    <row r="28" spans="2:12" ht="15.75" x14ac:dyDescent="0.25">
      <c r="B28" s="27"/>
      <c r="C28" s="27"/>
      <c r="D28" s="26" t="s">
        <v>98</v>
      </c>
    </row>
    <row r="29" spans="2:12" ht="15.75" x14ac:dyDescent="0.25">
      <c r="B29" s="30" t="s">
        <v>99</v>
      </c>
      <c r="C29" s="26" t="s">
        <v>100</v>
      </c>
      <c r="D29" s="27"/>
    </row>
    <row r="30" spans="2:12" ht="15.75" x14ac:dyDescent="0.25">
      <c r="B30" s="27"/>
      <c r="C30" s="26" t="s">
        <v>101</v>
      </c>
      <c r="D30" s="27"/>
    </row>
    <row r="31" spans="2:12" ht="15.75" x14ac:dyDescent="0.25">
      <c r="B31" s="27"/>
      <c r="C31" s="26" t="s">
        <v>102</v>
      </c>
      <c r="D31" s="27"/>
    </row>
    <row r="32" spans="2:12" ht="15.75" x14ac:dyDescent="0.25">
      <c r="B32" s="30" t="s">
        <v>103</v>
      </c>
      <c r="C32" s="26" t="s">
        <v>104</v>
      </c>
      <c r="D32" s="27"/>
    </row>
    <row r="33" spans="2:13" ht="15.75" x14ac:dyDescent="0.25">
      <c r="B33" s="55" t="s">
        <v>109</v>
      </c>
      <c r="C33" s="29"/>
      <c r="D33" s="27"/>
    </row>
    <row r="34" spans="2:13" ht="15.75" x14ac:dyDescent="0.25">
      <c r="B34" s="55" t="s">
        <v>110</v>
      </c>
      <c r="C34" s="29"/>
      <c r="D34" s="27"/>
    </row>
    <row r="35" spans="2:13" ht="15.75" x14ac:dyDescent="0.25">
      <c r="B35" s="55" t="s">
        <v>111</v>
      </c>
      <c r="C35" s="29"/>
      <c r="D35" s="27"/>
    </row>
    <row r="36" spans="2:13" ht="15.75" x14ac:dyDescent="0.25">
      <c r="B36" s="55" t="s">
        <v>112</v>
      </c>
      <c r="C36" s="29"/>
      <c r="D36" s="27"/>
    </row>
    <row r="37" spans="2:13" ht="15.75" x14ac:dyDescent="0.25">
      <c r="B37" s="27"/>
      <c r="C37" s="26" t="s">
        <v>117</v>
      </c>
      <c r="D37" s="27"/>
    </row>
    <row r="38" spans="2:13" ht="15.75" x14ac:dyDescent="0.25">
      <c r="B38" s="27"/>
      <c r="C38" s="26" t="s">
        <v>118</v>
      </c>
      <c r="D38" s="27"/>
    </row>
    <row r="39" spans="2:13" ht="15.75" x14ac:dyDescent="0.25">
      <c r="B39" s="30" t="s">
        <v>105</v>
      </c>
      <c r="C39" s="26" t="s">
        <v>119</v>
      </c>
      <c r="D39" s="27"/>
    </row>
    <row r="40" spans="2:13" ht="15.75" x14ac:dyDescent="0.25">
      <c r="C40" s="26" t="s">
        <v>120</v>
      </c>
    </row>
    <row r="41" spans="2:13" ht="15.75" x14ac:dyDescent="0.25">
      <c r="C41" s="26" t="s">
        <v>121</v>
      </c>
    </row>
    <row r="44" spans="2:13" x14ac:dyDescent="0.25">
      <c r="B44" s="56" t="s">
        <v>32</v>
      </c>
      <c r="C44" s="57"/>
    </row>
    <row r="46" spans="2:13" x14ac:dyDescent="0.25">
      <c r="B46" s="7" t="s">
        <v>134</v>
      </c>
      <c r="C46" s="11">
        <v>0</v>
      </c>
      <c r="D46" s="11">
        <f>+C46+1</f>
        <v>1</v>
      </c>
      <c r="E46" s="11">
        <f t="shared" ref="E46:M46" si="0">+D46+1</f>
        <v>2</v>
      </c>
      <c r="F46" s="11">
        <f t="shared" si="0"/>
        <v>3</v>
      </c>
      <c r="G46" s="11">
        <f t="shared" si="0"/>
        <v>4</v>
      </c>
      <c r="H46" s="11">
        <f t="shared" si="0"/>
        <v>5</v>
      </c>
      <c r="I46" s="11">
        <f t="shared" si="0"/>
        <v>6</v>
      </c>
      <c r="J46" s="11">
        <f t="shared" si="0"/>
        <v>7</v>
      </c>
      <c r="K46" s="11">
        <f t="shared" si="0"/>
        <v>8</v>
      </c>
      <c r="L46" s="11">
        <f t="shared" si="0"/>
        <v>9</v>
      </c>
      <c r="M46" s="11">
        <f t="shared" si="0"/>
        <v>10</v>
      </c>
    </row>
    <row r="47" spans="2:13" x14ac:dyDescent="0.25">
      <c r="B47" s="54" t="s">
        <v>122</v>
      </c>
      <c r="C47" s="44">
        <f>10000000</f>
        <v>10000000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B48" s="54" t="s">
        <v>123</v>
      </c>
      <c r="C48" s="44">
        <v>15000</v>
      </c>
      <c r="D48" s="3">
        <f>+$F$48*15%</f>
        <v>2250</v>
      </c>
      <c r="E48" s="3">
        <f>+$F$48*70%</f>
        <v>10500</v>
      </c>
      <c r="F48" s="3">
        <f>+$C$48</f>
        <v>15000</v>
      </c>
      <c r="G48" s="3">
        <f t="shared" ref="G48:M48" si="1">+$C$48</f>
        <v>15000</v>
      </c>
      <c r="H48" s="3">
        <f t="shared" si="1"/>
        <v>15000</v>
      </c>
      <c r="I48" s="3">
        <f t="shared" si="1"/>
        <v>15000</v>
      </c>
      <c r="J48" s="3">
        <f t="shared" si="1"/>
        <v>15000</v>
      </c>
      <c r="K48" s="3">
        <f t="shared" si="1"/>
        <v>15000</v>
      </c>
      <c r="L48" s="3">
        <f t="shared" si="1"/>
        <v>15000</v>
      </c>
      <c r="M48" s="3">
        <f t="shared" si="1"/>
        <v>15000</v>
      </c>
    </row>
    <row r="49" spans="2:13" x14ac:dyDescent="0.25">
      <c r="B49" s="54" t="s">
        <v>124</v>
      </c>
      <c r="C49" s="44">
        <v>180</v>
      </c>
      <c r="D49" s="3">
        <f>+$C$49</f>
        <v>180</v>
      </c>
      <c r="E49" s="3">
        <f t="shared" ref="E49:M49" si="2">+$C$49</f>
        <v>180</v>
      </c>
      <c r="F49" s="3">
        <f t="shared" si="2"/>
        <v>180</v>
      </c>
      <c r="G49" s="3">
        <f t="shared" si="2"/>
        <v>180</v>
      </c>
      <c r="H49" s="3">
        <f t="shared" si="2"/>
        <v>180</v>
      </c>
      <c r="I49" s="3">
        <f t="shared" si="2"/>
        <v>180</v>
      </c>
      <c r="J49" s="3">
        <f t="shared" si="2"/>
        <v>180</v>
      </c>
      <c r="K49" s="3">
        <f t="shared" si="2"/>
        <v>180</v>
      </c>
      <c r="L49" s="3">
        <f t="shared" si="2"/>
        <v>180</v>
      </c>
      <c r="M49" s="3">
        <f t="shared" si="2"/>
        <v>180</v>
      </c>
    </row>
    <row r="50" spans="2:13" x14ac:dyDescent="0.25">
      <c r="B50" s="54" t="s">
        <v>125</v>
      </c>
      <c r="C50" s="44">
        <v>6</v>
      </c>
      <c r="D50" s="2">
        <f>+C50*1.1</f>
        <v>6.6000000000000005</v>
      </c>
      <c r="E50" s="2">
        <f t="shared" ref="E50:M50" si="3">+D50*1.1</f>
        <v>7.2600000000000016</v>
      </c>
      <c r="F50" s="2">
        <f t="shared" si="3"/>
        <v>7.9860000000000024</v>
      </c>
      <c r="G50" s="2">
        <f t="shared" si="3"/>
        <v>8.7846000000000029</v>
      </c>
      <c r="H50" s="2">
        <f t="shared" si="3"/>
        <v>9.6630600000000033</v>
      </c>
      <c r="I50" s="2">
        <f t="shared" si="3"/>
        <v>10.629366000000005</v>
      </c>
      <c r="J50" s="2">
        <f t="shared" si="3"/>
        <v>11.692302600000007</v>
      </c>
      <c r="K50" s="2">
        <f t="shared" si="3"/>
        <v>12.861532860000008</v>
      </c>
      <c r="L50" s="2">
        <f t="shared" si="3"/>
        <v>14.147686146000009</v>
      </c>
      <c r="M50" s="2">
        <f t="shared" si="3"/>
        <v>15.56245476060001</v>
      </c>
    </row>
    <row r="51" spans="2:13" x14ac:dyDescent="0.25">
      <c r="B51" s="54" t="s">
        <v>139</v>
      </c>
      <c r="C51" s="45">
        <v>10</v>
      </c>
      <c r="D51" s="2">
        <f>+D50*$C$51</f>
        <v>66</v>
      </c>
      <c r="E51" s="2">
        <f t="shared" ref="E51:M51" si="4">+E50*$C$51</f>
        <v>72.600000000000023</v>
      </c>
      <c r="F51" s="2">
        <f t="shared" si="4"/>
        <v>79.860000000000028</v>
      </c>
      <c r="G51" s="2">
        <f t="shared" si="4"/>
        <v>87.846000000000032</v>
      </c>
      <c r="H51" s="2">
        <f t="shared" si="4"/>
        <v>96.63060000000003</v>
      </c>
      <c r="I51" s="2">
        <f t="shared" si="4"/>
        <v>106.29366000000005</v>
      </c>
      <c r="J51" s="2">
        <f t="shared" si="4"/>
        <v>116.92302600000006</v>
      </c>
      <c r="K51" s="2">
        <f t="shared" si="4"/>
        <v>128.61532860000008</v>
      </c>
      <c r="L51" s="2">
        <f t="shared" si="4"/>
        <v>141.47686146000009</v>
      </c>
      <c r="M51" s="2">
        <f t="shared" si="4"/>
        <v>155.62454760600011</v>
      </c>
    </row>
    <row r="52" spans="2:13" x14ac:dyDescent="0.25">
      <c r="B52" s="54" t="s">
        <v>127</v>
      </c>
      <c r="C52" s="46">
        <v>0.16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5">
      <c r="B53" s="54" t="s">
        <v>128</v>
      </c>
      <c r="C53" s="31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5">
      <c r="B54" s="54" t="s">
        <v>135</v>
      </c>
      <c r="C54" s="3">
        <v>800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x14ac:dyDescent="0.25">
      <c r="B55" s="54" t="s">
        <v>136</v>
      </c>
      <c r="C55" s="3">
        <v>3000000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x14ac:dyDescent="0.25">
      <c r="B56" s="54" t="s">
        <v>137</v>
      </c>
      <c r="C56" s="3">
        <v>8</v>
      </c>
      <c r="D56" s="3" t="s">
        <v>138</v>
      </c>
      <c r="E56" s="3"/>
      <c r="F56" s="3"/>
      <c r="G56" s="3"/>
      <c r="H56" s="3"/>
      <c r="I56" s="3"/>
      <c r="J56" s="3"/>
      <c r="K56" s="3"/>
      <c r="L56" s="3"/>
      <c r="M56" s="3"/>
    </row>
    <row r="57" spans="2:13" x14ac:dyDescent="0.25">
      <c r="B57" s="54" t="s">
        <v>54</v>
      </c>
      <c r="C57" s="31">
        <v>0.1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5">
      <c r="B59" s="23" t="s">
        <v>66</v>
      </c>
      <c r="C59" s="33">
        <f>+C46</f>
        <v>0</v>
      </c>
      <c r="D59" s="33">
        <f t="shared" ref="D59:M59" si="5">+D46</f>
        <v>1</v>
      </c>
      <c r="E59" s="33">
        <f t="shared" si="5"/>
        <v>2</v>
      </c>
      <c r="F59" s="33">
        <f t="shared" si="5"/>
        <v>3</v>
      </c>
      <c r="G59" s="33">
        <f t="shared" si="5"/>
        <v>4</v>
      </c>
      <c r="H59" s="33">
        <f t="shared" si="5"/>
        <v>5</v>
      </c>
      <c r="I59" s="33">
        <f t="shared" si="5"/>
        <v>6</v>
      </c>
      <c r="J59" s="33">
        <f t="shared" si="5"/>
        <v>7</v>
      </c>
      <c r="K59" s="33">
        <f t="shared" si="5"/>
        <v>8</v>
      </c>
      <c r="L59" s="33">
        <f t="shared" si="5"/>
        <v>9</v>
      </c>
      <c r="M59" s="33">
        <f t="shared" si="5"/>
        <v>10</v>
      </c>
    </row>
    <row r="60" spans="2:13" x14ac:dyDescent="0.25">
      <c r="B60" s="58" t="s">
        <v>14</v>
      </c>
      <c r="C60" s="34"/>
      <c r="D60" s="34">
        <f>+D48*$C$54</f>
        <v>1800000</v>
      </c>
      <c r="E60" s="34">
        <f t="shared" ref="E60:M60" si="6">+E48*$C$54</f>
        <v>8400000</v>
      </c>
      <c r="F60" s="34">
        <f t="shared" si="6"/>
        <v>12000000</v>
      </c>
      <c r="G60" s="34">
        <f t="shared" si="6"/>
        <v>12000000</v>
      </c>
      <c r="H60" s="34">
        <f t="shared" si="6"/>
        <v>12000000</v>
      </c>
      <c r="I60" s="34">
        <f t="shared" si="6"/>
        <v>12000000</v>
      </c>
      <c r="J60" s="34">
        <f t="shared" si="6"/>
        <v>12000000</v>
      </c>
      <c r="K60" s="34">
        <f t="shared" si="6"/>
        <v>12000000</v>
      </c>
      <c r="L60" s="34">
        <f t="shared" si="6"/>
        <v>12000000</v>
      </c>
      <c r="M60" s="34">
        <f t="shared" si="6"/>
        <v>12000000</v>
      </c>
    </row>
    <row r="61" spans="2:13" x14ac:dyDescent="0.25">
      <c r="B61" s="58" t="s">
        <v>124</v>
      </c>
      <c r="C61" s="34"/>
      <c r="D61" s="34">
        <f>-D48*D49</f>
        <v>-405000</v>
      </c>
      <c r="E61" s="34">
        <f t="shared" ref="E61:M61" si="7">-E48*E49</f>
        <v>-1890000</v>
      </c>
      <c r="F61" s="34">
        <f t="shared" si="7"/>
        <v>-2700000</v>
      </c>
      <c r="G61" s="34">
        <f t="shared" si="7"/>
        <v>-2700000</v>
      </c>
      <c r="H61" s="34">
        <f t="shared" si="7"/>
        <v>-2700000</v>
      </c>
      <c r="I61" s="34">
        <f t="shared" si="7"/>
        <v>-2700000</v>
      </c>
      <c r="J61" s="34">
        <f t="shared" si="7"/>
        <v>-2700000</v>
      </c>
      <c r="K61" s="34">
        <f t="shared" si="7"/>
        <v>-2700000</v>
      </c>
      <c r="L61" s="34">
        <f t="shared" si="7"/>
        <v>-2700000</v>
      </c>
      <c r="M61" s="34">
        <f t="shared" si="7"/>
        <v>-2700000</v>
      </c>
    </row>
    <row r="62" spans="2:13" x14ac:dyDescent="0.25">
      <c r="B62" s="58" t="s">
        <v>126</v>
      </c>
      <c r="C62" s="34"/>
      <c r="D62" s="34">
        <f>-D48*D51</f>
        <v>-148500</v>
      </c>
      <c r="E62" s="34">
        <f t="shared" ref="E62:M62" si="8">-E48*E51</f>
        <v>-762300.00000000023</v>
      </c>
      <c r="F62" s="34">
        <f t="shared" si="8"/>
        <v>-1197900.0000000005</v>
      </c>
      <c r="G62" s="34">
        <f t="shared" si="8"/>
        <v>-1317690.0000000005</v>
      </c>
      <c r="H62" s="34">
        <f t="shared" si="8"/>
        <v>-1449459.0000000005</v>
      </c>
      <c r="I62" s="34">
        <f t="shared" si="8"/>
        <v>-1594404.9000000006</v>
      </c>
      <c r="J62" s="34">
        <f t="shared" si="8"/>
        <v>-1753845.3900000011</v>
      </c>
      <c r="K62" s="34">
        <f t="shared" si="8"/>
        <v>-1929229.9290000012</v>
      </c>
      <c r="L62" s="34">
        <f t="shared" si="8"/>
        <v>-2122152.9219000014</v>
      </c>
      <c r="M62" s="34">
        <f t="shared" si="8"/>
        <v>-2334368.2140900018</v>
      </c>
    </row>
    <row r="63" spans="2:13" x14ac:dyDescent="0.25">
      <c r="B63" s="58" t="s">
        <v>131</v>
      </c>
      <c r="C63" s="34"/>
      <c r="D63" s="34">
        <f>-$C$55</f>
        <v>-3000000</v>
      </c>
      <c r="E63" s="34">
        <f t="shared" ref="E63:M63" si="9">-$C$55</f>
        <v>-3000000</v>
      </c>
      <c r="F63" s="34">
        <f t="shared" si="9"/>
        <v>-3000000</v>
      </c>
      <c r="G63" s="34">
        <f t="shared" si="9"/>
        <v>-3000000</v>
      </c>
      <c r="H63" s="34">
        <f t="shared" si="9"/>
        <v>-3000000</v>
      </c>
      <c r="I63" s="34">
        <f t="shared" si="9"/>
        <v>-3000000</v>
      </c>
      <c r="J63" s="34">
        <f t="shared" si="9"/>
        <v>-3000000</v>
      </c>
      <c r="K63" s="34">
        <f t="shared" si="9"/>
        <v>-3000000</v>
      </c>
      <c r="L63" s="34">
        <f t="shared" si="9"/>
        <v>-3000000</v>
      </c>
      <c r="M63" s="34">
        <f t="shared" si="9"/>
        <v>-3000000</v>
      </c>
    </row>
    <row r="64" spans="2:13" x14ac:dyDescent="0.25">
      <c r="B64" s="59" t="s">
        <v>74</v>
      </c>
      <c r="C64" s="47"/>
      <c r="D64" s="47">
        <f>-G85</f>
        <v>-1100000</v>
      </c>
      <c r="E64" s="47">
        <f>-H85</f>
        <v>-957873.47166692652</v>
      </c>
      <c r="F64" s="47">
        <f>-I85</f>
        <v>-784479.10710057709</v>
      </c>
      <c r="G64" s="47">
        <f>-J85</f>
        <v>-572937.98232963064</v>
      </c>
      <c r="H64" s="47">
        <f>-K85</f>
        <v>-314857.81010907609</v>
      </c>
      <c r="I64" s="47"/>
      <c r="J64" s="47"/>
      <c r="K64" s="47"/>
      <c r="L64" s="47"/>
      <c r="M64" s="47"/>
    </row>
    <row r="65" spans="2:13" ht="15.75" thickBot="1" x14ac:dyDescent="0.3">
      <c r="B65" s="60" t="s">
        <v>17</v>
      </c>
      <c r="C65" s="40"/>
      <c r="D65" s="40">
        <f>-$C$47*(1-0)/$C$56</f>
        <v>-1250000</v>
      </c>
      <c r="E65" s="40">
        <f t="shared" ref="E65:K65" si="10">-$C$47*(1-0)/$C$56</f>
        <v>-1250000</v>
      </c>
      <c r="F65" s="40">
        <f t="shared" si="10"/>
        <v>-1250000</v>
      </c>
      <c r="G65" s="40">
        <f t="shared" si="10"/>
        <v>-1250000</v>
      </c>
      <c r="H65" s="40">
        <f t="shared" si="10"/>
        <v>-1250000</v>
      </c>
      <c r="I65" s="40">
        <f t="shared" si="10"/>
        <v>-1250000</v>
      </c>
      <c r="J65" s="40">
        <f t="shared" si="10"/>
        <v>-1250000</v>
      </c>
      <c r="K65" s="40">
        <f t="shared" si="10"/>
        <v>-1250000</v>
      </c>
      <c r="L65" s="40"/>
      <c r="M65" s="40"/>
    </row>
    <row r="66" spans="2:13" s="7" customFormat="1" ht="15.75" thickTop="1" x14ac:dyDescent="0.25">
      <c r="B66" s="37" t="s">
        <v>18</v>
      </c>
      <c r="C66" s="38">
        <f>SUM(C60:C65)</f>
        <v>0</v>
      </c>
      <c r="D66" s="38">
        <f t="shared" ref="D66:M66" si="11">SUM(D60:D65)</f>
        <v>-4103500</v>
      </c>
      <c r="E66" s="38">
        <f t="shared" si="11"/>
        <v>539826.52833307348</v>
      </c>
      <c r="F66" s="38">
        <f t="shared" si="11"/>
        <v>3067620.8928994229</v>
      </c>
      <c r="G66" s="38">
        <f t="shared" si="11"/>
        <v>3159372.0176703697</v>
      </c>
      <c r="H66" s="38">
        <f t="shared" si="11"/>
        <v>3285683.1898909239</v>
      </c>
      <c r="I66" s="38">
        <f t="shared" si="11"/>
        <v>3455595.0999999996</v>
      </c>
      <c r="J66" s="38">
        <f t="shared" si="11"/>
        <v>3296154.6099999994</v>
      </c>
      <c r="K66" s="38">
        <f t="shared" si="11"/>
        <v>3120770.0709999986</v>
      </c>
      <c r="L66" s="38">
        <f t="shared" si="11"/>
        <v>4177847.0780999986</v>
      </c>
      <c r="M66" s="38">
        <f t="shared" si="11"/>
        <v>3965631.7859099982</v>
      </c>
    </row>
    <row r="67" spans="2:13" ht="15.75" thickBot="1" x14ac:dyDescent="0.3">
      <c r="B67" s="60" t="s">
        <v>128</v>
      </c>
      <c r="C67" s="40">
        <f>-C66*$C$53</f>
        <v>0</v>
      </c>
      <c r="D67" s="40">
        <f t="shared" ref="D67:M67" si="12">-D66*$C$53</f>
        <v>1436225</v>
      </c>
      <c r="E67" s="40">
        <f t="shared" si="12"/>
        <v>-188939.28491657571</v>
      </c>
      <c r="F67" s="40">
        <f t="shared" si="12"/>
        <v>-1073667.312514798</v>
      </c>
      <c r="G67" s="40">
        <f t="shared" si="12"/>
        <v>-1105780.2061846294</v>
      </c>
      <c r="H67" s="40">
        <f t="shared" si="12"/>
        <v>-1149989.1164618232</v>
      </c>
      <c r="I67" s="40">
        <f t="shared" si="12"/>
        <v>-1209458.2849999997</v>
      </c>
      <c r="J67" s="40">
        <f t="shared" si="12"/>
        <v>-1153654.1134999997</v>
      </c>
      <c r="K67" s="40">
        <f t="shared" si="12"/>
        <v>-1092269.5248499995</v>
      </c>
      <c r="L67" s="40">
        <f t="shared" si="12"/>
        <v>-1462246.4773349995</v>
      </c>
      <c r="M67" s="40">
        <f t="shared" si="12"/>
        <v>-1387971.1250684992</v>
      </c>
    </row>
    <row r="68" spans="2:13" s="7" customFormat="1" ht="15.75" thickTop="1" x14ac:dyDescent="0.25">
      <c r="B68" s="23" t="s">
        <v>35</v>
      </c>
      <c r="C68" s="35">
        <f>+SUM(C66:C67)</f>
        <v>0</v>
      </c>
      <c r="D68" s="35">
        <f t="shared" ref="D68:M68" si="13">+SUM(D66:D67)</f>
        <v>-2667275</v>
      </c>
      <c r="E68" s="35">
        <f t="shared" si="13"/>
        <v>350887.24341649777</v>
      </c>
      <c r="F68" s="35">
        <f t="shared" si="13"/>
        <v>1993953.5803846249</v>
      </c>
      <c r="G68" s="35">
        <f t="shared" si="13"/>
        <v>2053591.8114857404</v>
      </c>
      <c r="H68" s="35">
        <f t="shared" si="13"/>
        <v>2135694.0734291007</v>
      </c>
      <c r="I68" s="35">
        <f t="shared" si="13"/>
        <v>2246136.8149999999</v>
      </c>
      <c r="J68" s="35">
        <f t="shared" si="13"/>
        <v>2142500.4964999994</v>
      </c>
      <c r="K68" s="35">
        <f t="shared" si="13"/>
        <v>2028500.5461499991</v>
      </c>
      <c r="L68" s="35">
        <f t="shared" si="13"/>
        <v>2715600.6007649992</v>
      </c>
      <c r="M68" s="35">
        <f t="shared" si="13"/>
        <v>2577660.660841499</v>
      </c>
    </row>
    <row r="69" spans="2:13" x14ac:dyDescent="0.25">
      <c r="B69" s="58" t="s">
        <v>17</v>
      </c>
      <c r="C69" s="34"/>
      <c r="D69" s="34">
        <f>-D65</f>
        <v>1250000</v>
      </c>
      <c r="E69" s="34">
        <f t="shared" ref="E69:K69" si="14">-E65</f>
        <v>1250000</v>
      </c>
      <c r="F69" s="34">
        <f t="shared" si="14"/>
        <v>1250000</v>
      </c>
      <c r="G69" s="34">
        <f t="shared" si="14"/>
        <v>1250000</v>
      </c>
      <c r="H69" s="34">
        <f t="shared" si="14"/>
        <v>1250000</v>
      </c>
      <c r="I69" s="34">
        <f t="shared" si="14"/>
        <v>1250000</v>
      </c>
      <c r="J69" s="34">
        <f t="shared" si="14"/>
        <v>1250000</v>
      </c>
      <c r="K69" s="34">
        <f t="shared" si="14"/>
        <v>1250000</v>
      </c>
      <c r="L69" s="34"/>
      <c r="M69" s="34"/>
    </row>
    <row r="70" spans="2:13" x14ac:dyDescent="0.25">
      <c r="B70" s="58" t="s">
        <v>28</v>
      </c>
      <c r="C70" s="34">
        <f>-C47</f>
        <v>-10000000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</row>
    <row r="71" spans="2:13" x14ac:dyDescent="0.25">
      <c r="B71" s="58" t="s">
        <v>54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>
        <f>+C47*C57</f>
        <v>1000000</v>
      </c>
    </row>
    <row r="72" spans="2:13" x14ac:dyDescent="0.25">
      <c r="B72" s="58" t="s">
        <v>75</v>
      </c>
      <c r="C72" s="34">
        <f>+C82</f>
        <v>5000000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2:13" ht="15.75" thickBot="1" x14ac:dyDescent="0.3">
      <c r="B73" s="60" t="s">
        <v>144</v>
      </c>
      <c r="C73" s="40"/>
      <c r="D73" s="40">
        <f>-G86</f>
        <v>-646029.67424124246</v>
      </c>
      <c r="E73" s="40">
        <f t="shared" ref="E73:H73" si="15">-H86</f>
        <v>-788156.20257431595</v>
      </c>
      <c r="F73" s="40">
        <f t="shared" si="15"/>
        <v>-961550.56714066537</v>
      </c>
      <c r="G73" s="40">
        <f t="shared" si="15"/>
        <v>-1173091.6919116117</v>
      </c>
      <c r="H73" s="40">
        <f t="shared" si="15"/>
        <v>-1431171.8641321664</v>
      </c>
      <c r="I73" s="40"/>
      <c r="J73" s="40"/>
      <c r="K73" s="40"/>
      <c r="L73" s="40"/>
      <c r="M73" s="40"/>
    </row>
    <row r="74" spans="2:13" s="7" customFormat="1" ht="15.75" thickTop="1" x14ac:dyDescent="0.25">
      <c r="B74" s="23" t="s">
        <v>132</v>
      </c>
      <c r="C74" s="35">
        <f t="shared" ref="C74:L74" si="16">SUM(C68:C73)</f>
        <v>-5000000</v>
      </c>
      <c r="D74" s="35">
        <f t="shared" si="16"/>
        <v>-2063304.6742412425</v>
      </c>
      <c r="E74" s="35">
        <f t="shared" si="16"/>
        <v>812731.04084218177</v>
      </c>
      <c r="F74" s="35">
        <f t="shared" si="16"/>
        <v>2282403.0132439598</v>
      </c>
      <c r="G74" s="35">
        <f t="shared" si="16"/>
        <v>2130500.1195741287</v>
      </c>
      <c r="H74" s="35">
        <f t="shared" si="16"/>
        <v>1954522.2092969343</v>
      </c>
      <c r="I74" s="35">
        <f t="shared" si="16"/>
        <v>3496136.8149999999</v>
      </c>
      <c r="J74" s="35">
        <f t="shared" si="16"/>
        <v>3392500.4964999994</v>
      </c>
      <c r="K74" s="35">
        <f t="shared" si="16"/>
        <v>3278500.5461499989</v>
      </c>
      <c r="L74" s="35">
        <f t="shared" si="16"/>
        <v>2715600.6007649992</v>
      </c>
      <c r="M74" s="35">
        <f>SUM(M68:M73)</f>
        <v>3577660.660841499</v>
      </c>
    </row>
    <row r="75" spans="2:13" s="7" customFormat="1" x14ac:dyDescent="0.25">
      <c r="B75" s="23" t="s">
        <v>133</v>
      </c>
      <c r="C75" s="35">
        <f>+C74/(1+$C$52)^C59</f>
        <v>-5000000</v>
      </c>
      <c r="D75" s="35">
        <f t="shared" ref="D75:M75" si="17">+D74/(1+$C$52)^D59</f>
        <v>-1778710.9260700368</v>
      </c>
      <c r="E75" s="35">
        <f t="shared" si="17"/>
        <v>603991.55829531944</v>
      </c>
      <c r="F75" s="35">
        <f t="shared" si="17"/>
        <v>1462239.0045486439</v>
      </c>
      <c r="G75" s="35">
        <f t="shared" si="17"/>
        <v>1176656.2500740783</v>
      </c>
      <c r="H75" s="35">
        <f t="shared" si="17"/>
        <v>930573.46276239224</v>
      </c>
      <c r="I75" s="35">
        <f t="shared" si="17"/>
        <v>1434962.2769743581</v>
      </c>
      <c r="J75" s="35">
        <f t="shared" si="17"/>
        <v>1200366.8558136101</v>
      </c>
      <c r="K75" s="35">
        <f t="shared" si="17"/>
        <v>1000026.126701962</v>
      </c>
      <c r="L75" s="35">
        <f t="shared" si="17"/>
        <v>714075.27045631188</v>
      </c>
      <c r="M75" s="35">
        <f t="shared" si="17"/>
        <v>810997.01050942694</v>
      </c>
    </row>
    <row r="76" spans="2:13" s="7" customFormat="1" x14ac:dyDescent="0.25">
      <c r="B76" s="23" t="s">
        <v>26</v>
      </c>
      <c r="C76" s="35">
        <f>+SUM(C75:M75)</f>
        <v>2555176.8900660668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</row>
    <row r="77" spans="2:13" s="7" customFormat="1" x14ac:dyDescent="0.25">
      <c r="B77" s="23" t="s">
        <v>56</v>
      </c>
      <c r="C77" s="36">
        <f>+IRR(C74:M74)</f>
        <v>0.23056079321026091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</row>
    <row r="78" spans="2:1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 x14ac:dyDescent="0.25">
      <c r="B82" s="58" t="s">
        <v>140</v>
      </c>
      <c r="C82" s="34">
        <v>5000000</v>
      </c>
      <c r="D82" s="3"/>
      <c r="E82" s="49"/>
      <c r="F82" s="50" t="s">
        <v>66</v>
      </c>
      <c r="G82" s="48">
        <v>1</v>
      </c>
      <c r="H82" s="34">
        <v>2</v>
      </c>
      <c r="I82" s="34">
        <v>3</v>
      </c>
      <c r="J82" s="34">
        <v>4</v>
      </c>
      <c r="K82" s="34">
        <v>5</v>
      </c>
      <c r="L82" s="34"/>
      <c r="M82" s="3"/>
    </row>
    <row r="83" spans="2:13" x14ac:dyDescent="0.25">
      <c r="B83" s="58" t="s">
        <v>141</v>
      </c>
      <c r="C83" s="34">
        <v>5</v>
      </c>
      <c r="D83" s="3"/>
      <c r="E83" s="49"/>
      <c r="F83" s="50" t="s">
        <v>67</v>
      </c>
      <c r="G83" s="48">
        <f>+$C$87</f>
        <v>1746029.6742412425</v>
      </c>
      <c r="H83" s="34">
        <f t="shared" ref="H83:K83" si="18">+$C$87</f>
        <v>1746029.6742412425</v>
      </c>
      <c r="I83" s="34">
        <f t="shared" si="18"/>
        <v>1746029.6742412425</v>
      </c>
      <c r="J83" s="34">
        <f t="shared" si="18"/>
        <v>1746029.6742412425</v>
      </c>
      <c r="K83" s="34">
        <f t="shared" si="18"/>
        <v>1746029.6742412425</v>
      </c>
      <c r="L83" s="34">
        <f>SUM(G83:K83)</f>
        <v>8730148.3712062128</v>
      </c>
      <c r="M83" s="3"/>
    </row>
    <row r="84" spans="2:13" x14ac:dyDescent="0.25">
      <c r="B84" s="58" t="s">
        <v>60</v>
      </c>
      <c r="C84" s="24">
        <v>0.22</v>
      </c>
      <c r="D84" s="3"/>
      <c r="E84" s="49"/>
      <c r="F84" s="50" t="s">
        <v>142</v>
      </c>
      <c r="G84" s="48">
        <f>+C82</f>
        <v>5000000</v>
      </c>
      <c r="H84" s="34">
        <f>+G84-G86</f>
        <v>4353970.3257587571</v>
      </c>
      <c r="I84" s="34">
        <f t="shared" ref="I84:L84" si="19">+H84-H86</f>
        <v>3565814.1231844411</v>
      </c>
      <c r="J84" s="34">
        <f t="shared" si="19"/>
        <v>2604263.5560437758</v>
      </c>
      <c r="K84" s="34">
        <f t="shared" si="19"/>
        <v>1431171.864132164</v>
      </c>
      <c r="L84" s="34">
        <f t="shared" si="19"/>
        <v>-2.3283064365386963E-9</v>
      </c>
      <c r="M84" s="3"/>
    </row>
    <row r="85" spans="2:13" x14ac:dyDescent="0.25">
      <c r="C85" s="3"/>
      <c r="D85" s="3"/>
      <c r="E85" s="49"/>
      <c r="F85" s="50" t="s">
        <v>143</v>
      </c>
      <c r="G85" s="48">
        <f>+G84*$C$84</f>
        <v>1100000</v>
      </c>
      <c r="H85" s="34">
        <f t="shared" ref="H85:K85" si="20">+H84*$C$84</f>
        <v>957873.47166692652</v>
      </c>
      <c r="I85" s="34">
        <f t="shared" si="20"/>
        <v>784479.10710057709</v>
      </c>
      <c r="J85" s="34">
        <f t="shared" si="20"/>
        <v>572937.98232963064</v>
      </c>
      <c r="K85" s="34">
        <f t="shared" si="20"/>
        <v>314857.81010907609</v>
      </c>
      <c r="L85" s="34">
        <f>SUM(G85:K85)</f>
        <v>3730148.3712062105</v>
      </c>
      <c r="M85" s="3"/>
    </row>
    <row r="86" spans="2:13" x14ac:dyDescent="0.25">
      <c r="B86" s="58" t="s">
        <v>64</v>
      </c>
      <c r="C86" s="58"/>
      <c r="D86" s="3"/>
      <c r="E86" s="49"/>
      <c r="F86" s="50" t="s">
        <v>144</v>
      </c>
      <c r="G86" s="48">
        <f>+G83-G85</f>
        <v>646029.67424124246</v>
      </c>
      <c r="H86" s="34">
        <f t="shared" ref="H86:K86" si="21">+H83-H85</f>
        <v>788156.20257431595</v>
      </c>
      <c r="I86" s="34">
        <f t="shared" si="21"/>
        <v>961550.56714066537</v>
      </c>
      <c r="J86" s="34">
        <f t="shared" si="21"/>
        <v>1173091.6919116117</v>
      </c>
      <c r="K86" s="34">
        <f t="shared" si="21"/>
        <v>1431171.8641321664</v>
      </c>
      <c r="L86" s="34">
        <f>SUM(G86:K86)</f>
        <v>5000000.0000000019</v>
      </c>
      <c r="M86" s="3"/>
    </row>
    <row r="87" spans="2:13" x14ac:dyDescent="0.25">
      <c r="B87" s="58" t="s">
        <v>65</v>
      </c>
      <c r="C87" s="61">
        <f>+C82*((1+C84)^C83*C84)/((1+C84)^C83-1)</f>
        <v>1746029.6742412425</v>
      </c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 x14ac:dyDescent="0.25">
      <c r="B88" s="58" t="s">
        <v>65</v>
      </c>
      <c r="C88" s="61">
        <f>+PMT(C84,C83,-C82)</f>
        <v>1746029.6742412427</v>
      </c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3:1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3:1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3:1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3:1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3:13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3:13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3:13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</sheetData>
  <mergeCells count="14">
    <mergeCell ref="B16:L16"/>
    <mergeCell ref="B17:L17"/>
    <mergeCell ref="B10:L10"/>
    <mergeCell ref="B11:L11"/>
    <mergeCell ref="B12:L12"/>
    <mergeCell ref="B13:L13"/>
    <mergeCell ref="B14:L14"/>
    <mergeCell ref="B15:L15"/>
    <mergeCell ref="B9:L9"/>
    <mergeCell ref="B4:L4"/>
    <mergeCell ref="B5:L5"/>
    <mergeCell ref="B6:L6"/>
    <mergeCell ref="B7:L7"/>
    <mergeCell ref="B8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Evaluacion economica 1</vt:lpstr>
      <vt:lpstr>Evaluacion economica 2 A</vt:lpstr>
      <vt:lpstr>Evaluacion economica 2 B Optimi</vt:lpstr>
      <vt:lpstr>Evaluacion economica 2 B Pesimi</vt:lpstr>
      <vt:lpstr>Evaluacion economica 2 C costo</vt:lpstr>
      <vt:lpstr>Evaluacion economica 2 C demand</vt:lpstr>
      <vt:lpstr>Evaluacion economica 2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</dc:creator>
  <cp:lastModifiedBy>santiago</cp:lastModifiedBy>
  <dcterms:created xsi:type="dcterms:W3CDTF">2015-06-05T18:19:34Z</dcterms:created>
  <dcterms:modified xsi:type="dcterms:W3CDTF">2024-04-05T00:20:54Z</dcterms:modified>
</cp:coreProperties>
</file>