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antiago\Documentos\UCC-Santi\4to\Economia\Practico\Parciales - Finales\Finales\"/>
    </mc:Choice>
  </mc:AlternateContent>
  <xr:revisionPtr revIDLastSave="0" documentId="13_ncr:1_{4B96DD26-DE02-4B31-A7BE-1E821B0A5E02}" xr6:coauthVersionLast="47" xr6:coauthVersionMax="47" xr10:uidLastSave="{00000000-0000-0000-0000-000000000000}"/>
  <bookViews>
    <workbookView xWindow="28680" yWindow="-120" windowWidth="24240" windowHeight="1302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4" i="1" l="1"/>
  <c r="E73" i="1"/>
  <c r="E72" i="1"/>
  <c r="D72" i="1"/>
  <c r="D73" i="1" s="1"/>
  <c r="C72" i="1"/>
  <c r="C73" i="1" s="1"/>
  <c r="B72" i="1"/>
  <c r="B73" i="1" s="1"/>
  <c r="F73" i="1" s="1"/>
  <c r="H65" i="1"/>
  <c r="G65" i="1"/>
  <c r="F65" i="1"/>
  <c r="F84" i="1" s="1"/>
  <c r="E65" i="1"/>
  <c r="E84" i="1" s="1"/>
  <c r="D65" i="1"/>
  <c r="D84" i="1" s="1"/>
  <c r="C65" i="1"/>
  <c r="C84" i="1" s="1"/>
  <c r="B65" i="1"/>
  <c r="B84" i="1" s="1"/>
  <c r="G61" i="1"/>
  <c r="G83" i="1" s="1"/>
  <c r="G85" i="1" s="1"/>
  <c r="G60" i="1"/>
  <c r="G63" i="1" s="1"/>
  <c r="G64" i="1" s="1"/>
  <c r="F60" i="1"/>
  <c r="F61" i="1" s="1"/>
  <c r="F83" i="1" s="1"/>
  <c r="F85" i="1" s="1"/>
  <c r="E60" i="1"/>
  <c r="E61" i="1" s="1"/>
  <c r="E83" i="1" s="1"/>
  <c r="E85" i="1" s="1"/>
  <c r="G59" i="1"/>
  <c r="F59" i="1"/>
  <c r="E59" i="1"/>
  <c r="D59" i="1"/>
  <c r="D60" i="1" s="1"/>
  <c r="C59" i="1"/>
  <c r="C60" i="1" s="1"/>
  <c r="B59" i="1"/>
  <c r="B60" i="1" s="1"/>
  <c r="G58" i="1"/>
  <c r="G79" i="1" s="1"/>
  <c r="F58" i="1"/>
  <c r="F79" i="1" s="1"/>
  <c r="E58" i="1"/>
  <c r="E79" i="1" s="1"/>
  <c r="D58" i="1"/>
  <c r="D79" i="1" s="1"/>
  <c r="C58" i="1"/>
  <c r="C79" i="1" s="1"/>
  <c r="B58" i="1"/>
  <c r="H58" i="1" s="1"/>
  <c r="C51" i="1"/>
  <c r="C78" i="1" s="1"/>
  <c r="C80" i="1" s="1"/>
  <c r="B51" i="1"/>
  <c r="H51" i="1" s="1"/>
  <c r="I54" i="1" s="1"/>
  <c r="G50" i="1"/>
  <c r="G51" i="1" s="1"/>
  <c r="G78" i="1" s="1"/>
  <c r="G80" i="1" s="1"/>
  <c r="F50" i="1"/>
  <c r="F56" i="1" s="1"/>
  <c r="F57" i="1" s="1"/>
  <c r="E50" i="1"/>
  <c r="E56" i="1" s="1"/>
  <c r="E57" i="1" s="1"/>
  <c r="D50" i="1"/>
  <c r="D56" i="1" s="1"/>
  <c r="D57" i="1" s="1"/>
  <c r="C50" i="1"/>
  <c r="C56" i="1" s="1"/>
  <c r="C57" i="1" s="1"/>
  <c r="B50" i="1"/>
  <c r="B56" i="1" s="1"/>
  <c r="G28" i="1"/>
  <c r="F28" i="1"/>
  <c r="E28" i="1"/>
  <c r="D28" i="1"/>
  <c r="C28" i="1"/>
  <c r="C10" i="1"/>
  <c r="B5" i="1"/>
  <c r="I55" i="1" l="1" a="1"/>
  <c r="I55" i="1" s="1"/>
  <c r="B57" i="1"/>
  <c r="B63" i="1"/>
  <c r="B61" i="1"/>
  <c r="C61" i="1"/>
  <c r="C83" i="1" s="1"/>
  <c r="C85" i="1" s="1"/>
  <c r="C63" i="1"/>
  <c r="C64" i="1" s="1"/>
  <c r="D61" i="1"/>
  <c r="D83" i="1" s="1"/>
  <c r="D85" i="1" s="1"/>
  <c r="D63" i="1"/>
  <c r="D64" i="1" s="1"/>
  <c r="G56" i="1"/>
  <c r="G57" i="1" s="1"/>
  <c r="D51" i="1"/>
  <c r="D78" i="1" s="1"/>
  <c r="D80" i="1" s="1"/>
  <c r="B78" i="1"/>
  <c r="E51" i="1"/>
  <c r="E78" i="1" s="1"/>
  <c r="E80" i="1" s="1"/>
  <c r="F51" i="1"/>
  <c r="F78" i="1" s="1"/>
  <c r="F80" i="1" s="1"/>
  <c r="E63" i="1"/>
  <c r="E64" i="1" s="1"/>
  <c r="B79" i="1"/>
  <c r="F63" i="1"/>
  <c r="F64" i="1" s="1"/>
  <c r="B83" i="1" l="1"/>
  <c r="B85" i="1" s="1"/>
  <c r="H85" i="1" s="1"/>
  <c r="H61" i="1"/>
  <c r="I63" i="1" s="1"/>
  <c r="B80" i="1"/>
  <c r="H80" i="1" s="1"/>
  <c r="J84" i="1" s="1"/>
  <c r="B64" i="1"/>
  <c r="H64" i="1" s="1"/>
  <c r="I64" i="1" a="1"/>
  <c r="I64" i="1" s="1"/>
  <c r="H57" i="1"/>
</calcChain>
</file>

<file path=xl/sharedStrings.xml><?xml version="1.0" encoding="utf-8"?>
<sst xmlns="http://schemas.openxmlformats.org/spreadsheetml/2006/main" count="80" uniqueCount="63">
  <si>
    <t>Ejercico final costos (paragoles</t>
  </si>
  <si>
    <t>Pventa</t>
  </si>
  <si>
    <t>costo variable</t>
  </si>
  <si>
    <t>Costo fijo</t>
  </si>
  <si>
    <t xml:space="preserve">ingreso - egreso </t>
  </si>
  <si>
    <t>X</t>
  </si>
  <si>
    <t>La direccion de vialidad de una provincia ofrece concesionar el pesaje de camiones en una de sus rutas de ingreso a un purto, por el plazo de 5 años.</t>
  </si>
  <si>
    <t>Usted ha realizado un flujo de fondos para estudiar el proyecto, obteniendo en el escenario base el resultado que presenta la tabla 1.</t>
  </si>
  <si>
    <t>A su vez piensa que seria correcto realizar un analsis de sensibilidad y analizar tambien un escenario de mala produccion agropecuaria.</t>
  </si>
  <si>
    <t>Luego de analizar las estadisticas del numero de camiones que han infresado al puerto en los ultimos 30 años, usted define este escenario pesimista como un escenario donde el volumen de cambiones se reduce a un 70% del estimado en el escenario base. A su juicio, la probabilidad de que ocurra este escenario de malas cosechas es del 35%.</t>
  </si>
  <si>
    <t>Recomiende una desicion para entrar en la concesion basandose en el calculo del VE(valor esperado) del proyecto. Tasa de descuento 15%.</t>
  </si>
  <si>
    <t>Tabla 1</t>
  </si>
  <si>
    <t>Cobro a vialidad por cada camion pesado: $ 100</t>
  </si>
  <si>
    <t>Tránsito anual de camiones:</t>
  </si>
  <si>
    <t>Año 0</t>
  </si>
  <si>
    <t>Año 1</t>
  </si>
  <si>
    <t>Año 2</t>
  </si>
  <si>
    <t>Año 3</t>
  </si>
  <si>
    <t>Año 4</t>
  </si>
  <si>
    <t>Año 5</t>
  </si>
  <si>
    <t>Egresos del concesionario:</t>
  </si>
  <si>
    <t>I0</t>
  </si>
  <si>
    <t>$60000000</t>
  </si>
  <si>
    <t>Gastos admin + Pago de imp. ganancias</t>
  </si>
  <si>
    <t>Costo de mantenimiento</t>
  </si>
  <si>
    <t>Sumatoria de egresos</t>
  </si>
  <si>
    <t>Una empresa produce paragolpes para una automotriz</t>
  </si>
  <si>
    <t>El precio de venta es de $1326, el costo directo de materiales es $496 y el costo de mano de obra directa $397.</t>
  </si>
  <si>
    <t>Los costos fijos mensuales ascienden a la suma de $368962</t>
  </si>
  <si>
    <t>Determine cual es el punto de equilibrio para un mes de produccion. Es decir, el numero de paragolpes a producir y vender en un mes para tener beneficio=0. Redondee el resultado al entero.</t>
  </si>
  <si>
    <t>Precio venta</t>
  </si>
  <si>
    <t xml:space="preserve">costo directo materiales </t>
  </si>
  <si>
    <t>costos mano de obra</t>
  </si>
  <si>
    <t>costos fijos mensuales</t>
  </si>
  <si>
    <t>B (Q) = IT(Q)-CT(Q)</t>
  </si>
  <si>
    <t>B=1326*Q - (368962 + ((496+397)*Q)</t>
  </si>
  <si>
    <t>B=0</t>
  </si>
  <si>
    <t>IT(Q)</t>
  </si>
  <si>
    <t>Camiones</t>
  </si>
  <si>
    <t>Sumatoria de ingresos</t>
  </si>
  <si>
    <t xml:space="preserve">Ingreso actual </t>
  </si>
  <si>
    <t>35% de ocurrencia</t>
  </si>
  <si>
    <t>Resultado anual</t>
  </si>
  <si>
    <t>Probabilidade de ocurrencia 65%</t>
  </si>
  <si>
    <t>Egreso actual</t>
  </si>
  <si>
    <t>Caso pesimista 70% menos de camiones</t>
  </si>
  <si>
    <t>Ingreso x cantidad de camiones</t>
  </si>
  <si>
    <t>Valor esperado ingresos</t>
  </si>
  <si>
    <t>Probabilidade de ocurrencia 35%</t>
  </si>
  <si>
    <t>egreso esperado caso malo</t>
  </si>
  <si>
    <t>VE(decisión)= Σ (Vi * Pi)</t>
  </si>
  <si>
    <t>Escenario 1</t>
  </si>
  <si>
    <t>Escenario 2</t>
  </si>
  <si>
    <t>Escenario 3</t>
  </si>
  <si>
    <t>Escenario 4</t>
  </si>
  <si>
    <t>Probabilidad</t>
  </si>
  <si>
    <t>INGRESOS  </t>
  </si>
  <si>
    <t>EGRESOS</t>
  </si>
  <si>
    <t>Escenario mortal</t>
  </si>
  <si>
    <t>I-E</t>
  </si>
  <si>
    <t>Escenario pesimista</t>
  </si>
  <si>
    <t>VE</t>
  </si>
  <si>
    <t>NO LO AGARRA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</si>
</sst>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1]_-;\-* #,##0.00\ [$€-1]_-;_-* &quot;-&quot;??\ [$€-1]_-;_-@"/>
    <numFmt numFmtId="165" formatCode="#,##0.00\ [$€-1]"/>
    <numFmt numFmtId="166" formatCode="#,##0\ [$€-1]"/>
  </numFmts>
  <fonts count="8">
    <font>
      <sz val="10"/>
      <color rgb="FF000000"/>
      <name val="Arial"/>
      <scheme val="minor"/>
    </font>
    <font>
      <sz val="10"/>
      <color theme="1"/>
      <name val="Arial"/>
      <scheme val="minor"/>
    </font>
    <font>
      <sz val="11"/>
      <color rgb="FF000000"/>
      <name val="Arial"/>
    </font>
    <font>
      <sz val="10"/>
      <color rgb="FF0000FF"/>
      <name val="Arial"/>
      <scheme val="minor"/>
    </font>
    <font>
      <sz val="10"/>
      <color rgb="FF000000"/>
      <name val="Arial"/>
    </font>
    <font>
      <sz val="11"/>
      <color theme="1"/>
      <name val="Calibri"/>
    </font>
    <font>
      <sz val="11"/>
      <color theme="1"/>
      <name val="Quattrocento Sans"/>
    </font>
    <font>
      <sz val="11"/>
      <color rgb="FF9C0006"/>
      <name val="Calibri"/>
    </font>
  </fonts>
  <fills count="7">
    <fill>
      <patternFill patternType="none"/>
    </fill>
    <fill>
      <patternFill patternType="gray125"/>
    </fill>
    <fill>
      <patternFill patternType="solid">
        <fgColor rgb="FF000000"/>
        <bgColor rgb="FF0000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C7CE"/>
        <bgColor rgb="FFFFC7CE"/>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xf numFmtId="0" fontId="1" fillId="2" borderId="0" xfId="0" applyFont="1" applyFill="1"/>
    <xf numFmtId="0" fontId="2" fillId="0" borderId="0" xfId="0" applyFont="1" applyAlignment="1"/>
    <xf numFmtId="0" fontId="2" fillId="0" borderId="0" xfId="0" applyFont="1"/>
    <xf numFmtId="3" fontId="2" fillId="0" borderId="1" xfId="0" applyNumberFormat="1" applyFont="1" applyBorder="1" applyAlignment="1">
      <alignment horizontal="left" wrapText="1"/>
    </xf>
    <xf numFmtId="0" fontId="2" fillId="0" borderId="1" xfId="0" applyFont="1" applyBorder="1" applyAlignment="1">
      <alignment horizontal="left" wrapText="1"/>
    </xf>
    <xf numFmtId="164" fontId="1" fillId="0" borderId="0" xfId="0" applyNumberFormat="1" applyFont="1" applyAlignment="1"/>
    <xf numFmtId="0" fontId="1" fillId="0" borderId="2" xfId="0" applyFont="1" applyBorder="1"/>
    <xf numFmtId="0" fontId="1" fillId="0" borderId="3" xfId="0" applyFont="1" applyBorder="1" applyAlignment="1"/>
    <xf numFmtId="4" fontId="1" fillId="0" borderId="0" xfId="0" applyNumberFormat="1" applyFont="1" applyAlignment="1"/>
    <xf numFmtId="0" fontId="1" fillId="3" borderId="3" xfId="0" applyFont="1" applyFill="1" applyBorder="1" applyAlignment="1"/>
    <xf numFmtId="165" fontId="1" fillId="3" borderId="0" xfId="0" applyNumberFormat="1" applyFont="1" applyFill="1"/>
    <xf numFmtId="165" fontId="1" fillId="3" borderId="4" xfId="0" applyNumberFormat="1" applyFont="1" applyFill="1" applyBorder="1"/>
    <xf numFmtId="165" fontId="1" fillId="0" borderId="0" xfId="0" applyNumberFormat="1" applyFont="1"/>
    <xf numFmtId="165" fontId="3" fillId="0" borderId="0" xfId="0" applyNumberFormat="1" applyFont="1"/>
    <xf numFmtId="0" fontId="4" fillId="4" borderId="5" xfId="0" applyFont="1" applyFill="1" applyBorder="1" applyAlignment="1">
      <alignment horizontal="left" wrapText="1"/>
    </xf>
    <xf numFmtId="0" fontId="4" fillId="4" borderId="6" xfId="0" applyFont="1" applyFill="1" applyBorder="1" applyAlignment="1">
      <alignment horizontal="left" wrapText="1"/>
    </xf>
    <xf numFmtId="0" fontId="1" fillId="4" borderId="6" xfId="0" applyFont="1" applyFill="1" applyBorder="1" applyAlignment="1">
      <alignment horizontal="left" wrapText="1"/>
    </xf>
    <xf numFmtId="0" fontId="1" fillId="4" borderId="7" xfId="0" applyFont="1" applyFill="1" applyBorder="1" applyAlignment="1">
      <alignment horizontal="left" wrapText="1"/>
    </xf>
    <xf numFmtId="0" fontId="4" fillId="0" borderId="5" xfId="0" applyFont="1" applyBorder="1" applyAlignment="1">
      <alignment horizontal="left" wrapText="1"/>
    </xf>
    <xf numFmtId="0" fontId="1" fillId="0" borderId="6" xfId="0" applyFont="1" applyBorder="1" applyAlignment="1">
      <alignment horizontal="left" wrapText="1"/>
    </xf>
    <xf numFmtId="0" fontId="4" fillId="0" borderId="6" xfId="0" applyFont="1" applyBorder="1" applyAlignment="1">
      <alignment horizontal="right" wrapText="1"/>
    </xf>
    <xf numFmtId="0" fontId="4" fillId="0" borderId="7" xfId="0" applyFont="1" applyBorder="1" applyAlignment="1">
      <alignment horizontal="right" wrapText="1"/>
    </xf>
    <xf numFmtId="0" fontId="4" fillId="5" borderId="5" xfId="0" applyFont="1" applyFill="1" applyBorder="1" applyAlignment="1">
      <alignment horizontal="left" wrapText="1"/>
    </xf>
    <xf numFmtId="165" fontId="4" fillId="5" borderId="6" xfId="0" applyNumberFormat="1" applyFont="1" applyFill="1" applyBorder="1" applyAlignment="1">
      <alignment horizontal="left" wrapText="1"/>
    </xf>
    <xf numFmtId="165" fontId="4" fillId="5" borderId="6" xfId="0" applyNumberFormat="1" applyFont="1" applyFill="1" applyBorder="1" applyAlignment="1">
      <alignment horizontal="right" wrapText="1"/>
    </xf>
    <xf numFmtId="165" fontId="4" fillId="5" borderId="7" xfId="0" applyNumberFormat="1" applyFont="1" applyFill="1" applyBorder="1" applyAlignment="1">
      <alignment horizontal="right" wrapText="1"/>
    </xf>
    <xf numFmtId="165" fontId="1" fillId="0" borderId="0" xfId="0" applyNumberFormat="1" applyFont="1"/>
    <xf numFmtId="165" fontId="1" fillId="0" borderId="4" xfId="0" applyNumberFormat="1" applyFont="1" applyBorder="1"/>
    <xf numFmtId="0" fontId="1" fillId="0" borderId="8" xfId="0" applyFont="1" applyBorder="1" applyAlignment="1"/>
    <xf numFmtId="165" fontId="1" fillId="0" borderId="9" xfId="0" applyNumberFormat="1" applyFont="1" applyBorder="1"/>
    <xf numFmtId="0" fontId="1" fillId="0" borderId="2" xfId="0" applyFont="1" applyBorder="1" applyAlignment="1"/>
    <xf numFmtId="3" fontId="1" fillId="0" borderId="10" xfId="0" applyNumberFormat="1" applyFont="1" applyBorder="1"/>
    <xf numFmtId="3" fontId="1" fillId="0" borderId="11" xfId="0" applyNumberFormat="1" applyFont="1" applyBorder="1"/>
    <xf numFmtId="0" fontId="1" fillId="0" borderId="4" xfId="0" applyFont="1" applyBorder="1"/>
    <xf numFmtId="0" fontId="4" fillId="0" borderId="3" xfId="0" applyFont="1" applyBorder="1" applyAlignment="1">
      <alignment horizontal="left" wrapText="1"/>
    </xf>
    <xf numFmtId="0" fontId="4" fillId="0" borderId="0" xfId="0" applyFont="1" applyAlignment="1">
      <alignment horizontal="left" wrapText="1"/>
    </xf>
    <xf numFmtId="0" fontId="4" fillId="5" borderId="6" xfId="0" applyFont="1" applyFill="1" applyBorder="1" applyAlignment="1">
      <alignment horizontal="left" wrapText="1"/>
    </xf>
    <xf numFmtId="0" fontId="4" fillId="5" borderId="6" xfId="0" applyFont="1" applyFill="1" applyBorder="1" applyAlignment="1">
      <alignment horizontal="right" wrapText="1"/>
    </xf>
    <xf numFmtId="0" fontId="4" fillId="5" borderId="7" xfId="0" applyFont="1" applyFill="1" applyBorder="1" applyAlignment="1">
      <alignment horizontal="right" wrapText="1"/>
    </xf>
    <xf numFmtId="0" fontId="1" fillId="0" borderId="3" xfId="0" applyFont="1" applyBorder="1"/>
    <xf numFmtId="166" fontId="1" fillId="0" borderId="0" xfId="0" applyNumberFormat="1" applyFont="1"/>
    <xf numFmtId="166" fontId="1" fillId="0" borderId="4" xfId="0" applyNumberFormat="1" applyFont="1" applyBorder="1"/>
    <xf numFmtId="0" fontId="5" fillId="0" borderId="0" xfId="0" applyFont="1" applyAlignment="1"/>
    <xf numFmtId="0" fontId="6" fillId="0" borderId="0" xfId="0" applyFont="1" applyAlignment="1">
      <alignment wrapText="1"/>
    </xf>
    <xf numFmtId="9" fontId="6" fillId="0" borderId="0" xfId="0" applyNumberFormat="1" applyFont="1" applyAlignment="1">
      <alignment horizontal="right" wrapText="1"/>
    </xf>
    <xf numFmtId="9" fontId="6" fillId="0" borderId="0" xfId="0" applyNumberFormat="1" applyFont="1" applyAlignment="1">
      <alignment horizontal="right" wrapText="1"/>
    </xf>
    <xf numFmtId="3" fontId="6" fillId="0" borderId="0" xfId="0" applyNumberFormat="1" applyFont="1" applyAlignment="1">
      <alignment horizontal="right" wrapText="1"/>
    </xf>
    <xf numFmtId="3" fontId="6" fillId="0" borderId="1" xfId="0" applyNumberFormat="1" applyFont="1" applyBorder="1" applyAlignment="1">
      <alignment horizontal="right" wrapText="1"/>
    </xf>
    <xf numFmtId="3" fontId="5" fillId="0" borderId="0" xfId="0" applyNumberFormat="1" applyFont="1" applyAlignment="1">
      <alignment horizontal="right"/>
    </xf>
    <xf numFmtId="3" fontId="5" fillId="0" borderId="1" xfId="0" applyNumberFormat="1" applyFont="1" applyBorder="1" applyAlignment="1">
      <alignment horizontal="right"/>
    </xf>
    <xf numFmtId="3" fontId="7" fillId="6" borderId="1" xfId="0" applyNumberFormat="1" applyFont="1" applyFill="1" applyBorder="1" applyAlignment="1">
      <alignment horizontal="right"/>
    </xf>
    <xf numFmtId="0" fontId="5" fillId="0" borderId="0" xfId="0" applyFont="1" applyAlignment="1">
      <alignment horizontal="right"/>
    </xf>
    <xf numFmtId="9" fontId="1" fillId="0" borderId="0" xfId="0" applyNumberFormat="1" applyFont="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M88"/>
  <sheetViews>
    <sheetView tabSelected="1" topLeftCell="A64" workbookViewId="0"/>
  </sheetViews>
  <sheetFormatPr baseColWidth="10" defaultColWidth="12.5703125" defaultRowHeight="15.75" customHeight="1"/>
  <cols>
    <col min="1" max="1" width="31.42578125" customWidth="1"/>
    <col min="2" max="2" width="25" customWidth="1"/>
    <col min="3" max="3" width="19" customWidth="1"/>
    <col min="4" max="4" width="19.5703125" customWidth="1"/>
    <col min="5" max="5" width="18.5703125" customWidth="1"/>
    <col min="6" max="6" width="17.5703125" customWidth="1"/>
    <col min="7" max="7" width="17" customWidth="1"/>
    <col min="8" max="8" width="19.85546875" customWidth="1"/>
    <col min="9" max="9" width="16.42578125" customWidth="1"/>
  </cols>
  <sheetData>
    <row r="2" spans="1:11">
      <c r="A2" s="1" t="s">
        <v>0</v>
      </c>
    </row>
    <row r="3" spans="1:11">
      <c r="A3" s="1" t="s">
        <v>1</v>
      </c>
      <c r="B3" s="1">
        <v>1326</v>
      </c>
    </row>
    <row r="5" spans="1:11">
      <c r="A5" s="1" t="s">
        <v>2</v>
      </c>
      <c r="B5" s="2">
        <f>496+397</f>
        <v>893</v>
      </c>
    </row>
    <row r="6" spans="1:11">
      <c r="A6" s="1" t="s">
        <v>3</v>
      </c>
      <c r="B6" s="1">
        <v>368962</v>
      </c>
    </row>
    <row r="8" spans="1:11">
      <c r="A8" s="1" t="s">
        <v>4</v>
      </c>
      <c r="B8" s="1">
        <v>0</v>
      </c>
    </row>
    <row r="10" spans="1:11">
      <c r="A10" s="1" t="s">
        <v>5</v>
      </c>
      <c r="B10" s="1">
        <v>853</v>
      </c>
      <c r="C10" s="1">
        <f>(B10*B3)-(B10*B5)-B6</f>
        <v>387</v>
      </c>
    </row>
    <row r="12" spans="1:11">
      <c r="A12" s="3"/>
      <c r="B12" s="3"/>
      <c r="C12" s="3"/>
      <c r="D12" s="3"/>
      <c r="E12" s="3"/>
      <c r="F12" s="3"/>
      <c r="G12" s="3"/>
      <c r="H12" s="3"/>
      <c r="I12" s="3"/>
      <c r="J12" s="3"/>
      <c r="K12" s="3"/>
    </row>
    <row r="13" spans="1:11">
      <c r="A13" s="4" t="s">
        <v>6</v>
      </c>
    </row>
    <row r="14" spans="1:11">
      <c r="A14" s="4" t="s">
        <v>7</v>
      </c>
    </row>
    <row r="15" spans="1:11">
      <c r="A15" s="4" t="s">
        <v>8</v>
      </c>
    </row>
    <row r="16" spans="1:11">
      <c r="A16" s="4" t="s">
        <v>9</v>
      </c>
    </row>
    <row r="17" spans="1:13">
      <c r="A17" s="4" t="s">
        <v>10</v>
      </c>
    </row>
    <row r="18" spans="1:13">
      <c r="A18" s="5"/>
    </row>
    <row r="19" spans="1:13">
      <c r="A19" s="4" t="s">
        <v>11</v>
      </c>
    </row>
    <row r="20" spans="1:13">
      <c r="A20" s="4" t="s">
        <v>12</v>
      </c>
    </row>
    <row r="21" spans="1:13">
      <c r="A21" s="4" t="s">
        <v>13</v>
      </c>
    </row>
    <row r="22" spans="1:13">
      <c r="A22" s="6">
        <v>180000</v>
      </c>
      <c r="B22" s="6">
        <v>185400</v>
      </c>
      <c r="C22" s="6">
        <v>191000</v>
      </c>
      <c r="D22" s="6">
        <v>197000</v>
      </c>
      <c r="E22" s="6">
        <v>203000</v>
      </c>
      <c r="F22" s="6">
        <v>210000</v>
      </c>
    </row>
    <row r="23" spans="1:13">
      <c r="A23" s="7" t="s">
        <v>14</v>
      </c>
      <c r="B23" s="7" t="s">
        <v>15</v>
      </c>
      <c r="C23" s="7" t="s">
        <v>16</v>
      </c>
      <c r="D23" s="7" t="s">
        <v>17</v>
      </c>
      <c r="E23" s="7" t="s">
        <v>18</v>
      </c>
      <c r="F23" s="7" t="s">
        <v>19</v>
      </c>
    </row>
    <row r="24" spans="1:13">
      <c r="A24" s="4" t="s">
        <v>20</v>
      </c>
    </row>
    <row r="25" spans="1:13">
      <c r="A25" s="1" t="s">
        <v>21</v>
      </c>
      <c r="B25" s="8" t="s">
        <v>22</v>
      </c>
    </row>
    <row r="26" spans="1:13">
      <c r="A26" s="1" t="s">
        <v>23</v>
      </c>
      <c r="C26" s="1">
        <v>400000</v>
      </c>
      <c r="D26" s="1">
        <v>400000</v>
      </c>
      <c r="E26" s="1">
        <v>400000</v>
      </c>
      <c r="F26" s="1">
        <v>400000</v>
      </c>
      <c r="G26" s="1">
        <v>400000</v>
      </c>
    </row>
    <row r="27" spans="1:13">
      <c r="A27" s="1" t="s">
        <v>24</v>
      </c>
      <c r="C27" s="1">
        <v>600000</v>
      </c>
      <c r="D27" s="1">
        <v>600000</v>
      </c>
      <c r="E27" s="1">
        <v>600000</v>
      </c>
      <c r="F27" s="1">
        <v>600000</v>
      </c>
      <c r="G27" s="1">
        <v>600000</v>
      </c>
    </row>
    <row r="28" spans="1:13">
      <c r="A28" s="1" t="s">
        <v>25</v>
      </c>
      <c r="B28" s="8" t="s">
        <v>22</v>
      </c>
      <c r="C28" s="2">
        <f t="shared" ref="C28:G28" si="0">C26+C27</f>
        <v>1000000</v>
      </c>
      <c r="D28" s="2">
        <f t="shared" si="0"/>
        <v>1000000</v>
      </c>
      <c r="E28" s="2">
        <f t="shared" si="0"/>
        <v>1000000</v>
      </c>
      <c r="F28" s="2">
        <f t="shared" si="0"/>
        <v>1000000</v>
      </c>
      <c r="G28" s="2">
        <f t="shared" si="0"/>
        <v>1000000</v>
      </c>
    </row>
    <row r="31" spans="1:13">
      <c r="A31" s="3"/>
      <c r="B31" s="3"/>
      <c r="C31" s="3"/>
      <c r="D31" s="3"/>
      <c r="E31" s="3"/>
      <c r="F31" s="3"/>
      <c r="G31" s="3"/>
      <c r="H31" s="3"/>
      <c r="I31" s="3"/>
      <c r="J31" s="3"/>
      <c r="K31" s="3"/>
      <c r="L31" s="3"/>
      <c r="M31" s="3"/>
    </row>
    <row r="32" spans="1:13">
      <c r="A32" s="4" t="s">
        <v>26</v>
      </c>
    </row>
    <row r="33" spans="1:10">
      <c r="A33" s="4" t="s">
        <v>27</v>
      </c>
    </row>
    <row r="34" spans="1:10">
      <c r="A34" s="4" t="s">
        <v>28</v>
      </c>
    </row>
    <row r="35" spans="1:10">
      <c r="A35" s="4" t="s">
        <v>29</v>
      </c>
    </row>
    <row r="37" spans="1:10">
      <c r="A37" s="1" t="s">
        <v>30</v>
      </c>
      <c r="B37" s="1">
        <v>1326</v>
      </c>
    </row>
    <row r="38" spans="1:10">
      <c r="A38" s="1" t="s">
        <v>31</v>
      </c>
      <c r="B38" s="1">
        <v>496</v>
      </c>
    </row>
    <row r="39" spans="1:10">
      <c r="A39" s="1" t="s">
        <v>32</v>
      </c>
      <c r="B39" s="1">
        <v>397</v>
      </c>
    </row>
    <row r="40" spans="1:10">
      <c r="A40" s="1" t="s">
        <v>33</v>
      </c>
      <c r="B40" s="1">
        <v>368962</v>
      </c>
    </row>
    <row r="42" spans="1:10">
      <c r="A42" s="1" t="s">
        <v>34</v>
      </c>
      <c r="B42" s="1" t="s">
        <v>35</v>
      </c>
    </row>
    <row r="43" spans="1:10">
      <c r="A43" s="1" t="s">
        <v>36</v>
      </c>
    </row>
    <row r="44" spans="1:10">
      <c r="A44" s="1" t="s">
        <v>37</v>
      </c>
    </row>
    <row r="47" spans="1:10">
      <c r="A47" s="3"/>
      <c r="B47" s="3"/>
      <c r="C47" s="3"/>
      <c r="D47" s="3"/>
      <c r="E47" s="3"/>
      <c r="F47" s="3"/>
      <c r="G47" s="3"/>
      <c r="H47" s="3"/>
      <c r="I47" s="3"/>
      <c r="J47" s="3"/>
    </row>
    <row r="48" spans="1:10">
      <c r="A48" s="9"/>
      <c r="B48" s="7" t="s">
        <v>14</v>
      </c>
      <c r="C48" s="7" t="s">
        <v>15</v>
      </c>
      <c r="D48" s="7" t="s">
        <v>16</v>
      </c>
      <c r="E48" s="7" t="s">
        <v>17</v>
      </c>
      <c r="F48" s="7" t="s">
        <v>18</v>
      </c>
      <c r="G48" s="7" t="s">
        <v>19</v>
      </c>
    </row>
    <row r="49" spans="1:12">
      <c r="A49" s="10" t="s">
        <v>38</v>
      </c>
      <c r="B49" s="6">
        <v>180000</v>
      </c>
      <c r="C49" s="6">
        <v>185400</v>
      </c>
      <c r="D49" s="6">
        <v>191000</v>
      </c>
      <c r="E49" s="6">
        <v>197000</v>
      </c>
      <c r="F49" s="6">
        <v>203000</v>
      </c>
      <c r="G49" s="6">
        <v>210000</v>
      </c>
      <c r="I49" s="11">
        <v>0.7</v>
      </c>
    </row>
    <row r="50" spans="1:12">
      <c r="A50" s="12" t="s">
        <v>39</v>
      </c>
      <c r="B50" s="13">
        <f t="shared" ref="B50:G50" si="1">B49*100</f>
        <v>18000000</v>
      </c>
      <c r="C50" s="13">
        <f t="shared" si="1"/>
        <v>18540000</v>
      </c>
      <c r="D50" s="13">
        <f t="shared" si="1"/>
        <v>19100000</v>
      </c>
      <c r="E50" s="13">
        <f t="shared" si="1"/>
        <v>19700000</v>
      </c>
      <c r="F50" s="13">
        <f t="shared" si="1"/>
        <v>20300000</v>
      </c>
      <c r="G50" s="14">
        <f t="shared" si="1"/>
        <v>21000000</v>
      </c>
    </row>
    <row r="51" spans="1:12">
      <c r="A51" s="10" t="s">
        <v>40</v>
      </c>
      <c r="B51" s="15" t="e">
        <f ca="1">B50/POW((1+0.15),0)</f>
        <v>#NAME?</v>
      </c>
      <c r="C51" s="15" t="e">
        <f ca="1">C50/POW((1+0.15),1)</f>
        <v>#NAME?</v>
      </c>
      <c r="D51" s="15" t="e">
        <f ca="1">D50/POW((1+0.15),2)</f>
        <v>#NAME?</v>
      </c>
      <c r="E51" s="15" t="e">
        <f ca="1">E50/POW((1+0.15),3)</f>
        <v>#NAME?</v>
      </c>
      <c r="F51" s="15" t="e">
        <f ca="1">F50/POW((1+0.15),4)</f>
        <v>#NAME?</v>
      </c>
      <c r="G51" s="15" t="e">
        <f ca="1">G50/POW((1+0.15),5)</f>
        <v>#NAME?</v>
      </c>
      <c r="H51" s="16" t="e">
        <f ca="1">SUM(B51:G51)</f>
        <v>#NAME?</v>
      </c>
    </row>
    <row r="52" spans="1:12">
      <c r="A52" s="17" t="s">
        <v>21</v>
      </c>
      <c r="B52" s="18">
        <v>60000000</v>
      </c>
      <c r="C52" s="19"/>
      <c r="D52" s="19"/>
      <c r="E52" s="19"/>
      <c r="F52" s="19"/>
      <c r="G52" s="20"/>
    </row>
    <row r="53" spans="1:12">
      <c r="A53" s="21" t="s">
        <v>23</v>
      </c>
      <c r="B53" s="22"/>
      <c r="C53" s="23">
        <v>400000</v>
      </c>
      <c r="D53" s="23">
        <v>400000</v>
      </c>
      <c r="E53" s="23">
        <v>400000</v>
      </c>
      <c r="F53" s="23">
        <v>400000</v>
      </c>
      <c r="G53" s="24">
        <v>400000</v>
      </c>
    </row>
    <row r="54" spans="1:12">
      <c r="A54" s="21" t="s">
        <v>24</v>
      </c>
      <c r="B54" s="22"/>
      <c r="C54" s="23">
        <v>600000</v>
      </c>
      <c r="D54" s="23">
        <v>600000</v>
      </c>
      <c r="E54" s="23">
        <v>600000</v>
      </c>
      <c r="F54" s="23">
        <v>600000</v>
      </c>
      <c r="G54" s="24">
        <v>600000</v>
      </c>
      <c r="I54" s="15" t="e">
        <f ca="1">H51-H58</f>
        <v>#NAME?</v>
      </c>
    </row>
    <row r="55" spans="1:12">
      <c r="A55" s="25" t="s">
        <v>25</v>
      </c>
      <c r="B55" s="26">
        <v>60000000</v>
      </c>
      <c r="C55" s="27">
        <v>1000000</v>
      </c>
      <c r="D55" s="27">
        <v>1000000</v>
      </c>
      <c r="E55" s="27">
        <v>1000000</v>
      </c>
      <c r="F55" s="27">
        <v>1000000</v>
      </c>
      <c r="G55" s="28">
        <v>1000000</v>
      </c>
      <c r="I55" s="29">
        <f t="array" ref="I55">NPV(15,B56:G56)</f>
        <v>-2551760.4923248291</v>
      </c>
      <c r="L55" s="1" t="s">
        <v>41</v>
      </c>
    </row>
    <row r="56" spans="1:12">
      <c r="A56" s="10" t="s">
        <v>42</v>
      </c>
      <c r="B56" s="15">
        <f t="shared" ref="B56:G56" si="2">B50-B55</f>
        <v>-42000000</v>
      </c>
      <c r="C56" s="15">
        <f t="shared" si="2"/>
        <v>17540000</v>
      </c>
      <c r="D56" s="15">
        <f t="shared" si="2"/>
        <v>18100000</v>
      </c>
      <c r="E56" s="15">
        <f t="shared" si="2"/>
        <v>18700000</v>
      </c>
      <c r="F56" s="15">
        <f t="shared" si="2"/>
        <v>19300000</v>
      </c>
      <c r="G56" s="30">
        <f t="shared" si="2"/>
        <v>20000000</v>
      </c>
    </row>
    <row r="57" spans="1:12">
      <c r="A57" s="10" t="s">
        <v>43</v>
      </c>
      <c r="B57" s="15">
        <f t="shared" ref="B57:G57" si="3">B56*0.65</f>
        <v>-27300000</v>
      </c>
      <c r="C57" s="15">
        <f t="shared" si="3"/>
        <v>11401000</v>
      </c>
      <c r="D57" s="15">
        <f t="shared" si="3"/>
        <v>11765000</v>
      </c>
      <c r="E57" s="15">
        <f t="shared" si="3"/>
        <v>12155000</v>
      </c>
      <c r="F57" s="15">
        <f t="shared" si="3"/>
        <v>12545000</v>
      </c>
      <c r="G57" s="30">
        <f t="shared" si="3"/>
        <v>13000000</v>
      </c>
      <c r="H57" s="15">
        <f>SUM(B57:G57)</f>
        <v>33566000</v>
      </c>
    </row>
    <row r="58" spans="1:12">
      <c r="A58" s="31" t="s">
        <v>44</v>
      </c>
      <c r="B58" s="32" t="e">
        <f ca="1">(B55)/POW((1+0.15),0)</f>
        <v>#NAME?</v>
      </c>
      <c r="C58" s="32" t="e">
        <f ca="1">(C55)/POW((1+0.15),1)</f>
        <v>#NAME?</v>
      </c>
      <c r="D58" s="32" t="e">
        <f ca="1">(D55)/POW((1+0.15),2)</f>
        <v>#NAME?</v>
      </c>
      <c r="E58" s="32" t="e">
        <f ca="1">(E55)/POW((1+0.15),3)</f>
        <v>#NAME?</v>
      </c>
      <c r="F58" s="32" t="e">
        <f ca="1">(F55)/POW((1+0.15),4)</f>
        <v>#NAME?</v>
      </c>
      <c r="G58" s="32" t="e">
        <f ca="1">(G55)/POW((1+0.15),5)</f>
        <v>#NAME?</v>
      </c>
      <c r="H58" s="16" t="e">
        <f ca="1">SUM(B58:G58)</f>
        <v>#NAME?</v>
      </c>
    </row>
    <row r="59" spans="1:12">
      <c r="A59" s="33" t="s">
        <v>45</v>
      </c>
      <c r="B59" s="34">
        <f t="shared" ref="B59:G59" si="4">(B49-(B49*$I49))</f>
        <v>54000.000000000015</v>
      </c>
      <c r="C59" s="34">
        <f t="shared" si="4"/>
        <v>55620.000000000015</v>
      </c>
      <c r="D59" s="34">
        <f t="shared" si="4"/>
        <v>57300</v>
      </c>
      <c r="E59" s="34">
        <f t="shared" si="4"/>
        <v>59100</v>
      </c>
      <c r="F59" s="34">
        <f t="shared" si="4"/>
        <v>60900</v>
      </c>
      <c r="G59" s="35">
        <f t="shared" si="4"/>
        <v>63000</v>
      </c>
    </row>
    <row r="60" spans="1:12">
      <c r="A60" s="10" t="s">
        <v>46</v>
      </c>
      <c r="B60" s="2">
        <f t="shared" ref="B60:G60" si="5">B59*100</f>
        <v>5400000.0000000019</v>
      </c>
      <c r="C60" s="2">
        <f t="shared" si="5"/>
        <v>5562000.0000000019</v>
      </c>
      <c r="D60" s="2">
        <f t="shared" si="5"/>
        <v>5730000</v>
      </c>
      <c r="E60" s="2">
        <f t="shared" si="5"/>
        <v>5910000</v>
      </c>
      <c r="F60" s="2">
        <f t="shared" si="5"/>
        <v>6090000</v>
      </c>
      <c r="G60" s="36">
        <f t="shared" si="5"/>
        <v>6300000</v>
      </c>
    </row>
    <row r="61" spans="1:12">
      <c r="A61" s="37" t="s">
        <v>47</v>
      </c>
      <c r="B61" s="38" t="e">
        <f ca="1">B60/POW((1+0.15),0)</f>
        <v>#NAME?</v>
      </c>
      <c r="C61" s="38" t="e">
        <f ca="1">C60/POW((1+0.15),1)</f>
        <v>#NAME?</v>
      </c>
      <c r="D61" s="38" t="e">
        <f ca="1">D60/POW((1+0.15),2)</f>
        <v>#NAME?</v>
      </c>
      <c r="E61" s="38" t="e">
        <f ca="1">E60/POW((1+0.15),3)</f>
        <v>#NAME?</v>
      </c>
      <c r="F61" s="38" t="e">
        <f ca="1">F60/POW((1+0.15),4)</f>
        <v>#NAME?</v>
      </c>
      <c r="G61" s="38" t="e">
        <f ca="1">G60/POW((1+0.15),5)</f>
        <v>#NAME?</v>
      </c>
      <c r="H61" s="16" t="e">
        <f ca="1">SUM(B61:G61)</f>
        <v>#NAME?</v>
      </c>
    </row>
    <row r="62" spans="1:12">
      <c r="A62" s="25" t="s">
        <v>25</v>
      </c>
      <c r="B62" s="39">
        <v>60000000</v>
      </c>
      <c r="C62" s="40">
        <v>1000000</v>
      </c>
      <c r="D62" s="40">
        <v>1000000</v>
      </c>
      <c r="E62" s="40">
        <v>1000000</v>
      </c>
      <c r="F62" s="40">
        <v>1000000</v>
      </c>
      <c r="G62" s="41">
        <v>1000000</v>
      </c>
    </row>
    <row r="63" spans="1:12">
      <c r="A63" s="42"/>
      <c r="B63" s="43">
        <f t="shared" ref="B63:G63" si="6">B60-B62</f>
        <v>-54600000</v>
      </c>
      <c r="C63" s="43">
        <f t="shared" si="6"/>
        <v>4562000.0000000019</v>
      </c>
      <c r="D63" s="43">
        <f t="shared" si="6"/>
        <v>4730000</v>
      </c>
      <c r="E63" s="43">
        <f t="shared" si="6"/>
        <v>4910000</v>
      </c>
      <c r="F63" s="43">
        <f t="shared" si="6"/>
        <v>5090000</v>
      </c>
      <c r="G63" s="44">
        <f t="shared" si="6"/>
        <v>5300000</v>
      </c>
      <c r="I63" s="15" t="e">
        <f ca="1">H61-H65</f>
        <v>#NAME?</v>
      </c>
    </row>
    <row r="64" spans="1:12">
      <c r="A64" s="10" t="s">
        <v>48</v>
      </c>
      <c r="B64" s="43">
        <f t="shared" ref="B64:G64" si="7">(B63*0.35)</f>
        <v>-19110000</v>
      </c>
      <c r="C64" s="43">
        <f t="shared" si="7"/>
        <v>1596700.0000000005</v>
      </c>
      <c r="D64" s="43">
        <f t="shared" si="7"/>
        <v>1655500</v>
      </c>
      <c r="E64" s="43">
        <f t="shared" si="7"/>
        <v>1718500</v>
      </c>
      <c r="F64" s="43">
        <f t="shared" si="7"/>
        <v>1781500</v>
      </c>
      <c r="G64" s="44">
        <f t="shared" si="7"/>
        <v>1854999.9999999998</v>
      </c>
      <c r="H64" s="43">
        <f>SUM(B64:G64)</f>
        <v>-10502800</v>
      </c>
      <c r="I64" s="29">
        <f t="array" ref="I64">NPV(15%,B63:G63)</f>
        <v>-33289407.403092634</v>
      </c>
    </row>
    <row r="65" spans="1:8">
      <c r="A65" s="31" t="s">
        <v>49</v>
      </c>
      <c r="B65" s="32" t="e">
        <f ca="1">B62/POW((1+0.15),0)</f>
        <v>#NAME?</v>
      </c>
      <c r="C65" s="32" t="e">
        <f ca="1">C62/POW((1+0.15),1)</f>
        <v>#NAME?</v>
      </c>
      <c r="D65" s="32" t="e">
        <f ca="1">D62/POW((1+0.15),2)</f>
        <v>#NAME?</v>
      </c>
      <c r="E65" s="32" t="e">
        <f ca="1">E62/POW((1+0.15),3)</f>
        <v>#NAME?</v>
      </c>
      <c r="F65" s="32" t="e">
        <f ca="1">F62/POW((1+0.15),4)</f>
        <v>#NAME?</v>
      </c>
      <c r="G65" s="32" t="e">
        <f ca="1">G62/POW((1+0.15),5)</f>
        <v>#NAME?</v>
      </c>
      <c r="H65" s="16" t="e">
        <f ca="1">SUM(B65:G65)</f>
        <v>#NAME?</v>
      </c>
    </row>
    <row r="67" spans="1:8">
      <c r="H67" s="1" t="s">
        <v>50</v>
      </c>
    </row>
    <row r="68" spans="1:8" ht="15.75" customHeight="1">
      <c r="A68" s="45"/>
      <c r="B68" s="46" t="s">
        <v>51</v>
      </c>
      <c r="C68" s="46" t="s">
        <v>52</v>
      </c>
      <c r="D68" s="46" t="s">
        <v>53</v>
      </c>
      <c r="E68" s="46" t="s">
        <v>54</v>
      </c>
      <c r="F68" s="45"/>
    </row>
    <row r="69" spans="1:8" ht="15.75" customHeight="1">
      <c r="A69" s="46" t="s">
        <v>55</v>
      </c>
      <c r="B69" s="47">
        <v>0.65</v>
      </c>
      <c r="C69" s="47">
        <v>0.35</v>
      </c>
      <c r="D69" s="48"/>
      <c r="E69" s="48"/>
      <c r="F69" s="45"/>
    </row>
    <row r="70" spans="1:8" ht="15.75" customHeight="1">
      <c r="A70" s="46" t="s">
        <v>56</v>
      </c>
      <c r="B70" s="49">
        <v>920324</v>
      </c>
      <c r="C70" s="49">
        <v>892540</v>
      </c>
      <c r="D70" s="49">
        <v>767800</v>
      </c>
      <c r="E70" s="49">
        <v>523000</v>
      </c>
      <c r="F70" s="45"/>
    </row>
    <row r="71" spans="1:8" ht="15.75" customHeight="1">
      <c r="A71" s="46" t="s">
        <v>57</v>
      </c>
      <c r="B71" s="49">
        <v>120000</v>
      </c>
      <c r="C71" s="49">
        <v>320000</v>
      </c>
      <c r="D71" s="49">
        <v>200000</v>
      </c>
      <c r="E71" s="50">
        <v>200000</v>
      </c>
      <c r="F71" s="45"/>
    </row>
    <row r="72" spans="1:8" ht="15.75" customHeight="1">
      <c r="A72" s="45"/>
      <c r="B72" s="51">
        <f t="shared" ref="B72:E72" si="8">+B70-B71</f>
        <v>800324</v>
      </c>
      <c r="C72" s="51">
        <f t="shared" si="8"/>
        <v>572540</v>
      </c>
      <c r="D72" s="52">
        <f t="shared" si="8"/>
        <v>567800</v>
      </c>
      <c r="E72" s="53">
        <f t="shared" si="8"/>
        <v>323000</v>
      </c>
      <c r="F72" s="45"/>
    </row>
    <row r="73" spans="1:8" ht="15.75" customHeight="1">
      <c r="A73" s="45"/>
      <c r="B73" s="54">
        <f t="shared" ref="B73:E73" si="9">+B72*B69</f>
        <v>520210.60000000003</v>
      </c>
      <c r="C73" s="54">
        <f t="shared" si="9"/>
        <v>200389</v>
      </c>
      <c r="D73" s="54">
        <f t="shared" si="9"/>
        <v>0</v>
      </c>
      <c r="E73" s="54">
        <f t="shared" si="9"/>
        <v>0</v>
      </c>
      <c r="F73" s="54">
        <f>SUM(B73:E73)</f>
        <v>720599.60000000009</v>
      </c>
    </row>
    <row r="77" spans="1:8">
      <c r="A77" s="1" t="s">
        <v>58</v>
      </c>
      <c r="H77" s="55">
        <v>0.65</v>
      </c>
    </row>
    <row r="78" spans="1:8">
      <c r="A78" s="12" t="s">
        <v>39</v>
      </c>
      <c r="B78" s="13" t="e">
        <f t="shared" ref="B78:G78" ca="1" si="10">B51</f>
        <v>#NAME?</v>
      </c>
      <c r="C78" s="13" t="e">
        <f t="shared" ca="1" si="10"/>
        <v>#NAME?</v>
      </c>
      <c r="D78" s="13" t="e">
        <f t="shared" ca="1" si="10"/>
        <v>#NAME?</v>
      </c>
      <c r="E78" s="13" t="e">
        <f t="shared" ca="1" si="10"/>
        <v>#NAME?</v>
      </c>
      <c r="F78" s="13" t="e">
        <f t="shared" ca="1" si="10"/>
        <v>#NAME?</v>
      </c>
      <c r="G78" s="13" t="e">
        <f t="shared" ca="1" si="10"/>
        <v>#NAME?</v>
      </c>
    </row>
    <row r="79" spans="1:8">
      <c r="A79" s="25" t="s">
        <v>25</v>
      </c>
      <c r="B79" s="26" t="e">
        <f t="shared" ref="B79:G79" ca="1" si="11">B58</f>
        <v>#NAME?</v>
      </c>
      <c r="C79" s="26" t="e">
        <f t="shared" ca="1" si="11"/>
        <v>#NAME?</v>
      </c>
      <c r="D79" s="26" t="e">
        <f t="shared" ca="1" si="11"/>
        <v>#NAME?</v>
      </c>
      <c r="E79" s="26" t="e">
        <f t="shared" ca="1" si="11"/>
        <v>#NAME?</v>
      </c>
      <c r="F79" s="26" t="e">
        <f t="shared" ca="1" si="11"/>
        <v>#NAME?</v>
      </c>
      <c r="G79" s="26" t="e">
        <f t="shared" ca="1" si="11"/>
        <v>#NAME?</v>
      </c>
    </row>
    <row r="80" spans="1:8">
      <c r="A80" s="1" t="s">
        <v>59</v>
      </c>
      <c r="B80" s="15" t="e">
        <f t="shared" ref="B80:G80" ca="1" si="12">B78-B79</f>
        <v>#NAME?</v>
      </c>
      <c r="C80" s="15" t="e">
        <f t="shared" ca="1" si="12"/>
        <v>#NAME?</v>
      </c>
      <c r="D80" s="15" t="e">
        <f t="shared" ca="1" si="12"/>
        <v>#NAME?</v>
      </c>
      <c r="E80" s="15" t="e">
        <f t="shared" ca="1" si="12"/>
        <v>#NAME?</v>
      </c>
      <c r="F80" s="15" t="e">
        <f t="shared" ca="1" si="12"/>
        <v>#NAME?</v>
      </c>
      <c r="G80" s="15" t="e">
        <f t="shared" ca="1" si="12"/>
        <v>#NAME?</v>
      </c>
      <c r="H80" s="15" t="e">
        <f ca="1">SUM(B80:G80)</f>
        <v>#NAME?</v>
      </c>
    </row>
    <row r="82" spans="1:10">
      <c r="A82" s="1" t="s">
        <v>60</v>
      </c>
      <c r="H82" s="55">
        <v>0.35</v>
      </c>
    </row>
    <row r="83" spans="1:10">
      <c r="A83" s="10" t="s">
        <v>46</v>
      </c>
      <c r="B83" s="2" t="e">
        <f t="shared" ref="B83:G83" ca="1" si="13">B61</f>
        <v>#NAME?</v>
      </c>
      <c r="C83" s="2" t="e">
        <f t="shared" ca="1" si="13"/>
        <v>#NAME?</v>
      </c>
      <c r="D83" s="2" t="e">
        <f t="shared" ca="1" si="13"/>
        <v>#NAME?</v>
      </c>
      <c r="E83" s="2" t="e">
        <f t="shared" ca="1" si="13"/>
        <v>#NAME?</v>
      </c>
      <c r="F83" s="2" t="e">
        <f t="shared" ca="1" si="13"/>
        <v>#NAME?</v>
      </c>
      <c r="G83" s="2" t="e">
        <f t="shared" ca="1" si="13"/>
        <v>#NAME?</v>
      </c>
    </row>
    <row r="84" spans="1:10">
      <c r="A84" s="25" t="s">
        <v>25</v>
      </c>
      <c r="B84" s="26" t="e">
        <f t="shared" ref="B84:G84" ca="1" si="14">B65</f>
        <v>#NAME?</v>
      </c>
      <c r="C84" s="26" t="e">
        <f t="shared" ca="1" si="14"/>
        <v>#NAME?</v>
      </c>
      <c r="D84" s="26" t="e">
        <f t="shared" ca="1" si="14"/>
        <v>#NAME?</v>
      </c>
      <c r="E84" s="26" t="e">
        <f t="shared" ca="1" si="14"/>
        <v>#NAME?</v>
      </c>
      <c r="F84" s="26" t="e">
        <f t="shared" ca="1" si="14"/>
        <v>#NAME?</v>
      </c>
      <c r="G84" s="26" t="e">
        <f t="shared" ca="1" si="14"/>
        <v>#NAME?</v>
      </c>
      <c r="I84" s="1" t="s">
        <v>61</v>
      </c>
      <c r="J84" s="15" t="e">
        <f ca="1">(H80*H77)+(H85*H82)</f>
        <v>#NAME?</v>
      </c>
    </row>
    <row r="85" spans="1:10">
      <c r="A85" s="1" t="s">
        <v>59</v>
      </c>
      <c r="B85" s="15" t="e">
        <f t="shared" ref="B85:G85" ca="1" si="15">B83-B84</f>
        <v>#NAME?</v>
      </c>
      <c r="C85" s="15" t="e">
        <f t="shared" ca="1" si="15"/>
        <v>#NAME?</v>
      </c>
      <c r="D85" s="15" t="e">
        <f t="shared" ca="1" si="15"/>
        <v>#NAME?</v>
      </c>
      <c r="E85" s="15" t="e">
        <f t="shared" ca="1" si="15"/>
        <v>#NAME?</v>
      </c>
      <c r="F85" s="15" t="e">
        <f t="shared" ca="1" si="15"/>
        <v>#NAME?</v>
      </c>
      <c r="G85" s="15" t="e">
        <f t="shared" ca="1" si="15"/>
        <v>#NAME?</v>
      </c>
      <c r="H85" s="15" t="e">
        <f ca="1">SUM(B85:G85)</f>
        <v>#NAME?</v>
      </c>
    </row>
    <row r="88" spans="1:10">
      <c r="F88" s="1" t="s">
        <v>62</v>
      </c>
    </row>
  </sheetData>
  <conditionalFormatting sqref="I49">
    <cfRule type="notContainsBlanks" dxfId="0" priority="1">
      <formula>LEN(TRIM(I49))&gt;0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cp:lastModifiedBy>
  <dcterms:modified xsi:type="dcterms:W3CDTF">2024-04-03T01:51:57Z</dcterms:modified>
</cp:coreProperties>
</file>