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gunta 1 - Ambos Temas" sheetId="1" r:id="rId4"/>
    <sheet state="visible" name="Pregunta 2 - Tema A y B" sheetId="2" r:id="rId5"/>
    <sheet state="visible" name="Pregunta 3 - Tema A" sheetId="3" r:id="rId6"/>
    <sheet state="visible" name="Pregunta 3 - Tema B" sheetId="4" r:id="rId7"/>
    <sheet state="visible" name="Pregunta 4 - Tema A" sheetId="5" r:id="rId8"/>
    <sheet state="visible" name="Pregunta 4 - Tema B" sheetId="6" r:id="rId9"/>
    <sheet state="visible" name="Pregunta 5 - Tema A" sheetId="7" r:id="rId10"/>
    <sheet state="visible" name="Pregunta 5 - Tema B" sheetId="8" r:id="rId11"/>
    <sheet state="visible" name="Pregunta 6 - Tema A " sheetId="9" r:id="rId12"/>
    <sheet state="visible" name="Pregunta 6 - Tema B" sheetId="10" r:id="rId13"/>
    <sheet state="visible" name="Pregunta 7 - Tema A" sheetId="11" r:id="rId14"/>
    <sheet state="visible" name="Pregunta 7 - Tema B" sheetId="12" r:id="rId15"/>
    <sheet state="visible" name="Pregunta 8 - Tema A" sheetId="13" r:id="rId16"/>
    <sheet state="visible" name="Pregunta 8 - Tema B" sheetId="14" r:id="rId17"/>
  </sheets>
  <definedNames/>
  <calcPr/>
</workbook>
</file>

<file path=xl/sharedStrings.xml><?xml version="1.0" encoding="utf-8"?>
<sst xmlns="http://schemas.openxmlformats.org/spreadsheetml/2006/main" count="176" uniqueCount="73">
  <si>
    <t>Explique en qué consiste el costeo basado en actividades / Por Absorción.</t>
  </si>
  <si>
    <t>Tema A</t>
  </si>
  <si>
    <t>El PBIpm en millones de pesos fue de 14000 en el año 2011 y de 13500 en el año 2010. Si los índices de precios fueron 231 en el año 2011 y 213 en el año 2010 (base 1993=100), determine la variación real de la economía.</t>
  </si>
  <si>
    <t>Año</t>
  </si>
  <si>
    <t>PBIpm</t>
  </si>
  <si>
    <t>IPC</t>
  </si>
  <si>
    <t>Variación Real</t>
  </si>
  <si>
    <t>Tema B</t>
  </si>
  <si>
    <t>El PBIpm en millones de pesos fue de 1800 en el año 2011 y de 1650 en el año 2010. Si los índices de precios fueron 280 en el año 2011 y 270 en el año 2010 (base 1993=100), determine la variación real de la economía.</t>
  </si>
  <si>
    <t>Describa los componentes del ciclo de capital circulante.</t>
  </si>
  <si>
    <t>No entiendo como este vago sacó 10 con esa respuesta</t>
  </si>
  <si>
    <t>Ejemplifique fuentes de financiación propia, ajena, de corto y de largo plazo.</t>
  </si>
  <si>
    <t>Propia Corto Plazo = Dividendos a Pagar</t>
  </si>
  <si>
    <t>Propia de Largo Plazo = Emisión de Acciones</t>
  </si>
  <si>
    <t>Ajena de corto plazo = Sueldos a pagar, Deudas a Proveedores</t>
  </si>
  <si>
    <t>Ajena de Largo Plazo = Créditos bancarios a largo Plazo</t>
  </si>
  <si>
    <t>Balance de la empresa al 31 de Dic</t>
  </si>
  <si>
    <t>Monto</t>
  </si>
  <si>
    <t>Tipo</t>
  </si>
  <si>
    <t>Determine: el monto al que asciende el Patrimonio Neto y los índices de solvencia y liquidez corriente.</t>
  </si>
  <si>
    <t>Caja y Bancos</t>
  </si>
  <si>
    <t>AC</t>
  </si>
  <si>
    <t>Sueldos Adeudados</t>
  </si>
  <si>
    <t>PC</t>
  </si>
  <si>
    <t>Impuestos a Pagar</t>
  </si>
  <si>
    <t>Cuentas a Cobrar</t>
  </si>
  <si>
    <t>Índices de Solvencia</t>
  </si>
  <si>
    <t>Deudas a Proveedores</t>
  </si>
  <si>
    <t>Activos</t>
  </si>
  <si>
    <t>Deudas a Largo Plazo</t>
  </si>
  <si>
    <t>PNC</t>
  </si>
  <si>
    <t>Pasivo</t>
  </si>
  <si>
    <t>Stock de Materias Primas</t>
  </si>
  <si>
    <t>Solvencia</t>
  </si>
  <si>
    <t>Edificios</t>
  </si>
  <si>
    <t>ANC</t>
  </si>
  <si>
    <t>Liquidez Corriente</t>
  </si>
  <si>
    <t>Pasivos</t>
  </si>
  <si>
    <t>Activos Corrientes</t>
  </si>
  <si>
    <t>Patrimonio Neto = Activo - Pasivo</t>
  </si>
  <si>
    <t>Pasivo Corrientes</t>
  </si>
  <si>
    <t>¿Cuáles son los componentes del ciclo de proyectos de inversión?</t>
  </si>
  <si>
    <t>Creo que es esto</t>
  </si>
  <si>
    <t>¿Cuáles son las alternativas de la ingeniería básica en la formulación de proyectos?</t>
  </si>
  <si>
    <t>Su empresa utiliza para una tarea específica una grúa, la cual alquila cuando precisa. Sin embargo, en el último tiempo, ha recibido mucha demanda de estos trabajos específicos y ha estimado la siguiente demanda en horas para los próximos 6 años: 1500,1600, 1800, 1900, 2000 y 1800. Su proveedor le alquila la máquina a un costo de $200/hora, incluyendo operario y mantenimiento. Usted analiza la alternativa de comprar la máquina. Esta cuesta $150.000 y al cabo de 6 años tendrá un valor residual de $30.000. Los costos de operación y mantenimiento de la máquina son $150/hora. Usted obtiene como ganancia al desarrollar esta actividad la suma de $250/hora. Determine el VAN de cada alternativa y aconseje la alternativa que le deje mayor ganancia. Considere una tasa de descuentos del 12% anual.</t>
  </si>
  <si>
    <t>Costo/hora</t>
  </si>
  <si>
    <t>Alquiler</t>
  </si>
  <si>
    <t>Propio</t>
  </si>
  <si>
    <t>Defensor - Alquilar</t>
  </si>
  <si>
    <t>Ingreso</t>
  </si>
  <si>
    <t>Ganancia</t>
  </si>
  <si>
    <t>Egreso</t>
  </si>
  <si>
    <t>Inversión</t>
  </si>
  <si>
    <t>Total</t>
  </si>
  <si>
    <t xml:space="preserve">Tasa </t>
  </si>
  <si>
    <t>Total Actualizado</t>
  </si>
  <si>
    <t xml:space="preserve">VAN = </t>
  </si>
  <si>
    <t>Desafiante - Comprar</t>
  </si>
  <si>
    <t xml:space="preserve">Su empresa utiliza para una tarea específica una pala mecánica, la cual alquila cuando precisa. Sin embargo, en el último tiempo, ha recibido mucha demanda de estos trabajos específicos y ha estimado la siguiente demanda en horas para los próximos 6 años: 1600,1700, 1800, 1900, 1800 y 1700. Su proveedor le alquila la máquina a un costo de $525/hora, incluyendo operario y mantenimiento. Usted analiza la alternativa de comprar la máquina. Esta cuesta $200.000 y al cabo de 6 años tendrá un valor residual de $40.000. Los costos de operación y mantenimiento de la máquina son $500/hora. Usted obtiene como ganancia al desarrollar esta actividad la suma de $600/hora.
Determine el VAN de cada alternativa y aconseje la alternativa que le deje mayor ganancia. Considere una tasa de descuentos del 15% anual.
</t>
  </si>
  <si>
    <t>Usted evalúa solicitar un crédito para la adquisición de la grúa. Este le sería otorgado, por un monto de $100.000, una tasa de 2% mensual, a pagar en un plazo de 5 meses.Determine, aplicando el método alemán y el método francés, el monto de las cuotas que deberá pagar en cada mes y el monto total de intereses en cada método.</t>
  </si>
  <si>
    <t>Alemán</t>
  </si>
  <si>
    <t>Interés</t>
  </si>
  <si>
    <t>Períodos</t>
  </si>
  <si>
    <t>Mes</t>
  </si>
  <si>
    <t>Saldo Inicio</t>
  </si>
  <si>
    <t>Amortización</t>
  </si>
  <si>
    <t>Cuota</t>
  </si>
  <si>
    <t>Saldo Final</t>
  </si>
  <si>
    <t>Francés</t>
  </si>
  <si>
    <t>Usted evalúa solicitar un crédito para la adquisición de la pala mecánica. Este le sería otorgado, por un monto de $200.000, una tasa de 1.5% mensual, a pagar en un plazo de 5 meses. Determine, aplicando el método alemán y el método francés, el monto de las cuotas que deberá pagar en cada mes y el monto total de intereses en cada método</t>
  </si>
  <si>
    <t>No se ve, pero por la respuesta parece que la pregunta es algo como ¿Qué es la TIR?.</t>
  </si>
  <si>
    <t>Explique lo que entiende por punto de equilibrio para comparación de alternativas.</t>
  </si>
  <si>
    <t>Dejo la respuesta del parcial que aparentemente estaba bien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</si>
</sst>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\ [$€-1]"/>
    <numFmt numFmtId="165" formatCode="#,##0.00\ [$€-1]"/>
    <numFmt numFmtId="166" formatCode="#,##0.000\ [$€-1]"/>
  </numFmts>
  <fonts count="9">
    <font>
      <sz val="10.0"/>
      <color rgb="FF000000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/>
    <font>
      <color theme="1"/>
      <name val="Arial"/>
    </font>
    <font>
      <sz val="11.0"/>
      <color theme="1"/>
      <name val="Arial"/>
    </font>
    <font>
      <b/>
      <sz val="11.0"/>
      <color rgb="FF000000"/>
      <name val="Arial"/>
    </font>
    <font>
      <b/>
      <color theme="1"/>
      <name val="Arial"/>
      <scheme val="minor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readingOrder="0" shrinkToFit="0" vertical="center" wrapText="1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3" fontId="2" numFmtId="0" xfId="0" applyAlignment="1" applyBorder="1" applyFill="1" applyFont="1">
      <alignment horizontal="center" readingOrder="0"/>
    </xf>
    <xf borderId="12" fillId="3" fontId="2" numFmtId="0" xfId="0" applyAlignment="1" applyBorder="1" applyFont="1">
      <alignment readingOrder="0"/>
    </xf>
    <xf borderId="12" fillId="0" fontId="2" numFmtId="0" xfId="0" applyAlignment="1" applyBorder="1" applyFont="1">
      <alignment horizontal="center" readingOrder="0"/>
    </xf>
    <xf borderId="10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center" vertical="bottom"/>
    </xf>
    <xf borderId="7" fillId="0" fontId="5" numFmtId="0" xfId="0" applyAlignment="1" applyBorder="1" applyFont="1">
      <alignment shrinkToFit="0" vertical="bottom" wrapText="1"/>
    </xf>
    <xf borderId="0" fillId="4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2" fillId="0" fontId="6" numFmtId="0" xfId="0" applyAlignment="1" applyBorder="1" applyFont="1">
      <alignment horizontal="left" readingOrder="0" shrinkToFit="0" wrapText="1"/>
    </xf>
    <xf borderId="12" fillId="0" fontId="7" numFmtId="0" xfId="0" applyAlignment="1" applyBorder="1" applyFont="1">
      <alignment horizontal="left" readingOrder="0" shrinkToFit="0" vertical="top" wrapText="1"/>
    </xf>
    <xf borderId="12" fillId="0" fontId="7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12" fillId="0" fontId="1" numFmtId="0" xfId="0" applyAlignment="1" applyBorder="1" applyFont="1">
      <alignment horizontal="left" readingOrder="0" shrinkToFit="0" wrapText="1"/>
    </xf>
    <xf borderId="12" fillId="0" fontId="1" numFmtId="3" xfId="0" applyAlignment="1" applyBorder="1" applyFont="1" applyNumberFormat="1">
      <alignment horizontal="right" readingOrder="0" shrinkToFit="0" wrapText="1"/>
    </xf>
    <xf borderId="12" fillId="0" fontId="2" numFmtId="0" xfId="0" applyAlignment="1" applyBorder="1" applyFont="1">
      <alignment readingOrder="0"/>
    </xf>
    <xf borderId="12" fillId="0" fontId="2" numFmtId="0" xfId="0" applyBorder="1" applyFont="1"/>
    <xf borderId="12" fillId="4" fontId="2" numFmtId="0" xfId="0" applyBorder="1" applyFont="1"/>
    <xf borderId="12" fillId="0" fontId="7" numFmtId="0" xfId="0" applyAlignment="1" applyBorder="1" applyFont="1">
      <alignment horizontal="left" readingOrder="0" shrinkToFit="0" vertical="bottom" wrapText="1"/>
    </xf>
    <xf borderId="0" fillId="0" fontId="2" numFmtId="0" xfId="0" applyAlignment="1" applyFont="1">
      <alignment readingOrder="0"/>
    </xf>
    <xf borderId="0" fillId="4" fontId="6" numFmtId="0" xfId="0" applyAlignment="1" applyFont="1">
      <alignment horizontal="center" readingOrder="0"/>
    </xf>
    <xf borderId="4" fillId="0" fontId="1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/>
    </xf>
    <xf borderId="12" fillId="0" fontId="2" numFmtId="164" xfId="0" applyAlignment="1" applyBorder="1" applyFont="1" applyNumberFormat="1">
      <alignment horizontal="center" readingOrder="0"/>
    </xf>
    <xf borderId="12" fillId="0" fontId="2" numFmtId="164" xfId="0" applyAlignment="1" applyBorder="1" applyFont="1" applyNumberFormat="1">
      <alignment horizontal="center"/>
    </xf>
    <xf borderId="12" fillId="0" fontId="2" numFmtId="9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readingOrder="0"/>
    </xf>
    <xf borderId="12" fillId="0" fontId="2" numFmtId="164" xfId="0" applyBorder="1" applyFont="1" applyNumberFormat="1"/>
    <xf borderId="1" fillId="5" fontId="2" numFmtId="0" xfId="0" applyAlignment="1" applyBorder="1" applyFill="1" applyFont="1">
      <alignment horizontal="center" readingOrder="0"/>
    </xf>
    <xf borderId="12" fillId="5" fontId="2" numFmtId="0" xfId="0" applyAlignment="1" applyBorder="1" applyFont="1">
      <alignment readingOrder="0"/>
    </xf>
    <xf borderId="12" fillId="2" fontId="2" numFmtId="164" xfId="0" applyBorder="1" applyFont="1" applyNumberFormat="1"/>
    <xf borderId="12" fillId="0" fontId="2" numFmtId="165" xfId="0" applyAlignment="1" applyBorder="1" applyFont="1" applyNumberFormat="1">
      <alignment horizontal="center" readingOrder="0"/>
    </xf>
    <xf borderId="12" fillId="0" fontId="2" numFmtId="165" xfId="0" applyAlignment="1" applyBorder="1" applyFont="1" applyNumberFormat="1">
      <alignment horizontal="center"/>
    </xf>
    <xf borderId="12" fillId="2" fontId="2" numFmtId="166" xfId="0" applyBorder="1" applyFont="1" applyNumberFormat="1"/>
    <xf borderId="12" fillId="0" fontId="2" numFmtId="165" xfId="0" applyBorder="1" applyFont="1" applyNumberFormat="1"/>
    <xf borderId="4" fillId="0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12" fillId="0" fontId="2" numFmtId="165" xfId="0" applyAlignment="1" applyBorder="1" applyFont="1" applyNumberFormat="1">
      <alignment horizontal="center" readingOrder="0"/>
    </xf>
    <xf borderId="12" fillId="0" fontId="2" numFmtId="165" xfId="0" applyAlignment="1" applyBorder="1" applyFont="1" applyNumberFormat="1">
      <alignment horizontal="center"/>
    </xf>
    <xf borderId="12" fillId="4" fontId="2" numFmtId="0" xfId="0" applyAlignment="1" applyBorder="1" applyFont="1">
      <alignment horizontal="center" readingOrder="0"/>
    </xf>
    <xf borderId="12" fillId="4" fontId="2" numFmtId="0" xfId="0" applyAlignment="1" applyBorder="1" applyFont="1">
      <alignment horizontal="center"/>
    </xf>
    <xf borderId="12" fillId="4" fontId="2" numFmtId="165" xfId="0" applyAlignment="1" applyBorder="1" applyFont="1" applyNumberFormat="1">
      <alignment horizontal="center"/>
    </xf>
    <xf borderId="12" fillId="0" fontId="2" numFmtId="165" xfId="0" applyAlignment="1" applyBorder="1" applyFont="1" applyNumberFormat="1">
      <alignment readingOrder="0"/>
    </xf>
    <xf borderId="12" fillId="0" fontId="2" numFmtId="165" xfId="0" applyBorder="1" applyFont="1" applyNumberFormat="1"/>
    <xf borderId="12" fillId="4" fontId="2" numFmtId="0" xfId="0" applyAlignment="1" applyBorder="1" applyFont="1">
      <alignment readingOrder="0"/>
    </xf>
    <xf borderId="12" fillId="4" fontId="2" numFmtId="165" xfId="0" applyBorder="1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12" fillId="0" fontId="2" numFmtId="10" xfId="0" applyAlignment="1" applyBorder="1" applyFont="1" applyNumberFormat="1">
      <alignment horizontal="center" readingOrder="0"/>
    </xf>
    <xf borderId="0" fillId="6" fontId="8" numFmtId="9" xfId="0" applyAlignment="1" applyFill="1" applyFont="1" applyNumberFormat="1">
      <alignment readingOrder="0"/>
    </xf>
    <xf borderId="1" fillId="2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13.png"/><Relationship Id="rId3" Type="http://schemas.openxmlformats.org/officeDocument/2006/relationships/image" Target="../media/image5.png"/><Relationship Id="rId4" Type="http://schemas.openxmlformats.org/officeDocument/2006/relationships/image" Target="../media/image11.png"/><Relationship Id="rId5" Type="http://schemas.openxmlformats.org/officeDocument/2006/relationships/image" Target="../media/image15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1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2.png"/><Relationship Id="rId3" Type="http://schemas.openxmlformats.org/officeDocument/2006/relationships/image" Target="../media/image17.png"/><Relationship Id="rId4" Type="http://schemas.openxmlformats.org/officeDocument/2006/relationships/image" Target="../media/image23.png"/><Relationship Id="rId5" Type="http://schemas.openxmlformats.org/officeDocument/2006/relationships/image" Target="../media/image10.png"/><Relationship Id="rId6" Type="http://schemas.openxmlformats.org/officeDocument/2006/relationships/image" Target="../media/image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6.png"/><Relationship Id="rId3" Type="http://schemas.openxmlformats.org/officeDocument/2006/relationships/image" Target="../media/image3.png"/><Relationship Id="rId4" Type="http://schemas.openxmlformats.org/officeDocument/2006/relationships/image" Target="../media/image1.png"/><Relationship Id="rId5" Type="http://schemas.openxmlformats.org/officeDocument/2006/relationships/image" Target="../media/image19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9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2.png"/><Relationship Id="rId3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381000</xdr:colOff>
      <xdr:row>22</xdr:row>
      <xdr:rowOff>190500</xdr:rowOff>
    </xdr:from>
    <xdr:ext cx="4667250" cy="2790825"/>
    <xdr:pic>
      <xdr:nvPicPr>
        <xdr:cNvPr id="0" name="image2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2</xdr:row>
      <xdr:rowOff>190500</xdr:rowOff>
    </xdr:from>
    <xdr:ext cx="4829175" cy="1419225"/>
    <xdr:pic>
      <xdr:nvPicPr>
        <xdr:cNvPr id="0" name="image1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819150</xdr:colOff>
      <xdr:row>2</xdr:row>
      <xdr:rowOff>190500</xdr:rowOff>
    </xdr:from>
    <xdr:ext cx="3971925" cy="2143125"/>
    <xdr:pic>
      <xdr:nvPicPr>
        <xdr:cNvPr id="0" name="image5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790575</xdr:colOff>
      <xdr:row>13</xdr:row>
      <xdr:rowOff>209550</xdr:rowOff>
    </xdr:from>
    <xdr:ext cx="4038600" cy="2562225"/>
    <xdr:pic>
      <xdr:nvPicPr>
        <xdr:cNvPr id="0" name="image1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923925</xdr:colOff>
      <xdr:row>27</xdr:row>
      <xdr:rowOff>38100</xdr:rowOff>
    </xdr:from>
    <xdr:ext cx="3781425" cy="2066925"/>
    <xdr:pic>
      <xdr:nvPicPr>
        <xdr:cNvPr id="0" name="image15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57150</xdr:colOff>
      <xdr:row>2</xdr:row>
      <xdr:rowOff>28575</xdr:rowOff>
    </xdr:from>
    <xdr:ext cx="3943350" cy="3657600"/>
    <xdr:pic>
      <xdr:nvPicPr>
        <xdr:cNvPr id="0" name="image2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3857625</xdr:colOff>
      <xdr:row>4</xdr:row>
      <xdr:rowOff>-209550</xdr:rowOff>
    </xdr:from>
    <xdr:ext cx="6257925" cy="3886200"/>
    <xdr:pic>
      <xdr:nvPicPr>
        <xdr:cNvPr id="0" name="image1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914400</xdr:colOff>
      <xdr:row>6</xdr:row>
      <xdr:rowOff>200025</xdr:rowOff>
    </xdr:from>
    <xdr:ext cx="1962150" cy="48577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7</xdr:row>
      <xdr:rowOff>38100</xdr:rowOff>
    </xdr:from>
    <xdr:ext cx="1857375" cy="409575"/>
    <xdr:pic>
      <xdr:nvPicPr>
        <xdr:cNvPr id="0" name="image1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533400</xdr:colOff>
      <xdr:row>12</xdr:row>
      <xdr:rowOff>200025</xdr:rowOff>
    </xdr:from>
    <xdr:ext cx="3838575" cy="647700"/>
    <xdr:pic>
      <xdr:nvPicPr>
        <xdr:cNvPr id="0" name="image17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25</xdr:row>
      <xdr:rowOff>200025</xdr:rowOff>
    </xdr:from>
    <xdr:ext cx="1857375" cy="485775"/>
    <xdr:pic>
      <xdr:nvPicPr>
        <xdr:cNvPr id="0" name="image2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25</xdr:row>
      <xdr:rowOff>200025</xdr:rowOff>
    </xdr:from>
    <xdr:ext cx="1857375" cy="409575"/>
    <xdr:pic>
      <xdr:nvPicPr>
        <xdr:cNvPr id="0" name="image10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485775</xdr:colOff>
      <xdr:row>31</xdr:row>
      <xdr:rowOff>190500</xdr:rowOff>
    </xdr:from>
    <xdr:ext cx="3838575" cy="647700"/>
    <xdr:pic>
      <xdr:nvPicPr>
        <xdr:cNvPr id="0" name="image6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666750</xdr:colOff>
      <xdr:row>4</xdr:row>
      <xdr:rowOff>-190500</xdr:rowOff>
    </xdr:from>
    <xdr:ext cx="3495675" cy="2819400"/>
    <xdr:pic>
      <xdr:nvPicPr>
        <xdr:cNvPr id="0" name="image7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514350</xdr:colOff>
      <xdr:row>3</xdr:row>
      <xdr:rowOff>9525</xdr:rowOff>
    </xdr:from>
    <xdr:ext cx="2905125" cy="1800225"/>
    <xdr:pic>
      <xdr:nvPicPr>
        <xdr:cNvPr id="0" name="image16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17</xdr:row>
      <xdr:rowOff>190500</xdr:rowOff>
    </xdr:from>
    <xdr:ext cx="4572000" cy="2686050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952500</xdr:colOff>
      <xdr:row>17</xdr:row>
      <xdr:rowOff>190500</xdr:rowOff>
    </xdr:from>
    <xdr:ext cx="6143625" cy="4019550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32</xdr:row>
      <xdr:rowOff>38100</xdr:rowOff>
    </xdr:from>
    <xdr:ext cx="4572000" cy="2581275"/>
    <xdr:pic>
      <xdr:nvPicPr>
        <xdr:cNvPr id="0" name="image19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2</xdr:row>
      <xdr:rowOff>28575</xdr:rowOff>
    </xdr:from>
    <xdr:ext cx="7019925" cy="2381250"/>
    <xdr:pic>
      <xdr:nvPicPr>
        <xdr:cNvPr id="0" name="image2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476250</xdr:colOff>
      <xdr:row>14</xdr:row>
      <xdr:rowOff>85725</xdr:rowOff>
    </xdr:from>
    <xdr:ext cx="6629400" cy="1990725"/>
    <xdr:pic>
      <xdr:nvPicPr>
        <xdr:cNvPr id="0" name="image9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942975</xdr:colOff>
      <xdr:row>3</xdr:row>
      <xdr:rowOff>190500</xdr:rowOff>
    </xdr:from>
    <xdr:ext cx="4505325" cy="2838450"/>
    <xdr:pic>
      <xdr:nvPicPr>
        <xdr:cNvPr id="0" name="image1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8</xdr:row>
      <xdr:rowOff>152400</xdr:rowOff>
    </xdr:from>
    <xdr:ext cx="1047750" cy="2047875"/>
    <xdr:sp>
      <xdr:nvSpPr>
        <xdr:cNvPr id="3" name="Shape 3"/>
        <xdr:cNvSpPr/>
      </xdr:nvSpPr>
      <xdr:spPr>
        <a:xfrm>
          <a:off x="2527500" y="452400"/>
          <a:ext cx="1780200" cy="3501000"/>
        </a:xfrm>
        <a:prstGeom prst="rect">
          <a:avLst/>
        </a:prstGeom>
        <a:noFill/>
        <a:ln cap="flat" cmpd="sng" w="381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409575</xdr:colOff>
      <xdr:row>2</xdr:row>
      <xdr:rowOff>57150</xdr:rowOff>
    </xdr:from>
    <xdr:ext cx="3838575" cy="3400425"/>
    <xdr:pic>
      <xdr:nvPicPr>
        <xdr:cNvPr id="0" name="image20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219075</xdr:colOff>
      <xdr:row>20</xdr:row>
      <xdr:rowOff>95250</xdr:rowOff>
    </xdr:from>
    <xdr:ext cx="3667125" cy="261937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20</xdr:row>
      <xdr:rowOff>95250</xdr:rowOff>
    </xdr:from>
    <xdr:ext cx="5076825" cy="2619375"/>
    <xdr:pic>
      <xdr:nvPicPr>
        <xdr:cNvPr id="0" name="image8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" t="s">
        <v>0</v>
      </c>
    </row>
  </sheetData>
  <mergeCells count="1">
    <mergeCell ref="C2:H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88"/>
  </cols>
  <sheetData>
    <row r="2">
      <c r="C2" s="34" t="s">
        <v>58</v>
      </c>
      <c r="D2" s="6"/>
      <c r="E2" s="6"/>
      <c r="F2" s="6"/>
      <c r="G2" s="6"/>
      <c r="H2" s="6"/>
      <c r="I2" s="6"/>
      <c r="J2" s="6"/>
      <c r="K2" s="6"/>
      <c r="L2" s="7"/>
    </row>
    <row r="3">
      <c r="C3" s="8"/>
      <c r="L3" s="9"/>
    </row>
    <row r="4">
      <c r="C4" s="8"/>
      <c r="L4" s="9"/>
    </row>
    <row r="5">
      <c r="C5" s="8"/>
      <c r="L5" s="9"/>
    </row>
    <row r="6">
      <c r="C6" s="8"/>
      <c r="L6" s="9"/>
    </row>
    <row r="7">
      <c r="C7" s="8"/>
      <c r="L7" s="9"/>
    </row>
    <row r="8">
      <c r="C8" s="10"/>
      <c r="D8" s="11"/>
      <c r="E8" s="11"/>
      <c r="F8" s="11"/>
      <c r="G8" s="11"/>
      <c r="H8" s="11"/>
      <c r="I8" s="11"/>
      <c r="J8" s="11"/>
      <c r="K8" s="11"/>
      <c r="L8" s="12"/>
      <c r="N8" s="2" t="s">
        <v>45</v>
      </c>
      <c r="O8" s="4"/>
    </row>
    <row r="9">
      <c r="N9" s="15" t="s">
        <v>46</v>
      </c>
      <c r="O9" s="15" t="s">
        <v>47</v>
      </c>
    </row>
    <row r="10">
      <c r="D10" s="35" t="s">
        <v>48</v>
      </c>
      <c r="E10" s="3"/>
      <c r="F10" s="3"/>
      <c r="G10" s="3"/>
      <c r="H10" s="3"/>
      <c r="I10" s="3"/>
      <c r="J10" s="3"/>
      <c r="K10" s="4"/>
      <c r="N10" s="15">
        <v>-525.0</v>
      </c>
      <c r="O10" s="15">
        <v>-500.0</v>
      </c>
    </row>
    <row r="11">
      <c r="D11" s="14" t="s">
        <v>3</v>
      </c>
      <c r="E11" s="15">
        <v>0.0</v>
      </c>
      <c r="F11" s="15">
        <v>1.0</v>
      </c>
      <c r="G11" s="15">
        <v>2.0</v>
      </c>
      <c r="H11" s="15">
        <v>3.0</v>
      </c>
      <c r="I11" s="15">
        <v>4.0</v>
      </c>
      <c r="J11" s="15">
        <v>5.0</v>
      </c>
      <c r="K11" s="15">
        <v>6.0</v>
      </c>
    </row>
    <row r="12">
      <c r="D12" s="14" t="s">
        <v>49</v>
      </c>
      <c r="E12" s="44">
        <v>0.0</v>
      </c>
      <c r="F12" s="45">
        <f>1600*$N$13</f>
        <v>960000</v>
      </c>
      <c r="G12" s="45">
        <f>1700*$N$13</f>
        <v>1020000</v>
      </c>
      <c r="H12" s="45">
        <f>1800*$N$13</f>
        <v>1080000</v>
      </c>
      <c r="I12" s="45">
        <f>1900*$N$13</f>
        <v>1140000</v>
      </c>
      <c r="J12" s="45">
        <f>1800*$N$13</f>
        <v>1080000</v>
      </c>
      <c r="K12" s="45">
        <f>1700*$N$13</f>
        <v>1020000</v>
      </c>
      <c r="N12" s="15" t="s">
        <v>50</v>
      </c>
    </row>
    <row r="13">
      <c r="D13" s="14" t="s">
        <v>51</v>
      </c>
      <c r="E13" s="44">
        <v>0.0</v>
      </c>
      <c r="F13" s="45">
        <f>1600*$N$10</f>
        <v>-840000</v>
      </c>
      <c r="G13" s="45">
        <f>1700*$N$10</f>
        <v>-892500</v>
      </c>
      <c r="H13" s="45">
        <f>1800*$N$10</f>
        <v>-945000</v>
      </c>
      <c r="I13" s="45">
        <f>1900*$N$10</f>
        <v>-997500</v>
      </c>
      <c r="J13" s="45">
        <f>1800*$N$10</f>
        <v>-945000</v>
      </c>
      <c r="K13" s="45">
        <f>1700*$N$10</f>
        <v>-892500</v>
      </c>
      <c r="N13" s="15">
        <v>600.0</v>
      </c>
    </row>
    <row r="14">
      <c r="D14" s="14" t="s">
        <v>52</v>
      </c>
      <c r="E14" s="44">
        <v>0.0</v>
      </c>
      <c r="F14" s="44">
        <v>0.0</v>
      </c>
      <c r="G14" s="44">
        <v>0.0</v>
      </c>
      <c r="H14" s="44">
        <v>0.0</v>
      </c>
      <c r="I14" s="44">
        <v>0.0</v>
      </c>
      <c r="J14" s="44">
        <v>0.0</v>
      </c>
      <c r="K14" s="44">
        <v>0.0</v>
      </c>
    </row>
    <row r="15">
      <c r="D15" s="14" t="s">
        <v>53</v>
      </c>
      <c r="E15" s="44">
        <v>0.0</v>
      </c>
      <c r="F15" s="45">
        <f t="shared" ref="F15:K15" si="1">SUM(F12:F14)</f>
        <v>120000</v>
      </c>
      <c r="G15" s="45">
        <f t="shared" si="1"/>
        <v>127500</v>
      </c>
      <c r="H15" s="45">
        <f t="shared" si="1"/>
        <v>135000</v>
      </c>
      <c r="I15" s="45">
        <f t="shared" si="1"/>
        <v>142500</v>
      </c>
      <c r="J15" s="45">
        <f t="shared" si="1"/>
        <v>135000</v>
      </c>
      <c r="K15" s="45">
        <f t="shared" si="1"/>
        <v>127500</v>
      </c>
      <c r="N15" s="15" t="s">
        <v>54</v>
      </c>
    </row>
    <row r="16">
      <c r="D16" s="14" t="s">
        <v>55</v>
      </c>
      <c r="E16" s="44">
        <f>SUM(E12:E14)</f>
        <v>0</v>
      </c>
      <c r="F16" s="45">
        <f t="shared" ref="F16:K16" si="2">F15/((1+$N$16)^F11)</f>
        <v>104347.8261</v>
      </c>
      <c r="G16" s="45">
        <f t="shared" si="2"/>
        <v>96408.31758</v>
      </c>
      <c r="H16" s="45">
        <f t="shared" si="2"/>
        <v>88764.69138</v>
      </c>
      <c r="I16" s="45">
        <f t="shared" si="2"/>
        <v>81474.8375</v>
      </c>
      <c r="J16" s="45">
        <f t="shared" si="2"/>
        <v>67118.85927</v>
      </c>
      <c r="K16" s="45">
        <f t="shared" si="2"/>
        <v>55121.76848</v>
      </c>
      <c r="N16" s="38">
        <v>0.15</v>
      </c>
    </row>
    <row r="18">
      <c r="D18" s="39" t="s">
        <v>56</v>
      </c>
      <c r="E18" s="4"/>
      <c r="F18" s="46">
        <f>SUM(E16:K16)</f>
        <v>493236.3003</v>
      </c>
    </row>
    <row r="22">
      <c r="D22" s="41" t="s">
        <v>57</v>
      </c>
      <c r="E22" s="3"/>
      <c r="F22" s="3"/>
      <c r="G22" s="3"/>
      <c r="H22" s="3"/>
      <c r="I22" s="3"/>
      <c r="J22" s="3"/>
      <c r="K22" s="4"/>
    </row>
    <row r="23">
      <c r="D23" s="42" t="s">
        <v>3</v>
      </c>
      <c r="E23" s="15">
        <v>0.0</v>
      </c>
      <c r="F23" s="15">
        <v>1.0</v>
      </c>
      <c r="G23" s="15">
        <v>2.0</v>
      </c>
      <c r="H23" s="15">
        <v>3.0</v>
      </c>
      <c r="I23" s="15">
        <v>4.0</v>
      </c>
      <c r="J23" s="15">
        <v>5.0</v>
      </c>
      <c r="K23" s="15">
        <v>6.0</v>
      </c>
    </row>
    <row r="24">
      <c r="D24" s="42" t="s">
        <v>49</v>
      </c>
      <c r="E24" s="44">
        <v>0.0</v>
      </c>
      <c r="F24" s="45">
        <f>1500*$N$13</f>
        <v>900000</v>
      </c>
      <c r="G24" s="45">
        <f>1600*$N$13</f>
        <v>960000</v>
      </c>
      <c r="H24" s="45">
        <f>1800*$N$13</f>
        <v>1080000</v>
      </c>
      <c r="I24" s="45">
        <f>1900*$N$13</f>
        <v>1140000</v>
      </c>
      <c r="J24" s="45">
        <f>2000*$N$13</f>
        <v>1200000</v>
      </c>
      <c r="K24" s="45">
        <f>1800*$N$13+40000</f>
        <v>1120000</v>
      </c>
    </row>
    <row r="25">
      <c r="D25" s="42" t="s">
        <v>51</v>
      </c>
      <c r="E25" s="44">
        <v>0.0</v>
      </c>
      <c r="F25" s="45">
        <f>1500*$O$10</f>
        <v>-750000</v>
      </c>
      <c r="G25" s="45">
        <f>1600*$O$10</f>
        <v>-800000</v>
      </c>
      <c r="H25" s="45">
        <f>1800*$O$10</f>
        <v>-900000</v>
      </c>
      <c r="I25" s="45">
        <f>1900*$O$10</f>
        <v>-950000</v>
      </c>
      <c r="J25" s="45">
        <f>2000*$O$10</f>
        <v>-1000000</v>
      </c>
      <c r="K25" s="45">
        <f>1800*$O$10</f>
        <v>-900000</v>
      </c>
    </row>
    <row r="26">
      <c r="D26" s="42" t="s">
        <v>52</v>
      </c>
      <c r="E26" s="44">
        <v>-200000.0</v>
      </c>
      <c r="F26" s="44">
        <v>0.0</v>
      </c>
      <c r="G26" s="44">
        <v>0.0</v>
      </c>
      <c r="H26" s="44">
        <v>0.0</v>
      </c>
      <c r="I26" s="44">
        <v>0.0</v>
      </c>
      <c r="J26" s="44">
        <v>0.0</v>
      </c>
      <c r="K26" s="44">
        <v>0.0</v>
      </c>
    </row>
    <row r="27">
      <c r="D27" s="42" t="s">
        <v>53</v>
      </c>
      <c r="E27" s="44">
        <f t="shared" ref="E27:K27" si="3">SUM(E24:E26)</f>
        <v>-200000</v>
      </c>
      <c r="F27" s="45">
        <f t="shared" si="3"/>
        <v>150000</v>
      </c>
      <c r="G27" s="45">
        <f t="shared" si="3"/>
        <v>160000</v>
      </c>
      <c r="H27" s="45">
        <f t="shared" si="3"/>
        <v>180000</v>
      </c>
      <c r="I27" s="45">
        <f t="shared" si="3"/>
        <v>190000</v>
      </c>
      <c r="J27" s="45">
        <f t="shared" si="3"/>
        <v>200000</v>
      </c>
      <c r="K27" s="45">
        <f t="shared" si="3"/>
        <v>220000</v>
      </c>
    </row>
    <row r="28">
      <c r="D28" s="42" t="s">
        <v>55</v>
      </c>
      <c r="E28" s="45">
        <f t="shared" ref="E28:K28" si="4">E27/((1+$N$16)^E23)</f>
        <v>-200000</v>
      </c>
      <c r="F28" s="45">
        <f t="shared" si="4"/>
        <v>130434.7826</v>
      </c>
      <c r="G28" s="45">
        <f t="shared" si="4"/>
        <v>120982.9868</v>
      </c>
      <c r="H28" s="45">
        <f t="shared" si="4"/>
        <v>118352.9218</v>
      </c>
      <c r="I28" s="45">
        <f t="shared" si="4"/>
        <v>108633.1167</v>
      </c>
      <c r="J28" s="45">
        <f t="shared" si="4"/>
        <v>99435.34706</v>
      </c>
      <c r="K28" s="45">
        <f t="shared" si="4"/>
        <v>95112.0711</v>
      </c>
    </row>
    <row r="30">
      <c r="D30" s="39" t="s">
        <v>56</v>
      </c>
      <c r="E30" s="4"/>
      <c r="F30" s="47">
        <f>SUM(E28:K28)</f>
        <v>472951.226</v>
      </c>
    </row>
  </sheetData>
  <mergeCells count="6">
    <mergeCell ref="C2:L8"/>
    <mergeCell ref="N8:O8"/>
    <mergeCell ref="D10:K10"/>
    <mergeCell ref="D18:E18"/>
    <mergeCell ref="D22:K22"/>
    <mergeCell ref="D30:E3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E2" s="48" t="s">
        <v>59</v>
      </c>
      <c r="F2" s="6"/>
      <c r="G2" s="6"/>
      <c r="H2" s="6"/>
      <c r="I2" s="6"/>
      <c r="J2" s="6"/>
      <c r="K2" s="6"/>
      <c r="L2" s="7"/>
    </row>
    <row r="3">
      <c r="E3" s="8"/>
      <c r="L3" s="9"/>
    </row>
    <row r="4">
      <c r="E4" s="10"/>
      <c r="F4" s="11"/>
      <c r="G4" s="11"/>
      <c r="H4" s="11"/>
      <c r="I4" s="11"/>
      <c r="J4" s="11"/>
      <c r="K4" s="11"/>
      <c r="L4" s="12"/>
    </row>
    <row r="7">
      <c r="D7" s="35" t="s">
        <v>60</v>
      </c>
      <c r="E7" s="3"/>
      <c r="F7" s="3"/>
      <c r="G7" s="3"/>
      <c r="H7" s="3"/>
      <c r="I7" s="4"/>
      <c r="J7" s="49"/>
      <c r="K7" s="15" t="s">
        <v>61</v>
      </c>
      <c r="L7" s="15" t="s">
        <v>62</v>
      </c>
    </row>
    <row r="8">
      <c r="D8" s="15" t="s">
        <v>63</v>
      </c>
      <c r="E8" s="15" t="s">
        <v>64</v>
      </c>
      <c r="F8" s="15" t="s">
        <v>61</v>
      </c>
      <c r="G8" s="15" t="s">
        <v>65</v>
      </c>
      <c r="H8" s="15" t="s">
        <v>66</v>
      </c>
      <c r="I8" s="15" t="s">
        <v>67</v>
      </c>
      <c r="K8" s="38">
        <v>0.02</v>
      </c>
      <c r="L8" s="28">
        <v>5.0</v>
      </c>
    </row>
    <row r="9">
      <c r="D9" s="15">
        <v>1.0</v>
      </c>
      <c r="E9" s="50">
        <v>100000.0</v>
      </c>
      <c r="F9" s="51">
        <f t="shared" ref="F9:F13" si="1">$K$8*E9</f>
        <v>2000</v>
      </c>
      <c r="G9" s="51">
        <f t="shared" ref="G9:G13" si="2">$E$9/$L$8</f>
        <v>20000</v>
      </c>
      <c r="H9" s="51">
        <f t="shared" ref="H9:H13" si="3">G9+F9</f>
        <v>22000</v>
      </c>
      <c r="I9" s="51">
        <f t="shared" ref="I9:I13" si="4">E9-G9</f>
        <v>80000</v>
      </c>
    </row>
    <row r="10">
      <c r="D10" s="15">
        <v>2.0</v>
      </c>
      <c r="E10" s="51">
        <f t="shared" ref="E10:E13" si="5">I9</f>
        <v>80000</v>
      </c>
      <c r="F10" s="51">
        <f t="shared" si="1"/>
        <v>1600</v>
      </c>
      <c r="G10" s="51">
        <f t="shared" si="2"/>
        <v>20000</v>
      </c>
      <c r="H10" s="51">
        <f t="shared" si="3"/>
        <v>21600</v>
      </c>
      <c r="I10" s="51">
        <f t="shared" si="4"/>
        <v>60000</v>
      </c>
    </row>
    <row r="11">
      <c r="D11" s="15">
        <v>3.0</v>
      </c>
      <c r="E11" s="51">
        <f t="shared" si="5"/>
        <v>60000</v>
      </c>
      <c r="F11" s="51">
        <f t="shared" si="1"/>
        <v>1200</v>
      </c>
      <c r="G11" s="51">
        <f t="shared" si="2"/>
        <v>20000</v>
      </c>
      <c r="H11" s="51">
        <f t="shared" si="3"/>
        <v>21200</v>
      </c>
      <c r="I11" s="51">
        <f t="shared" si="4"/>
        <v>40000</v>
      </c>
    </row>
    <row r="12">
      <c r="D12" s="15">
        <v>4.0</v>
      </c>
      <c r="E12" s="51">
        <f t="shared" si="5"/>
        <v>40000</v>
      </c>
      <c r="F12" s="51">
        <f t="shared" si="1"/>
        <v>800</v>
      </c>
      <c r="G12" s="51">
        <f t="shared" si="2"/>
        <v>20000</v>
      </c>
      <c r="H12" s="51">
        <f t="shared" si="3"/>
        <v>20800</v>
      </c>
      <c r="I12" s="51">
        <f t="shared" si="4"/>
        <v>20000</v>
      </c>
    </row>
    <row r="13">
      <c r="D13" s="15">
        <v>5.0</v>
      </c>
      <c r="E13" s="51">
        <f t="shared" si="5"/>
        <v>20000</v>
      </c>
      <c r="F13" s="51">
        <f t="shared" si="1"/>
        <v>400</v>
      </c>
      <c r="G13" s="51">
        <f t="shared" si="2"/>
        <v>20000</v>
      </c>
      <c r="H13" s="51">
        <f t="shared" si="3"/>
        <v>20400</v>
      </c>
      <c r="I13" s="51">
        <f t="shared" si="4"/>
        <v>0</v>
      </c>
    </row>
    <row r="14">
      <c r="D14" s="52" t="s">
        <v>53</v>
      </c>
      <c r="E14" s="53"/>
      <c r="F14" s="54">
        <f t="shared" ref="F14:G14" si="6">SUM(F9:F13)</f>
        <v>6000</v>
      </c>
      <c r="G14" s="54">
        <f t="shared" si="6"/>
        <v>100000</v>
      </c>
      <c r="H14" s="53"/>
      <c r="I14" s="53"/>
    </row>
    <row r="17">
      <c r="D17" s="41" t="s">
        <v>68</v>
      </c>
      <c r="E17" s="3"/>
      <c r="F17" s="3"/>
      <c r="G17" s="3"/>
      <c r="H17" s="3"/>
      <c r="I17" s="4"/>
      <c r="J17" s="49"/>
      <c r="K17" s="15" t="s">
        <v>61</v>
      </c>
      <c r="L17" s="15" t="s">
        <v>62</v>
      </c>
      <c r="M17" s="15" t="s">
        <v>66</v>
      </c>
    </row>
    <row r="18">
      <c r="D18" s="15" t="s">
        <v>63</v>
      </c>
      <c r="E18" s="15" t="s">
        <v>64</v>
      </c>
      <c r="F18" s="15" t="s">
        <v>61</v>
      </c>
      <c r="G18" s="15" t="s">
        <v>65</v>
      </c>
      <c r="H18" s="15" t="s">
        <v>66</v>
      </c>
      <c r="I18" s="15" t="s">
        <v>67</v>
      </c>
      <c r="K18" s="38">
        <v>0.02</v>
      </c>
      <c r="L18" s="28">
        <v>5.0</v>
      </c>
      <c r="M18" s="51">
        <f>E19*((((1+K18)^L18)*K18)/(((1+K18)^L18)-1))</f>
        <v>21215.83941</v>
      </c>
    </row>
    <row r="19">
      <c r="D19" s="28">
        <v>1.0</v>
      </c>
      <c r="E19" s="55">
        <v>100000.0</v>
      </c>
      <c r="F19" s="56">
        <f t="shared" ref="F19:F23" si="7">$K$8*E19</f>
        <v>2000</v>
      </c>
      <c r="G19" s="56">
        <f t="shared" ref="G19:G23" si="8">H19-F19</f>
        <v>19215.83941</v>
      </c>
      <c r="H19" s="56">
        <f t="shared" ref="H19:H23" si="9">$M$18</f>
        <v>21215.83941</v>
      </c>
      <c r="I19" s="56">
        <f t="shared" ref="I19:I23" si="10">E19-G19</f>
        <v>80784.16059</v>
      </c>
    </row>
    <row r="20">
      <c r="D20" s="28">
        <v>2.0</v>
      </c>
      <c r="E20" s="56">
        <f t="shared" ref="E20:E23" si="11">I19</f>
        <v>80784.16059</v>
      </c>
      <c r="F20" s="56">
        <f t="shared" si="7"/>
        <v>1615.683212</v>
      </c>
      <c r="G20" s="56">
        <f t="shared" si="8"/>
        <v>19600.1562</v>
      </c>
      <c r="H20" s="56">
        <f t="shared" si="9"/>
        <v>21215.83941</v>
      </c>
      <c r="I20" s="56">
        <f t="shared" si="10"/>
        <v>61184.00439</v>
      </c>
    </row>
    <row r="21">
      <c r="D21" s="28">
        <v>3.0</v>
      </c>
      <c r="E21" s="56">
        <f t="shared" si="11"/>
        <v>61184.00439</v>
      </c>
      <c r="F21" s="56">
        <f t="shared" si="7"/>
        <v>1223.680088</v>
      </c>
      <c r="G21" s="56">
        <f t="shared" si="8"/>
        <v>19992.15932</v>
      </c>
      <c r="H21" s="56">
        <f t="shared" si="9"/>
        <v>21215.83941</v>
      </c>
      <c r="I21" s="56">
        <f t="shared" si="10"/>
        <v>41191.84507</v>
      </c>
    </row>
    <row r="22">
      <c r="D22" s="28">
        <v>4.0</v>
      </c>
      <c r="E22" s="56">
        <f t="shared" si="11"/>
        <v>41191.84507</v>
      </c>
      <c r="F22" s="56">
        <f t="shared" si="7"/>
        <v>823.8369014</v>
      </c>
      <c r="G22" s="56">
        <f t="shared" si="8"/>
        <v>20392.00251</v>
      </c>
      <c r="H22" s="56">
        <f t="shared" si="9"/>
        <v>21215.83941</v>
      </c>
      <c r="I22" s="56">
        <f t="shared" si="10"/>
        <v>20799.84256</v>
      </c>
    </row>
    <row r="23">
      <c r="D23" s="28">
        <v>5.0</v>
      </c>
      <c r="E23" s="56">
        <f t="shared" si="11"/>
        <v>20799.84256</v>
      </c>
      <c r="F23" s="56">
        <f t="shared" si="7"/>
        <v>415.9968512</v>
      </c>
      <c r="G23" s="56">
        <f t="shared" si="8"/>
        <v>20799.84256</v>
      </c>
      <c r="H23" s="56">
        <f t="shared" si="9"/>
        <v>21215.83941</v>
      </c>
      <c r="I23" s="56">
        <f t="shared" si="10"/>
        <v>0</v>
      </c>
    </row>
    <row r="24">
      <c r="D24" s="57" t="s">
        <v>53</v>
      </c>
      <c r="E24" s="30"/>
      <c r="F24" s="58">
        <f t="shared" ref="F24:G24" si="12">SUM(F19:F23)</f>
        <v>6079.197052</v>
      </c>
      <c r="G24" s="58">
        <f t="shared" si="12"/>
        <v>100000</v>
      </c>
      <c r="H24" s="30"/>
      <c r="I24" s="30"/>
    </row>
  </sheetData>
  <mergeCells count="3">
    <mergeCell ref="E2:L4"/>
    <mergeCell ref="D7:I7"/>
    <mergeCell ref="D17:I17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E2" s="48" t="s">
        <v>69</v>
      </c>
      <c r="F2" s="6"/>
      <c r="G2" s="6"/>
      <c r="H2" s="6"/>
      <c r="I2" s="6"/>
      <c r="J2" s="6"/>
      <c r="K2" s="6"/>
      <c r="L2" s="7"/>
    </row>
    <row r="3">
      <c r="E3" s="8"/>
      <c r="L3" s="9"/>
      <c r="N3" s="59"/>
    </row>
    <row r="4">
      <c r="E4" s="10"/>
      <c r="F4" s="11"/>
      <c r="G4" s="11"/>
      <c r="H4" s="11"/>
      <c r="I4" s="11"/>
      <c r="J4" s="11"/>
      <c r="K4" s="11"/>
      <c r="L4" s="12"/>
      <c r="N4" s="59"/>
    </row>
    <row r="5">
      <c r="N5" s="60"/>
    </row>
    <row r="7">
      <c r="D7" s="35" t="s">
        <v>60</v>
      </c>
      <c r="E7" s="3"/>
      <c r="F7" s="3"/>
      <c r="G7" s="3"/>
      <c r="H7" s="3"/>
      <c r="I7" s="4"/>
      <c r="J7" s="49"/>
      <c r="K7" s="15" t="s">
        <v>61</v>
      </c>
      <c r="L7" s="15" t="s">
        <v>62</v>
      </c>
    </row>
    <row r="8">
      <c r="D8" s="15" t="s">
        <v>63</v>
      </c>
      <c r="E8" s="15" t="s">
        <v>64</v>
      </c>
      <c r="F8" s="15" t="s">
        <v>61</v>
      </c>
      <c r="G8" s="15" t="s">
        <v>65</v>
      </c>
      <c r="H8" s="15" t="s">
        <v>66</v>
      </c>
      <c r="I8" s="15" t="s">
        <v>67</v>
      </c>
      <c r="K8" s="61">
        <v>0.015</v>
      </c>
      <c r="L8" s="28">
        <v>5.0</v>
      </c>
    </row>
    <row r="9">
      <c r="D9" s="15">
        <v>1.0</v>
      </c>
      <c r="E9" s="50">
        <v>200000.0</v>
      </c>
      <c r="F9" s="51">
        <f t="shared" ref="F9:F13" si="1">$K$8*E9</f>
        <v>3000</v>
      </c>
      <c r="G9" s="51">
        <f t="shared" ref="G9:G13" si="2">$E$9/$L$8</f>
        <v>40000</v>
      </c>
      <c r="H9" s="51">
        <f t="shared" ref="H9:H13" si="3">G9+F9</f>
        <v>43000</v>
      </c>
      <c r="I9" s="51">
        <f t="shared" ref="I9:I13" si="4">E9-G9</f>
        <v>160000</v>
      </c>
    </row>
    <row r="10">
      <c r="D10" s="15">
        <v>2.0</v>
      </c>
      <c r="E10" s="51">
        <f t="shared" ref="E10:E13" si="5">I9</f>
        <v>160000</v>
      </c>
      <c r="F10" s="51">
        <f t="shared" si="1"/>
        <v>2400</v>
      </c>
      <c r="G10" s="51">
        <f t="shared" si="2"/>
        <v>40000</v>
      </c>
      <c r="H10" s="51">
        <f t="shared" si="3"/>
        <v>42400</v>
      </c>
      <c r="I10" s="51">
        <f t="shared" si="4"/>
        <v>120000</v>
      </c>
    </row>
    <row r="11">
      <c r="D11" s="15">
        <v>3.0</v>
      </c>
      <c r="E11" s="51">
        <f t="shared" si="5"/>
        <v>120000</v>
      </c>
      <c r="F11" s="51">
        <f t="shared" si="1"/>
        <v>1800</v>
      </c>
      <c r="G11" s="51">
        <f t="shared" si="2"/>
        <v>40000</v>
      </c>
      <c r="H11" s="51">
        <f t="shared" si="3"/>
        <v>41800</v>
      </c>
      <c r="I11" s="51">
        <f t="shared" si="4"/>
        <v>80000</v>
      </c>
    </row>
    <row r="12">
      <c r="D12" s="15">
        <v>4.0</v>
      </c>
      <c r="E12" s="51">
        <f t="shared" si="5"/>
        <v>80000</v>
      </c>
      <c r="F12" s="51">
        <f t="shared" si="1"/>
        <v>1200</v>
      </c>
      <c r="G12" s="51">
        <f t="shared" si="2"/>
        <v>40000</v>
      </c>
      <c r="H12" s="51">
        <f t="shared" si="3"/>
        <v>41200</v>
      </c>
      <c r="I12" s="51">
        <f t="shared" si="4"/>
        <v>40000</v>
      </c>
    </row>
    <row r="13">
      <c r="D13" s="15">
        <v>5.0</v>
      </c>
      <c r="E13" s="51">
        <f t="shared" si="5"/>
        <v>40000</v>
      </c>
      <c r="F13" s="51">
        <f t="shared" si="1"/>
        <v>600</v>
      </c>
      <c r="G13" s="51">
        <f t="shared" si="2"/>
        <v>40000</v>
      </c>
      <c r="H13" s="51">
        <f t="shared" si="3"/>
        <v>40600</v>
      </c>
      <c r="I13" s="51">
        <f t="shared" si="4"/>
        <v>0</v>
      </c>
    </row>
    <row r="14">
      <c r="D14" s="52" t="s">
        <v>53</v>
      </c>
      <c r="E14" s="53"/>
      <c r="F14" s="54">
        <f t="shared" ref="F14:G14" si="6">SUM(F9:F13)</f>
        <v>9000</v>
      </c>
      <c r="G14" s="54">
        <f t="shared" si="6"/>
        <v>200000</v>
      </c>
      <c r="H14" s="53"/>
      <c r="I14" s="53"/>
    </row>
    <row r="17">
      <c r="D17" s="41" t="s">
        <v>68</v>
      </c>
      <c r="E17" s="3"/>
      <c r="F17" s="3"/>
      <c r="G17" s="3"/>
      <c r="H17" s="3"/>
      <c r="I17" s="4"/>
      <c r="J17" s="49"/>
      <c r="K17" s="15" t="s">
        <v>61</v>
      </c>
      <c r="L17" s="15" t="s">
        <v>62</v>
      </c>
      <c r="M17" s="15" t="s">
        <v>66</v>
      </c>
    </row>
    <row r="18">
      <c r="D18" s="15" t="s">
        <v>63</v>
      </c>
      <c r="E18" s="15" t="s">
        <v>64</v>
      </c>
      <c r="F18" s="15" t="s">
        <v>61</v>
      </c>
      <c r="G18" s="15" t="s">
        <v>65</v>
      </c>
      <c r="H18" s="15" t="s">
        <v>66</v>
      </c>
      <c r="I18" s="15" t="s">
        <v>67</v>
      </c>
      <c r="K18" s="61">
        <v>0.015</v>
      </c>
      <c r="L18" s="28">
        <v>5.0</v>
      </c>
      <c r="M18" s="51">
        <f>E19*((((1+K18)^L18)*K18)/(((1+K18)^L18)-1))</f>
        <v>41817.86462</v>
      </c>
    </row>
    <row r="19">
      <c r="D19" s="28">
        <v>1.0</v>
      </c>
      <c r="E19" s="50">
        <v>200000.0</v>
      </c>
      <c r="F19" s="56">
        <f t="shared" ref="F19:F23" si="7">$K$8*E19</f>
        <v>3000</v>
      </c>
      <c r="G19" s="56">
        <f t="shared" ref="G19:G23" si="8">H19-F19</f>
        <v>38817.86462</v>
      </c>
      <c r="H19" s="56">
        <f t="shared" ref="H19:H23" si="9">$M$18</f>
        <v>41817.86462</v>
      </c>
      <c r="I19" s="56">
        <f t="shared" ref="I19:I23" si="10">E19-G19</f>
        <v>161182.1354</v>
      </c>
    </row>
    <row r="20">
      <c r="D20" s="28">
        <v>2.0</v>
      </c>
      <c r="E20" s="56">
        <f t="shared" ref="E20:E23" si="11">I19</f>
        <v>161182.1354</v>
      </c>
      <c r="F20" s="56">
        <f t="shared" si="7"/>
        <v>2417.732031</v>
      </c>
      <c r="G20" s="56">
        <f t="shared" si="8"/>
        <v>39400.13259</v>
      </c>
      <c r="H20" s="56">
        <f t="shared" si="9"/>
        <v>41817.86462</v>
      </c>
      <c r="I20" s="56">
        <f t="shared" si="10"/>
        <v>121782.0028</v>
      </c>
    </row>
    <row r="21">
      <c r="D21" s="28">
        <v>3.0</v>
      </c>
      <c r="E21" s="56">
        <f t="shared" si="11"/>
        <v>121782.0028</v>
      </c>
      <c r="F21" s="56">
        <f t="shared" si="7"/>
        <v>1826.730042</v>
      </c>
      <c r="G21" s="56">
        <f t="shared" si="8"/>
        <v>39991.13458</v>
      </c>
      <c r="H21" s="56">
        <f t="shared" si="9"/>
        <v>41817.86462</v>
      </c>
      <c r="I21" s="56">
        <f t="shared" si="10"/>
        <v>81790.86822</v>
      </c>
      <c r="K21" s="62"/>
    </row>
    <row r="22">
      <c r="D22" s="28">
        <v>4.0</v>
      </c>
      <c r="E22" s="56">
        <f t="shared" si="11"/>
        <v>81790.86822</v>
      </c>
      <c r="F22" s="56">
        <f t="shared" si="7"/>
        <v>1226.863023</v>
      </c>
      <c r="G22" s="56">
        <f t="shared" si="8"/>
        <v>40591.0016</v>
      </c>
      <c r="H22" s="56">
        <f t="shared" si="9"/>
        <v>41817.86462</v>
      </c>
      <c r="I22" s="56">
        <f t="shared" si="10"/>
        <v>41199.86662</v>
      </c>
    </row>
    <row r="23">
      <c r="D23" s="28">
        <v>5.0</v>
      </c>
      <c r="E23" s="56">
        <f t="shared" si="11"/>
        <v>41199.86662</v>
      </c>
      <c r="F23" s="56">
        <f t="shared" si="7"/>
        <v>617.9979993</v>
      </c>
      <c r="G23" s="56">
        <f t="shared" si="8"/>
        <v>41199.86662</v>
      </c>
      <c r="H23" s="56">
        <f t="shared" si="9"/>
        <v>41817.86462</v>
      </c>
      <c r="I23" s="56">
        <f t="shared" si="10"/>
        <v>-0.000000001273292582</v>
      </c>
    </row>
    <row r="24">
      <c r="D24" s="57" t="s">
        <v>53</v>
      </c>
      <c r="E24" s="30"/>
      <c r="F24" s="58">
        <f t="shared" ref="F24:G24" si="12">SUM(F19:F23)</f>
        <v>9089.323095</v>
      </c>
      <c r="G24" s="58">
        <f t="shared" si="12"/>
        <v>200000</v>
      </c>
      <c r="H24" s="30"/>
      <c r="I24" s="30"/>
    </row>
  </sheetData>
  <mergeCells count="3">
    <mergeCell ref="E2:L4"/>
    <mergeCell ref="D7:I7"/>
    <mergeCell ref="D17:I17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D2" s="63" t="s">
        <v>70</v>
      </c>
      <c r="E2" s="3"/>
      <c r="F2" s="3"/>
      <c r="G2" s="3"/>
      <c r="H2" s="3"/>
      <c r="I2" s="4"/>
    </row>
  </sheetData>
  <mergeCells count="1">
    <mergeCell ref="D2:I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" t="s">
        <v>71</v>
      </c>
      <c r="L2" s="32" t="s">
        <v>72</v>
      </c>
    </row>
  </sheetData>
  <mergeCells count="2">
    <mergeCell ref="C2:H2"/>
    <mergeCell ref="L2:O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2" t="s">
        <v>1</v>
      </c>
      <c r="E1" s="3"/>
      <c r="F1" s="4"/>
    </row>
    <row r="2">
      <c r="C2" s="5" t="s">
        <v>2</v>
      </c>
      <c r="D2" s="6"/>
      <c r="E2" s="6"/>
      <c r="F2" s="6"/>
      <c r="G2" s="7"/>
    </row>
    <row r="3">
      <c r="C3" s="8"/>
      <c r="G3" s="9"/>
    </row>
    <row r="4">
      <c r="C4" s="10"/>
      <c r="D4" s="11"/>
      <c r="E4" s="11"/>
      <c r="F4" s="11"/>
      <c r="G4" s="12"/>
    </row>
    <row r="7">
      <c r="B7" s="13" t="s">
        <v>3</v>
      </c>
      <c r="C7" s="14" t="s">
        <v>4</v>
      </c>
      <c r="D7" s="14" t="s">
        <v>5</v>
      </c>
      <c r="F7" s="2">
        <v>2011.0</v>
      </c>
      <c r="G7" s="4"/>
      <c r="I7" s="2">
        <v>2010.0</v>
      </c>
      <c r="J7" s="4"/>
    </row>
    <row r="8">
      <c r="B8" s="15">
        <v>2011.0</v>
      </c>
      <c r="C8" s="15">
        <v>14000.0</v>
      </c>
      <c r="D8" s="15">
        <v>231.0</v>
      </c>
    </row>
    <row r="9">
      <c r="B9" s="15">
        <v>2010.0</v>
      </c>
      <c r="C9" s="15">
        <v>13500.0</v>
      </c>
      <c r="D9" s="15">
        <v>213.0</v>
      </c>
    </row>
    <row r="13">
      <c r="G13" s="2" t="s">
        <v>6</v>
      </c>
      <c r="H13" s="3"/>
      <c r="I13" s="4"/>
    </row>
    <row r="19">
      <c r="D19" s="16"/>
      <c r="E19" s="17" t="s">
        <v>7</v>
      </c>
      <c r="F19" s="3"/>
      <c r="G19" s="4"/>
      <c r="H19" s="16"/>
    </row>
    <row r="20">
      <c r="D20" s="18" t="s">
        <v>8</v>
      </c>
      <c r="H20" s="9"/>
    </row>
    <row r="21">
      <c r="D21" s="8"/>
      <c r="H21" s="9"/>
    </row>
    <row r="22">
      <c r="D22" s="10"/>
      <c r="E22" s="11"/>
      <c r="F22" s="11"/>
      <c r="G22" s="11"/>
      <c r="H22" s="12"/>
    </row>
    <row r="26">
      <c r="B26" s="13" t="s">
        <v>3</v>
      </c>
      <c r="C26" s="14" t="s">
        <v>4</v>
      </c>
      <c r="D26" s="14" t="s">
        <v>5</v>
      </c>
      <c r="F26" s="2">
        <v>2011.0</v>
      </c>
      <c r="G26" s="4"/>
      <c r="I26" s="2">
        <v>2010.0</v>
      </c>
      <c r="J26" s="4"/>
    </row>
    <row r="27">
      <c r="B27" s="15">
        <v>2011.0</v>
      </c>
      <c r="C27" s="15">
        <v>1800.0</v>
      </c>
      <c r="D27" s="15">
        <v>280.0</v>
      </c>
    </row>
    <row r="28">
      <c r="B28" s="15">
        <v>2010.0</v>
      </c>
      <c r="C28" s="15">
        <v>1650.0</v>
      </c>
      <c r="D28" s="15">
        <v>270.0</v>
      </c>
    </row>
    <row r="32">
      <c r="G32" s="2" t="s">
        <v>6</v>
      </c>
      <c r="H32" s="3"/>
      <c r="I32" s="4"/>
    </row>
  </sheetData>
  <mergeCells count="10">
    <mergeCell ref="F26:G26"/>
    <mergeCell ref="I26:J26"/>
    <mergeCell ref="G32:I32"/>
    <mergeCell ref="D1:F1"/>
    <mergeCell ref="C2:G4"/>
    <mergeCell ref="F7:G7"/>
    <mergeCell ref="I7:J7"/>
    <mergeCell ref="G13:I13"/>
    <mergeCell ref="E19:G19"/>
    <mergeCell ref="D20:H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9" t="s">
        <v>9</v>
      </c>
    </row>
    <row r="15">
      <c r="F15" s="20" t="s">
        <v>10</v>
      </c>
    </row>
  </sheetData>
  <mergeCells count="2">
    <mergeCell ref="C2:F2"/>
    <mergeCell ref="F15:I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" t="s">
        <v>11</v>
      </c>
    </row>
    <row r="26">
      <c r="C26" s="21" t="s">
        <v>12</v>
      </c>
      <c r="D26" s="3"/>
      <c r="E26" s="3"/>
      <c r="F26" s="3"/>
      <c r="G26" s="3"/>
      <c r="H26" s="4"/>
    </row>
    <row r="27">
      <c r="C27" s="21" t="s">
        <v>13</v>
      </c>
      <c r="D27" s="3"/>
      <c r="E27" s="3"/>
      <c r="F27" s="3"/>
      <c r="G27" s="3"/>
      <c r="H27" s="4"/>
    </row>
    <row r="28">
      <c r="C28" s="21" t="s">
        <v>14</v>
      </c>
      <c r="D28" s="3"/>
      <c r="E28" s="3"/>
      <c r="F28" s="3"/>
      <c r="G28" s="3"/>
      <c r="H28" s="4"/>
    </row>
    <row r="29">
      <c r="C29" s="21" t="s">
        <v>15</v>
      </c>
      <c r="D29" s="3"/>
      <c r="E29" s="3"/>
      <c r="F29" s="3"/>
      <c r="G29" s="3"/>
      <c r="H29" s="4"/>
    </row>
  </sheetData>
  <mergeCells count="5">
    <mergeCell ref="C2:G2"/>
    <mergeCell ref="C26:H26"/>
    <mergeCell ref="C27:H27"/>
    <mergeCell ref="C28:H28"/>
    <mergeCell ref="C29:H2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25"/>
    <col customWidth="1" min="4" max="4" width="12.25"/>
  </cols>
  <sheetData>
    <row r="3">
      <c r="C3" s="22" t="s">
        <v>16</v>
      </c>
      <c r="D3" s="23" t="s">
        <v>17</v>
      </c>
      <c r="E3" s="24" t="s">
        <v>18</v>
      </c>
      <c r="G3" s="25" t="s">
        <v>19</v>
      </c>
    </row>
    <row r="4">
      <c r="C4" s="26" t="s">
        <v>20</v>
      </c>
      <c r="D4" s="27">
        <v>46500.0</v>
      </c>
      <c r="E4" s="28" t="s">
        <v>21</v>
      </c>
    </row>
    <row r="5">
      <c r="C5" s="26" t="s">
        <v>22</v>
      </c>
      <c r="D5" s="27">
        <v>35000.0</v>
      </c>
      <c r="E5" s="28" t="s">
        <v>23</v>
      </c>
    </row>
    <row r="6">
      <c r="C6" s="26" t="s">
        <v>24</v>
      </c>
      <c r="D6" s="27">
        <v>29000.0</v>
      </c>
      <c r="E6" s="28" t="s">
        <v>23</v>
      </c>
    </row>
    <row r="7">
      <c r="C7" s="26" t="s">
        <v>25</v>
      </c>
      <c r="D7" s="27">
        <v>21000.0</v>
      </c>
      <c r="E7" s="28" t="s">
        <v>21</v>
      </c>
      <c r="G7" s="21" t="s">
        <v>26</v>
      </c>
      <c r="H7" s="3"/>
      <c r="I7" s="4"/>
    </row>
    <row r="8">
      <c r="C8" s="26" t="s">
        <v>27</v>
      </c>
      <c r="D8" s="27">
        <v>35000.0</v>
      </c>
      <c r="E8" s="28" t="s">
        <v>23</v>
      </c>
      <c r="G8" s="21" t="s">
        <v>28</v>
      </c>
      <c r="H8" s="4"/>
      <c r="I8" s="29">
        <f t="shared" ref="I8:I9" si="1">D13</f>
        <v>259000</v>
      </c>
    </row>
    <row r="9">
      <c r="C9" s="26" t="s">
        <v>29</v>
      </c>
      <c r="D9" s="27">
        <v>52000.0</v>
      </c>
      <c r="E9" s="28" t="s">
        <v>30</v>
      </c>
      <c r="G9" s="21" t="s">
        <v>31</v>
      </c>
      <c r="H9" s="4"/>
      <c r="I9" s="29">
        <f t="shared" si="1"/>
        <v>151000</v>
      </c>
    </row>
    <row r="10">
      <c r="C10" s="26" t="s">
        <v>32</v>
      </c>
      <c r="D10" s="27">
        <v>98500.0</v>
      </c>
      <c r="E10" s="28" t="s">
        <v>21</v>
      </c>
      <c r="G10" s="21" t="s">
        <v>33</v>
      </c>
      <c r="H10" s="4"/>
      <c r="I10" s="29">
        <f>I8/I9</f>
        <v>1.715231788</v>
      </c>
    </row>
    <row r="11">
      <c r="C11" s="26" t="s">
        <v>34</v>
      </c>
      <c r="D11" s="27">
        <v>93000.0</v>
      </c>
      <c r="E11" s="28" t="s">
        <v>35</v>
      </c>
    </row>
    <row r="13">
      <c r="C13" s="28" t="s">
        <v>28</v>
      </c>
      <c r="D13" s="29">
        <f>SUMIF(E4:E11,"A*",D4:D11)</f>
        <v>259000</v>
      </c>
      <c r="G13" s="21" t="s">
        <v>36</v>
      </c>
      <c r="H13" s="3"/>
      <c r="I13" s="4"/>
    </row>
    <row r="14">
      <c r="C14" s="28" t="s">
        <v>37</v>
      </c>
      <c r="D14" s="29">
        <f>SUMIF(E4:E11,"P*",D4:D11)</f>
        <v>151000</v>
      </c>
      <c r="G14" s="21" t="s">
        <v>38</v>
      </c>
      <c r="H14" s="4"/>
      <c r="I14" s="29">
        <f>SUMIF(E4:E11,"AC",D4:D11)</f>
        <v>166000</v>
      </c>
    </row>
    <row r="15">
      <c r="C15" s="28" t="s">
        <v>39</v>
      </c>
      <c r="D15" s="30">
        <f>D13-D14</f>
        <v>108000</v>
      </c>
      <c r="G15" s="21" t="s">
        <v>40</v>
      </c>
      <c r="H15" s="4"/>
      <c r="I15" s="29">
        <f>SUMIF(E4:E11,"PC",D4:D11)</f>
        <v>99000</v>
      </c>
    </row>
    <row r="16">
      <c r="G16" s="21" t="s">
        <v>36</v>
      </c>
      <c r="H16" s="4"/>
      <c r="I16" s="29">
        <f>I14/I15</f>
        <v>1.676767677</v>
      </c>
    </row>
  </sheetData>
  <mergeCells count="9">
    <mergeCell ref="G15:H15"/>
    <mergeCell ref="G16:H16"/>
    <mergeCell ref="G3:J3"/>
    <mergeCell ref="G7:I7"/>
    <mergeCell ref="G8:H8"/>
    <mergeCell ref="G9:H9"/>
    <mergeCell ref="G10:H10"/>
    <mergeCell ref="G13:I13"/>
    <mergeCell ref="G14:H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25"/>
    <col customWidth="1" min="4" max="4" width="12.25"/>
  </cols>
  <sheetData>
    <row r="3">
      <c r="C3" s="22" t="s">
        <v>16</v>
      </c>
      <c r="D3" s="31" t="s">
        <v>17</v>
      </c>
      <c r="E3" s="24" t="s">
        <v>18</v>
      </c>
      <c r="G3" s="25" t="s">
        <v>19</v>
      </c>
    </row>
    <row r="4">
      <c r="C4" s="26" t="s">
        <v>20</v>
      </c>
      <c r="D4" s="27">
        <v>70000.0</v>
      </c>
      <c r="E4" s="28" t="s">
        <v>21</v>
      </c>
    </row>
    <row r="5">
      <c r="C5" s="26" t="s">
        <v>22</v>
      </c>
      <c r="D5" s="27">
        <v>55000.0</v>
      </c>
      <c r="E5" s="28" t="s">
        <v>23</v>
      </c>
    </row>
    <row r="6">
      <c r="C6" s="26" t="s">
        <v>24</v>
      </c>
      <c r="D6" s="27">
        <v>45000.0</v>
      </c>
      <c r="E6" s="28" t="s">
        <v>23</v>
      </c>
    </row>
    <row r="7">
      <c r="C7" s="26" t="s">
        <v>25</v>
      </c>
      <c r="D7" s="27">
        <v>32500.0</v>
      </c>
      <c r="E7" s="28" t="s">
        <v>21</v>
      </c>
      <c r="G7" s="21" t="s">
        <v>26</v>
      </c>
      <c r="H7" s="3"/>
      <c r="I7" s="4"/>
    </row>
    <row r="8">
      <c r="C8" s="26" t="s">
        <v>27</v>
      </c>
      <c r="D8" s="27">
        <v>54000.0</v>
      </c>
      <c r="E8" s="28" t="s">
        <v>23</v>
      </c>
      <c r="G8" s="21" t="s">
        <v>28</v>
      </c>
      <c r="H8" s="4"/>
      <c r="I8" s="29">
        <f t="shared" ref="I8:I9" si="1">D13</f>
        <v>400500</v>
      </c>
    </row>
    <row r="9">
      <c r="C9" s="26" t="s">
        <v>29</v>
      </c>
      <c r="D9" s="27">
        <v>81000.0</v>
      </c>
      <c r="E9" s="28" t="s">
        <v>30</v>
      </c>
      <c r="G9" s="21" t="s">
        <v>31</v>
      </c>
      <c r="H9" s="4"/>
      <c r="I9" s="29">
        <f t="shared" si="1"/>
        <v>235000</v>
      </c>
    </row>
    <row r="10">
      <c r="C10" s="26" t="s">
        <v>32</v>
      </c>
      <c r="D10" s="27">
        <v>153000.0</v>
      </c>
      <c r="E10" s="28" t="s">
        <v>21</v>
      </c>
      <c r="G10" s="21" t="s">
        <v>33</v>
      </c>
      <c r="H10" s="4"/>
      <c r="I10" s="29">
        <f>I8/I9</f>
        <v>1.704255319</v>
      </c>
    </row>
    <row r="11">
      <c r="C11" s="26" t="s">
        <v>34</v>
      </c>
      <c r="D11" s="27">
        <v>145000.0</v>
      </c>
      <c r="E11" s="28" t="s">
        <v>35</v>
      </c>
    </row>
    <row r="13">
      <c r="C13" s="28" t="s">
        <v>28</v>
      </c>
      <c r="D13" s="29">
        <f>SUMIF(E4:E11,"A*",D4:D11)</f>
        <v>400500</v>
      </c>
      <c r="G13" s="21" t="s">
        <v>36</v>
      </c>
      <c r="H13" s="3"/>
      <c r="I13" s="4"/>
    </row>
    <row r="14">
      <c r="C14" s="28" t="s">
        <v>37</v>
      </c>
      <c r="D14" s="29">
        <f>SUMIF(E4:E11,"P*",D4:D11)</f>
        <v>235000</v>
      </c>
      <c r="G14" s="21" t="s">
        <v>38</v>
      </c>
      <c r="H14" s="4"/>
      <c r="I14" s="29">
        <f>SUMIF(E4:E11,"AC",D4:D11)</f>
        <v>255500</v>
      </c>
    </row>
    <row r="15">
      <c r="C15" s="28" t="s">
        <v>39</v>
      </c>
      <c r="D15" s="30">
        <f>D13-D14</f>
        <v>165500</v>
      </c>
      <c r="G15" s="21" t="s">
        <v>40</v>
      </c>
      <c r="H15" s="4"/>
      <c r="I15" s="29">
        <f>SUMIF(E4:E11,"PC",D4:D11)</f>
        <v>154000</v>
      </c>
    </row>
    <row r="16">
      <c r="G16" s="21" t="s">
        <v>36</v>
      </c>
      <c r="H16" s="4"/>
      <c r="I16" s="29">
        <f>I14/I15</f>
        <v>1.659090909</v>
      </c>
    </row>
  </sheetData>
  <mergeCells count="9">
    <mergeCell ref="G15:H15"/>
    <mergeCell ref="G16:H16"/>
    <mergeCell ref="G3:J3"/>
    <mergeCell ref="G7:I7"/>
    <mergeCell ref="G8:H8"/>
    <mergeCell ref="G9:H9"/>
    <mergeCell ref="G10:H10"/>
    <mergeCell ref="G13:I13"/>
    <mergeCell ref="G14:H1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" t="s">
        <v>41</v>
      </c>
    </row>
    <row r="4">
      <c r="A4" s="32" t="s">
        <v>42</v>
      </c>
    </row>
  </sheetData>
  <mergeCells count="2">
    <mergeCell ref="C2:G2"/>
    <mergeCell ref="A4:B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33" t="s">
        <v>43</v>
      </c>
    </row>
  </sheetData>
  <mergeCells count="1">
    <mergeCell ref="B2:H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88"/>
  </cols>
  <sheetData>
    <row r="2">
      <c r="C2" s="34" t="s">
        <v>44</v>
      </c>
      <c r="D2" s="6"/>
      <c r="E2" s="6"/>
      <c r="F2" s="6"/>
      <c r="G2" s="6"/>
      <c r="H2" s="6"/>
      <c r="I2" s="6"/>
      <c r="J2" s="6"/>
      <c r="K2" s="6"/>
      <c r="L2" s="7"/>
    </row>
    <row r="3">
      <c r="C3" s="8"/>
      <c r="L3" s="9"/>
    </row>
    <row r="4">
      <c r="C4" s="8"/>
      <c r="L4" s="9"/>
    </row>
    <row r="5">
      <c r="C5" s="8"/>
      <c r="L5" s="9"/>
    </row>
    <row r="6">
      <c r="C6" s="8"/>
      <c r="L6" s="9"/>
    </row>
    <row r="7">
      <c r="C7" s="8"/>
      <c r="L7" s="9"/>
    </row>
    <row r="8">
      <c r="C8" s="10"/>
      <c r="D8" s="11"/>
      <c r="E8" s="11"/>
      <c r="F8" s="11"/>
      <c r="G8" s="11"/>
      <c r="H8" s="11"/>
      <c r="I8" s="11"/>
      <c r="J8" s="11"/>
      <c r="K8" s="11"/>
      <c r="L8" s="12"/>
      <c r="N8" s="2" t="s">
        <v>45</v>
      </c>
      <c r="O8" s="4"/>
    </row>
    <row r="9">
      <c r="N9" s="15" t="s">
        <v>46</v>
      </c>
      <c r="O9" s="15" t="s">
        <v>47</v>
      </c>
    </row>
    <row r="10">
      <c r="D10" s="35" t="s">
        <v>48</v>
      </c>
      <c r="E10" s="3"/>
      <c r="F10" s="3"/>
      <c r="G10" s="3"/>
      <c r="H10" s="3"/>
      <c r="I10" s="3"/>
      <c r="J10" s="3"/>
      <c r="K10" s="4"/>
      <c r="N10" s="15">
        <v>-200.0</v>
      </c>
      <c r="O10" s="15">
        <v>-150.0</v>
      </c>
    </row>
    <row r="11">
      <c r="D11" s="14" t="s">
        <v>3</v>
      </c>
      <c r="E11" s="15">
        <v>0.0</v>
      </c>
      <c r="F11" s="15">
        <v>1.0</v>
      </c>
      <c r="G11" s="15">
        <v>2.0</v>
      </c>
      <c r="H11" s="15">
        <v>3.0</v>
      </c>
      <c r="I11" s="15">
        <v>4.0</v>
      </c>
      <c r="J11" s="15">
        <v>5.0</v>
      </c>
      <c r="K11" s="15">
        <v>6.0</v>
      </c>
    </row>
    <row r="12">
      <c r="D12" s="14" t="s">
        <v>49</v>
      </c>
      <c r="E12" s="36">
        <v>0.0</v>
      </c>
      <c r="F12" s="37">
        <f>1500*$N$13</f>
        <v>375000</v>
      </c>
      <c r="G12" s="37">
        <f>1600*$N$13</f>
        <v>400000</v>
      </c>
      <c r="H12" s="37">
        <f>1800*$N$13</f>
        <v>450000</v>
      </c>
      <c r="I12" s="37">
        <f>1900*$N$13</f>
        <v>475000</v>
      </c>
      <c r="J12" s="37">
        <f>2000*$N$13</f>
        <v>500000</v>
      </c>
      <c r="K12" s="37">
        <f>1800*$N$13</f>
        <v>450000</v>
      </c>
      <c r="N12" s="15" t="s">
        <v>50</v>
      </c>
    </row>
    <row r="13">
      <c r="D13" s="14" t="s">
        <v>51</v>
      </c>
      <c r="E13" s="36">
        <v>0.0</v>
      </c>
      <c r="F13" s="37">
        <f>1500*$N$10</f>
        <v>-300000</v>
      </c>
      <c r="G13" s="37">
        <f>1600*$N$10</f>
        <v>-320000</v>
      </c>
      <c r="H13" s="37">
        <f>1800*$N$10</f>
        <v>-360000</v>
      </c>
      <c r="I13" s="37">
        <f>1900*$N$10</f>
        <v>-380000</v>
      </c>
      <c r="J13" s="37">
        <f>2000*$N$10</f>
        <v>-400000</v>
      </c>
      <c r="K13" s="37">
        <f>1800*$N$10</f>
        <v>-360000</v>
      </c>
      <c r="N13" s="15">
        <v>250.0</v>
      </c>
    </row>
    <row r="14">
      <c r="D14" s="14" t="s">
        <v>52</v>
      </c>
      <c r="E14" s="36">
        <v>0.0</v>
      </c>
      <c r="F14" s="36">
        <v>0.0</v>
      </c>
      <c r="G14" s="36">
        <v>0.0</v>
      </c>
      <c r="H14" s="36">
        <v>0.0</v>
      </c>
      <c r="I14" s="36">
        <v>0.0</v>
      </c>
      <c r="J14" s="36">
        <v>0.0</v>
      </c>
      <c r="K14" s="36">
        <v>0.0</v>
      </c>
    </row>
    <row r="15">
      <c r="D15" s="14" t="s">
        <v>53</v>
      </c>
      <c r="E15" s="36">
        <v>0.0</v>
      </c>
      <c r="F15" s="37">
        <f t="shared" ref="F15:K15" si="1">SUM(F12:F14)</f>
        <v>75000</v>
      </c>
      <c r="G15" s="37">
        <f t="shared" si="1"/>
        <v>80000</v>
      </c>
      <c r="H15" s="37">
        <f t="shared" si="1"/>
        <v>90000</v>
      </c>
      <c r="I15" s="37">
        <f t="shared" si="1"/>
        <v>95000</v>
      </c>
      <c r="J15" s="37">
        <f t="shared" si="1"/>
        <v>100000</v>
      </c>
      <c r="K15" s="37">
        <f t="shared" si="1"/>
        <v>90000</v>
      </c>
      <c r="N15" s="15" t="s">
        <v>54</v>
      </c>
    </row>
    <row r="16">
      <c r="D16" s="14" t="s">
        <v>55</v>
      </c>
      <c r="E16" s="36">
        <v>0.0</v>
      </c>
      <c r="F16" s="37">
        <f t="shared" ref="F16:K16" si="2">F15/((1+$N$16)^F11)</f>
        <v>66964.28571</v>
      </c>
      <c r="G16" s="37">
        <f t="shared" si="2"/>
        <v>63775.5102</v>
      </c>
      <c r="H16" s="37">
        <f t="shared" si="2"/>
        <v>64060.2223</v>
      </c>
      <c r="I16" s="37">
        <f t="shared" si="2"/>
        <v>60374.21745</v>
      </c>
      <c r="J16" s="37">
        <f t="shared" si="2"/>
        <v>56742.68557</v>
      </c>
      <c r="K16" s="37">
        <f t="shared" si="2"/>
        <v>45596.80091</v>
      </c>
      <c r="N16" s="38">
        <v>0.12</v>
      </c>
    </row>
    <row r="18">
      <c r="D18" s="39" t="s">
        <v>56</v>
      </c>
      <c r="E18" s="4"/>
      <c r="F18" s="40">
        <f>SUM(E16:K16)</f>
        <v>357513.7221</v>
      </c>
    </row>
    <row r="22">
      <c r="D22" s="41" t="s">
        <v>57</v>
      </c>
      <c r="E22" s="3"/>
      <c r="F22" s="3"/>
      <c r="G22" s="3"/>
      <c r="H22" s="3"/>
      <c r="I22" s="3"/>
      <c r="J22" s="3"/>
      <c r="K22" s="4"/>
    </row>
    <row r="23">
      <c r="D23" s="42" t="s">
        <v>3</v>
      </c>
      <c r="E23" s="15">
        <v>0.0</v>
      </c>
      <c r="F23" s="15">
        <v>1.0</v>
      </c>
      <c r="G23" s="15">
        <v>2.0</v>
      </c>
      <c r="H23" s="15">
        <v>3.0</v>
      </c>
      <c r="I23" s="15">
        <v>4.0</v>
      </c>
      <c r="J23" s="15">
        <v>5.0</v>
      </c>
      <c r="K23" s="15">
        <v>6.0</v>
      </c>
    </row>
    <row r="24">
      <c r="D24" s="42" t="s">
        <v>49</v>
      </c>
      <c r="E24" s="36">
        <v>0.0</v>
      </c>
      <c r="F24" s="37">
        <f>1500*$N$13</f>
        <v>375000</v>
      </c>
      <c r="G24" s="37">
        <f>1600*$N$13</f>
        <v>400000</v>
      </c>
      <c r="H24" s="37">
        <f>1800*$N$13</f>
        <v>450000</v>
      </c>
      <c r="I24" s="37">
        <f>1900*$N$13</f>
        <v>475000</v>
      </c>
      <c r="J24" s="37">
        <f>2000*$N$13</f>
        <v>500000</v>
      </c>
      <c r="K24" s="37">
        <f>1800*$N$13+30000</f>
        <v>480000</v>
      </c>
    </row>
    <row r="25">
      <c r="D25" s="42" t="s">
        <v>51</v>
      </c>
      <c r="E25" s="36">
        <v>0.0</v>
      </c>
      <c r="F25" s="37">
        <f>1500*$O$10</f>
        <v>-225000</v>
      </c>
      <c r="G25" s="37">
        <f>1600*$O$10</f>
        <v>-240000</v>
      </c>
      <c r="H25" s="37">
        <f>1800*$O$10</f>
        <v>-270000</v>
      </c>
      <c r="I25" s="37">
        <f>1900*$O$10</f>
        <v>-285000</v>
      </c>
      <c r="J25" s="37">
        <f>2000*$O$10</f>
        <v>-300000</v>
      </c>
      <c r="K25" s="37">
        <f>1800*$O$10</f>
        <v>-270000</v>
      </c>
    </row>
    <row r="26">
      <c r="D26" s="42" t="s">
        <v>52</v>
      </c>
      <c r="E26" s="36">
        <v>-150000.0</v>
      </c>
      <c r="F26" s="36">
        <v>0.0</v>
      </c>
      <c r="G26" s="36">
        <v>0.0</v>
      </c>
      <c r="H26" s="36">
        <v>0.0</v>
      </c>
      <c r="I26" s="36">
        <v>0.0</v>
      </c>
      <c r="J26" s="36">
        <v>0.0</v>
      </c>
      <c r="K26" s="36">
        <v>0.0</v>
      </c>
    </row>
    <row r="27">
      <c r="D27" s="42" t="s">
        <v>53</v>
      </c>
      <c r="E27" s="36">
        <f t="shared" ref="E27:K27" si="3">SUM(E24:E26)</f>
        <v>-150000</v>
      </c>
      <c r="F27" s="37">
        <f t="shared" si="3"/>
        <v>150000</v>
      </c>
      <c r="G27" s="37">
        <f t="shared" si="3"/>
        <v>160000</v>
      </c>
      <c r="H27" s="37">
        <f t="shared" si="3"/>
        <v>180000</v>
      </c>
      <c r="I27" s="37">
        <f t="shared" si="3"/>
        <v>190000</v>
      </c>
      <c r="J27" s="37">
        <f t="shared" si="3"/>
        <v>200000</v>
      </c>
      <c r="K27" s="37">
        <f t="shared" si="3"/>
        <v>210000</v>
      </c>
    </row>
    <row r="28">
      <c r="D28" s="42" t="s">
        <v>55</v>
      </c>
      <c r="E28" s="37">
        <f t="shared" ref="E28:K28" si="4">E27/((1+$N$16)^E23)</f>
        <v>-150000</v>
      </c>
      <c r="F28" s="37">
        <f t="shared" si="4"/>
        <v>133928.5714</v>
      </c>
      <c r="G28" s="37">
        <f t="shared" si="4"/>
        <v>127551.0204</v>
      </c>
      <c r="H28" s="37">
        <f t="shared" si="4"/>
        <v>128120.4446</v>
      </c>
      <c r="I28" s="37">
        <f t="shared" si="4"/>
        <v>120748.4349</v>
      </c>
      <c r="J28" s="37">
        <f t="shared" si="4"/>
        <v>113485.3711</v>
      </c>
      <c r="K28" s="37">
        <f t="shared" si="4"/>
        <v>106392.5354</v>
      </c>
    </row>
    <row r="30">
      <c r="D30" s="39" t="s">
        <v>56</v>
      </c>
      <c r="E30" s="4"/>
      <c r="F30" s="43">
        <f>SUM(E28:K28)</f>
        <v>580226.3779</v>
      </c>
    </row>
  </sheetData>
  <mergeCells count="6">
    <mergeCell ref="C2:L8"/>
    <mergeCell ref="N8:O8"/>
    <mergeCell ref="D10:K10"/>
    <mergeCell ref="D18:E18"/>
    <mergeCell ref="D22:K22"/>
    <mergeCell ref="D30:E30"/>
  </mergeCells>
  <drawing r:id="rId1"/>
</worksheet>
</file>