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smamediosdepago-my.sharepoint.com/personal/slang_payway_com_ar/Documents/Escritorio/Performance Manager/Informacion Util/EBT II/"/>
    </mc:Choice>
  </mc:AlternateContent>
  <xr:revisionPtr revIDLastSave="2627" documentId="8_{9F406F80-B3FA-4F35-96CC-2225AB3896AA}" xr6:coauthVersionLast="47" xr6:coauthVersionMax="47" xr10:uidLastSave="{A8516432-A45F-4C7F-90F3-F1330780B898}"/>
  <bookViews>
    <workbookView xWindow="-110" yWindow="-110" windowWidth="19420" windowHeight="10420" xr2:uid="{290BE388-2BD6-4699-BDB2-D6DDA9CCCFFC}"/>
  </bookViews>
  <sheets>
    <sheet name="Bce. Proy + Pres. Económico" sheetId="3" r:id="rId1"/>
    <sheet name="Pres. Financier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4" l="1"/>
  <c r="C20" i="4"/>
  <c r="E15" i="4"/>
  <c r="C14" i="4"/>
  <c r="I57" i="3"/>
  <c r="I56" i="3"/>
  <c r="E75" i="3"/>
  <c r="D75" i="3" s="1"/>
  <c r="E72" i="3"/>
  <c r="G72" i="3" s="1"/>
  <c r="F72" i="3" s="1"/>
  <c r="E65" i="3"/>
  <c r="G65" i="3" s="1"/>
  <c r="E64" i="3"/>
  <c r="G64" i="3" s="1"/>
  <c r="E62" i="3"/>
  <c r="G62" i="3" s="1"/>
  <c r="E55" i="3"/>
  <c r="G55" i="3" s="1"/>
  <c r="F55" i="3" s="1"/>
  <c r="E54" i="3"/>
  <c r="G54" i="3" s="1"/>
  <c r="F54" i="3" s="1"/>
  <c r="C92" i="3"/>
  <c r="C84" i="3"/>
  <c r="E82" i="3"/>
  <c r="E27" i="3" s="1"/>
  <c r="E29" i="3" s="1"/>
  <c r="F29" i="3" s="1"/>
  <c r="C44" i="3"/>
  <c r="F42" i="3"/>
  <c r="D42" i="3"/>
  <c r="C38" i="3"/>
  <c r="C29" i="3"/>
  <c r="E74" i="3"/>
  <c r="D74" i="3" s="1"/>
  <c r="C59" i="3"/>
  <c r="C63" i="3" s="1"/>
  <c r="C67" i="3" s="1"/>
  <c r="F15" i="4" l="1"/>
  <c r="G36" i="3" s="1"/>
  <c r="G38" i="3" s="1"/>
  <c r="E16" i="4"/>
  <c r="C16" i="4"/>
  <c r="E36" i="3"/>
  <c r="I64" i="3"/>
  <c r="I54" i="3"/>
  <c r="I65" i="3"/>
  <c r="I62" i="3"/>
  <c r="I72" i="3"/>
  <c r="I55" i="3"/>
  <c r="D62" i="3"/>
  <c r="D65" i="3"/>
  <c r="D72" i="3"/>
  <c r="G75" i="3"/>
  <c r="F75" i="3" s="1"/>
  <c r="F65" i="3"/>
  <c r="D64" i="3"/>
  <c r="F62" i="3"/>
  <c r="F64" i="3"/>
  <c r="D82" i="3"/>
  <c r="F27" i="3"/>
  <c r="D54" i="3"/>
  <c r="D27" i="3"/>
  <c r="E84" i="3"/>
  <c r="D84" i="3" s="1"/>
  <c r="F82" i="3"/>
  <c r="G82" i="3"/>
  <c r="G27" i="3" s="1"/>
  <c r="G29" i="3" s="1"/>
  <c r="C46" i="3"/>
  <c r="C48" i="3" s="1"/>
  <c r="E31" i="3"/>
  <c r="C31" i="3"/>
  <c r="D29" i="3"/>
  <c r="G74" i="3"/>
  <c r="F74" i="3" s="1"/>
  <c r="C69" i="3"/>
  <c r="G59" i="3"/>
  <c r="F14" i="4" s="1"/>
  <c r="G20" i="3" s="1"/>
  <c r="G22" i="3" s="1"/>
  <c r="E59" i="3"/>
  <c r="E14" i="4" s="1"/>
  <c r="E20" i="3" s="1"/>
  <c r="E22" i="3" s="1"/>
  <c r="D16" i="4" l="1"/>
  <c r="E38" i="3"/>
  <c r="F36" i="3"/>
  <c r="D36" i="3"/>
  <c r="D14" i="4"/>
  <c r="I75" i="3"/>
  <c r="I82" i="3"/>
  <c r="D59" i="3"/>
  <c r="I59" i="3"/>
  <c r="I74" i="3"/>
  <c r="C73" i="3"/>
  <c r="C70" i="3"/>
  <c r="G31" i="3"/>
  <c r="G63" i="3"/>
  <c r="G84" i="3"/>
  <c r="F84" i="3" s="1"/>
  <c r="E63" i="3"/>
  <c r="F38" i="3" l="1"/>
  <c r="D38" i="3"/>
  <c r="I63" i="3"/>
  <c r="G67" i="3"/>
  <c r="G69" i="3" s="1"/>
  <c r="F63" i="3"/>
  <c r="E67" i="3"/>
  <c r="D63" i="3"/>
  <c r="C77" i="3"/>
  <c r="C79" i="3" s="1"/>
  <c r="C86" i="3" s="1"/>
  <c r="C87" i="3" s="1"/>
  <c r="E73" i="3"/>
  <c r="C17" i="4" s="1"/>
  <c r="C23" i="4" s="1"/>
  <c r="I84" i="3"/>
  <c r="F57" i="3"/>
  <c r="D57" i="3"/>
  <c r="F56" i="3"/>
  <c r="D56" i="3"/>
  <c r="D55" i="3"/>
  <c r="C22" i="3"/>
  <c r="F20" i="3"/>
  <c r="D20" i="3"/>
  <c r="C17" i="3"/>
  <c r="C11" i="3"/>
  <c r="D67" i="3" l="1"/>
  <c r="I67" i="3"/>
  <c r="C95" i="3"/>
  <c r="C97" i="3" s="1"/>
  <c r="G70" i="3"/>
  <c r="G73" i="3"/>
  <c r="D73" i="3"/>
  <c r="E77" i="3"/>
  <c r="D77" i="3" s="1"/>
  <c r="F67" i="3"/>
  <c r="C24" i="3"/>
  <c r="C33" i="3" s="1"/>
  <c r="C50" i="3" s="1"/>
  <c r="F22" i="3"/>
  <c r="D22" i="3"/>
  <c r="F59" i="3"/>
  <c r="I73" i="3" l="1"/>
  <c r="I77" i="3" s="1"/>
  <c r="E17" i="4"/>
  <c r="F73" i="3"/>
  <c r="G77" i="3"/>
  <c r="F77" i="3" s="1"/>
  <c r="C99" i="3"/>
  <c r="C100" i="3" s="1"/>
  <c r="D17" i="4" l="1"/>
  <c r="E23" i="4"/>
  <c r="E27" i="4" s="1"/>
  <c r="E69" i="3"/>
  <c r="I69" i="3" s="1"/>
  <c r="G15" i="3" l="1"/>
  <c r="E19" i="4"/>
  <c r="G90" i="3" s="1"/>
  <c r="I70" i="3"/>
  <c r="I79" i="3"/>
  <c r="I86" i="3" s="1"/>
  <c r="I87" i="3" s="1"/>
  <c r="E79" i="3"/>
  <c r="E86" i="3" s="1"/>
  <c r="E70" i="3"/>
  <c r="F69" i="3"/>
  <c r="D69" i="3"/>
  <c r="G79" i="3"/>
  <c r="G86" i="3" l="1"/>
  <c r="F79" i="3"/>
  <c r="D79" i="3"/>
  <c r="E87" i="3"/>
  <c r="D86" i="3"/>
  <c r="F86" i="3" l="1"/>
  <c r="G87" i="3"/>
  <c r="C27" i="4" l="1"/>
  <c r="E15" i="3" s="1"/>
  <c r="D23" i="4"/>
  <c r="F15" i="3" l="1"/>
  <c r="D15" i="3"/>
  <c r="C19" i="4"/>
  <c r="E90" i="3" s="1"/>
  <c r="C26" i="4"/>
  <c r="E14" i="3" s="1"/>
  <c r="D27" i="4"/>
  <c r="D90" i="3" l="1"/>
  <c r="F90" i="3"/>
  <c r="I90" i="3"/>
  <c r="E17" i="3"/>
  <c r="D14" i="3"/>
  <c r="F14" i="3"/>
  <c r="D19" i="4"/>
  <c r="C29" i="4"/>
  <c r="C18" i="4"/>
  <c r="F17" i="3" l="1"/>
  <c r="D17" i="3"/>
  <c r="C21" i="4"/>
  <c r="E9" i="3" s="1"/>
  <c r="E89" i="3"/>
  <c r="E92" i="3" s="1"/>
  <c r="D92" i="3" s="1"/>
  <c r="E95" i="3" l="1"/>
  <c r="D95" i="3" s="1"/>
  <c r="F9" i="3"/>
  <c r="D9" i="3"/>
  <c r="E11" i="3"/>
  <c r="F89" i="3"/>
  <c r="D89" i="3"/>
  <c r="C31" i="4"/>
  <c r="C11" i="4" s="1"/>
  <c r="E10" i="4" s="1"/>
  <c r="E26" i="4" s="1"/>
  <c r="F95" i="3" l="1"/>
  <c r="D10" i="4"/>
  <c r="E97" i="3"/>
  <c r="E41" i="3" s="1"/>
  <c r="D41" i="3" s="1"/>
  <c r="D11" i="3"/>
  <c r="E24" i="3"/>
  <c r="E33" i="3" s="1"/>
  <c r="F11" i="3"/>
  <c r="E18" i="4"/>
  <c r="D18" i="4" s="1"/>
  <c r="G14" i="3"/>
  <c r="G17" i="3" s="1"/>
  <c r="E29" i="4"/>
  <c r="D26" i="4"/>
  <c r="E44" i="3" l="1"/>
  <c r="D97" i="3"/>
  <c r="E99" i="3"/>
  <c r="D99" i="3" s="1"/>
  <c r="F41" i="3"/>
  <c r="F44" i="3"/>
  <c r="D44" i="3"/>
  <c r="E46" i="3"/>
  <c r="E48" i="3" s="1"/>
  <c r="E50" i="3" s="1"/>
  <c r="G89" i="3"/>
  <c r="E21" i="4"/>
  <c r="G9" i="3" s="1"/>
  <c r="G11" i="3" s="1"/>
  <c r="G24" i="3" s="1"/>
  <c r="G33" i="3" s="1"/>
  <c r="D29" i="4"/>
  <c r="E100" i="3" l="1"/>
  <c r="I89" i="3"/>
  <c r="G92" i="3"/>
  <c r="D21" i="4"/>
  <c r="E31" i="4"/>
  <c r="E11" i="4" s="1"/>
  <c r="D11" i="4" s="1"/>
  <c r="G95" i="3" l="1"/>
  <c r="I92" i="3"/>
  <c r="F92" i="3"/>
  <c r="D31" i="4"/>
  <c r="G41" i="3" l="1"/>
  <c r="G44" i="3" s="1"/>
  <c r="G46" i="3" s="1"/>
  <c r="G48" i="3" s="1"/>
  <c r="G50" i="3" s="1"/>
  <c r="G97" i="3"/>
  <c r="I95" i="3"/>
  <c r="F97" i="3" l="1"/>
  <c r="I97" i="3"/>
  <c r="G99" i="3"/>
  <c r="G100" i="3" l="1"/>
  <c r="I99" i="3"/>
  <c r="I100" i="3" s="1"/>
  <c r="F99" i="3"/>
</calcChain>
</file>

<file path=xl/sharedStrings.xml><?xml version="1.0" encoding="utf-8"?>
<sst xmlns="http://schemas.openxmlformats.org/spreadsheetml/2006/main" count="97" uniqueCount="86">
  <si>
    <t>Concepto</t>
  </si>
  <si>
    <t>%Var</t>
  </si>
  <si>
    <t>Disponibilidades</t>
  </si>
  <si>
    <t>Banco</t>
  </si>
  <si>
    <t>Total Disponibilidades</t>
  </si>
  <si>
    <t>Inversiones</t>
  </si>
  <si>
    <t>Inversiones en PF ARS</t>
  </si>
  <si>
    <t>Inversiones en FCI</t>
  </si>
  <si>
    <t>Total Inversiones</t>
  </si>
  <si>
    <t>Resultados</t>
  </si>
  <si>
    <t>Ingresos</t>
  </si>
  <si>
    <t>Total Ingresos</t>
  </si>
  <si>
    <t>Egresos</t>
  </si>
  <si>
    <t>1Q24</t>
  </si>
  <si>
    <t>2Q24</t>
  </si>
  <si>
    <t>YTD</t>
  </si>
  <si>
    <t>Total Créditos</t>
  </si>
  <si>
    <t>Total Costo del Servicio</t>
  </si>
  <si>
    <t>Margen de Contribucion o Utilidad Bruta</t>
  </si>
  <si>
    <t>Ingresos Brutos (10%)</t>
  </si>
  <si>
    <t>Costos de Comercialización y Administración</t>
  </si>
  <si>
    <t>Créditos</t>
  </si>
  <si>
    <t>Bienes Intangibles</t>
  </si>
  <si>
    <t>Licencia Software</t>
  </si>
  <si>
    <t>Total Bienes Intangibles</t>
  </si>
  <si>
    <t>Total Activo Corriente</t>
  </si>
  <si>
    <t>Total Activo No Corriente</t>
  </si>
  <si>
    <t>Total Activo</t>
  </si>
  <si>
    <t>Proveedores</t>
  </si>
  <si>
    <t>Deudas Comerciales</t>
  </si>
  <si>
    <t>Total Pasivo Corriente</t>
  </si>
  <si>
    <t>Total Pasivo</t>
  </si>
  <si>
    <t>Total PN</t>
  </si>
  <si>
    <t>Salarios Indirectos (A&amp;F, CH, Marketing, Vtas, Otros)</t>
  </si>
  <si>
    <t>Luz Indirecta</t>
  </si>
  <si>
    <t>Gastos Administrativos Varios</t>
  </si>
  <si>
    <t>EBITDA</t>
  </si>
  <si>
    <t>Total Gastos de Comercialización y Administración</t>
  </si>
  <si>
    <t>Depreciación y Amortización</t>
  </si>
  <si>
    <t>Total Depreciación y Amortizacion</t>
  </si>
  <si>
    <t>Resultados Financieros</t>
  </si>
  <si>
    <t>4Q23 - Real</t>
  </si>
  <si>
    <t>Amortización de la licencia de software (3 años - VO 50.000 - $4.200 Amort.)</t>
  </si>
  <si>
    <t>Interes PF (10% Trimestral)</t>
  </si>
  <si>
    <t>Resultado por Tenencia - FCI (5% Trimestral)</t>
  </si>
  <si>
    <t>Total Resultados Financieros</t>
  </si>
  <si>
    <t>EBIT</t>
  </si>
  <si>
    <t>Impuestos</t>
  </si>
  <si>
    <t>Impuesto a las ganancias (20%)</t>
  </si>
  <si>
    <t>Total Impuestos</t>
  </si>
  <si>
    <t>Resultado Neto</t>
  </si>
  <si>
    <t>Ingresos por Licencias (aumentan 10% trimestre)</t>
  </si>
  <si>
    <t>Ingresos por Mantenimiento de Software (aumentan 20% trimestre)</t>
  </si>
  <si>
    <t>Costo de Mantenimiento - Developers (aumenta 5% trimestre)</t>
  </si>
  <si>
    <t>Luz Electrica - Asignada al Hosting (aumenta 10%)</t>
  </si>
  <si>
    <t>Hosting (aumenta 10%)</t>
  </si>
  <si>
    <t>Gastos Publicidad (aumento 5%)</t>
  </si>
  <si>
    <t>Ratio Mg Cont.</t>
  </si>
  <si>
    <t>Ratio EBIT</t>
  </si>
  <si>
    <t>Ratio Resultado Neto</t>
  </si>
  <si>
    <t>PROYECTADO</t>
  </si>
  <si>
    <t>Saldos de Caja</t>
  </si>
  <si>
    <t>Saldo al Inicio</t>
  </si>
  <si>
    <t>Saldo al final</t>
  </si>
  <si>
    <t>Flujos de Fondos</t>
  </si>
  <si>
    <t>Cobranzas</t>
  </si>
  <si>
    <t>Pagos a Proveedores</t>
  </si>
  <si>
    <t>Pago de Salarios</t>
  </si>
  <si>
    <t>Pagos de Gastos Administrativos e Impuestos</t>
  </si>
  <si>
    <t>Total Flujos de Fondos</t>
  </si>
  <si>
    <t>Intereses PF</t>
  </si>
  <si>
    <t>Resultado por tenencia FCI</t>
  </si>
  <si>
    <t>Clientes Locales (se cobran a 90 dias)</t>
  </si>
  <si>
    <t>Proveedores Locales (se pagan a 180 dias)</t>
  </si>
  <si>
    <t>Pendiente</t>
  </si>
  <si>
    <t>Cargas sociales y Salarios Pendientes de Pago (se pagan en el mes)</t>
  </si>
  <si>
    <t>Inversiones en PF (10% Trimestral)</t>
  </si>
  <si>
    <t>Inversiones en FCI (5% Trimestral)</t>
  </si>
  <si>
    <t>A</t>
  </si>
  <si>
    <t>B</t>
  </si>
  <si>
    <t>Disponibilidades al final del período (A + B)</t>
  </si>
  <si>
    <t>Stock Minimo Operativo (Ingresos - Gastos sin Rdo. Fin)</t>
  </si>
  <si>
    <t>Creditos</t>
  </si>
  <si>
    <t>Deudas Sociales y Fiscales</t>
  </si>
  <si>
    <t>Impuesto a las ganancias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</si>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</sst>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2" fillId="2" borderId="2" xfId="2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9" fontId="2" fillId="2" borderId="0" xfId="2" applyFont="1" applyFill="1" applyBorder="1" applyAlignment="1">
      <alignment horizontal="center"/>
    </xf>
    <xf numFmtId="164" fontId="0" fillId="2" borderId="0" xfId="0" applyNumberFormat="1" applyFill="1"/>
    <xf numFmtId="0" fontId="0" fillId="2" borderId="2" xfId="0" applyFill="1" applyBorder="1"/>
    <xf numFmtId="164" fontId="0" fillId="2" borderId="2" xfId="0" applyNumberFormat="1" applyFill="1" applyBorder="1"/>
    <xf numFmtId="9" fontId="0" fillId="2" borderId="2" xfId="2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2" applyFont="1" applyFill="1" applyBorder="1"/>
    <xf numFmtId="0" fontId="2" fillId="4" borderId="5" xfId="0" applyFont="1" applyFill="1" applyBorder="1" applyAlignment="1">
      <alignment horizontal="center"/>
    </xf>
    <xf numFmtId="164" fontId="2" fillId="4" borderId="5" xfId="0" applyNumberFormat="1" applyFont="1" applyFill="1" applyBorder="1"/>
    <xf numFmtId="9" fontId="2" fillId="4" borderId="2" xfId="2" applyFont="1" applyFill="1" applyBorder="1"/>
    <xf numFmtId="9" fontId="0" fillId="2" borderId="0" xfId="2" applyFont="1" applyFill="1" applyBorder="1"/>
    <xf numFmtId="164" fontId="0" fillId="2" borderId="0" xfId="3" applyFont="1" applyFill="1" applyBorder="1"/>
    <xf numFmtId="0" fontId="2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/>
    <xf numFmtId="9" fontId="2" fillId="5" borderId="2" xfId="2" applyFont="1" applyFill="1" applyBorder="1"/>
    <xf numFmtId="9" fontId="0" fillId="2" borderId="0" xfId="2" applyFont="1" applyFill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9" fontId="2" fillId="6" borderId="2" xfId="2" applyFont="1" applyFill="1" applyBorder="1"/>
    <xf numFmtId="14" fontId="2" fillId="8" borderId="2" xfId="0" applyNumberFormat="1" applyFont="1" applyFill="1" applyBorder="1" applyAlignment="1">
      <alignment horizontal="center"/>
    </xf>
    <xf numFmtId="9" fontId="2" fillId="8" borderId="2" xfId="2" applyFont="1" applyFill="1" applyBorder="1"/>
    <xf numFmtId="14" fontId="0" fillId="2" borderId="0" xfId="0" applyNumberFormat="1" applyFill="1"/>
    <xf numFmtId="0" fontId="2" fillId="9" borderId="2" xfId="0" applyFont="1" applyFill="1" applyBorder="1" applyAlignment="1">
      <alignment horizontal="center"/>
    </xf>
    <xf numFmtId="164" fontId="2" fillId="9" borderId="2" xfId="0" applyNumberFormat="1" applyFont="1" applyFill="1" applyBorder="1"/>
    <xf numFmtId="9" fontId="2" fillId="9" borderId="2" xfId="2" applyFont="1" applyFill="1" applyBorder="1"/>
    <xf numFmtId="0" fontId="2" fillId="10" borderId="2" xfId="0" applyFont="1" applyFill="1" applyBorder="1" applyAlignment="1">
      <alignment horizontal="center"/>
    </xf>
    <xf numFmtId="164" fontId="2" fillId="10" borderId="2" xfId="0" applyNumberFormat="1" applyFont="1" applyFill="1" applyBorder="1"/>
    <xf numFmtId="9" fontId="2" fillId="10" borderId="2" xfId="2" applyFont="1" applyFill="1" applyBorder="1"/>
    <xf numFmtId="10" fontId="0" fillId="2" borderId="0" xfId="0" applyNumberFormat="1" applyFill="1"/>
    <xf numFmtId="9" fontId="0" fillId="2" borderId="0" xfId="0" applyNumberFormat="1" applyFill="1"/>
    <xf numFmtId="17" fontId="2" fillId="2" borderId="2" xfId="0" applyNumberFormat="1" applyFont="1" applyFill="1" applyBorder="1" applyAlignment="1">
      <alignment horizontal="center"/>
    </xf>
    <xf numFmtId="43" fontId="0" fillId="2" borderId="0" xfId="0" applyNumberFormat="1" applyFill="1"/>
    <xf numFmtId="165" fontId="0" fillId="2" borderId="2" xfId="0" applyNumberFormat="1" applyFill="1" applyBorder="1"/>
    <xf numFmtId="165" fontId="0" fillId="2" borderId="0" xfId="0" applyNumberFormat="1" applyFill="1"/>
    <xf numFmtId="165" fontId="2" fillId="8" borderId="2" xfId="3" applyNumberFormat="1" applyFont="1" applyFill="1" applyBorder="1"/>
    <xf numFmtId="10" fontId="0" fillId="2" borderId="0" xfId="2" applyNumberFormat="1" applyFont="1" applyFill="1"/>
    <xf numFmtId="0" fontId="0" fillId="2" borderId="0" xfId="0" applyFill="1" applyAlignment="1">
      <alignment horizontal="center"/>
    </xf>
    <xf numFmtId="43" fontId="0" fillId="2" borderId="2" xfId="1" applyFont="1" applyFill="1" applyBorder="1"/>
    <xf numFmtId="17" fontId="2" fillId="2" borderId="0" xfId="0" applyNumberFormat="1" applyFont="1" applyFill="1" applyAlignment="1">
      <alignment horizontal="center"/>
    </xf>
    <xf numFmtId="164" fontId="2" fillId="0" borderId="0" xfId="0" applyNumberFormat="1" applyFont="1"/>
    <xf numFmtId="9" fontId="2" fillId="0" borderId="0" xfId="2" applyFont="1" applyFill="1" applyBorder="1"/>
    <xf numFmtId="164" fontId="2" fillId="2" borderId="0" xfId="0" applyNumberFormat="1" applyFont="1" applyFill="1"/>
    <xf numFmtId="17" fontId="2" fillId="11" borderId="2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0" fontId="6" fillId="2" borderId="0" xfId="2" applyNumberFormat="1" applyFont="1" applyFill="1" applyAlignment="1">
      <alignment horizontal="center"/>
    </xf>
    <xf numFmtId="9" fontId="6" fillId="2" borderId="0" xfId="2" applyFont="1" applyFill="1" applyBorder="1" applyAlignment="1">
      <alignment horizontal="center"/>
    </xf>
    <xf numFmtId="10" fontId="6" fillId="2" borderId="0" xfId="2" applyNumberFormat="1" applyFont="1" applyFill="1"/>
    <xf numFmtId="10" fontId="6" fillId="2" borderId="0" xfId="2" applyNumberFormat="1" applyFont="1" applyFill="1" applyBorder="1"/>
    <xf numFmtId="0" fontId="2" fillId="3" borderId="0" xfId="0" applyFont="1" applyFill="1" applyAlignment="1">
      <alignment horizontal="center"/>
    </xf>
    <xf numFmtId="17" fontId="2" fillId="11" borderId="0" xfId="0" applyNumberFormat="1" applyFont="1" applyFill="1" applyAlignment="1">
      <alignment horizontal="center"/>
    </xf>
    <xf numFmtId="17" fontId="2" fillId="11" borderId="3" xfId="0" applyNumberFormat="1" applyFont="1" applyFill="1" applyBorder="1" applyAlignment="1">
      <alignment horizontal="center"/>
    </xf>
    <xf numFmtId="164" fontId="0" fillId="2" borderId="3" xfId="0" applyNumberFormat="1" applyFill="1" applyBorder="1"/>
    <xf numFmtId="164" fontId="2" fillId="4" borderId="7" xfId="0" applyNumberFormat="1" applyFont="1" applyFill="1" applyBorder="1"/>
    <xf numFmtId="164" fontId="2" fillId="5" borderId="3" xfId="0" applyNumberFormat="1" applyFont="1" applyFill="1" applyBorder="1"/>
    <xf numFmtId="164" fontId="2" fillId="6" borderId="3" xfId="0" applyNumberFormat="1" applyFont="1" applyFill="1" applyBorder="1"/>
    <xf numFmtId="165" fontId="0" fillId="2" borderId="3" xfId="0" applyNumberFormat="1" applyFill="1" applyBorder="1"/>
    <xf numFmtId="165" fontId="2" fillId="8" borderId="3" xfId="3" applyNumberFormat="1" applyFont="1" applyFill="1" applyBorder="1"/>
    <xf numFmtId="164" fontId="2" fillId="9" borderId="3" xfId="0" applyNumberFormat="1" applyFont="1" applyFill="1" applyBorder="1"/>
    <xf numFmtId="164" fontId="2" fillId="10" borderId="3" xfId="0" applyNumberFormat="1" applyFont="1" applyFill="1" applyBorder="1"/>
    <xf numFmtId="17" fontId="2" fillId="11" borderId="6" xfId="0" applyNumberFormat="1" applyFont="1" applyFill="1" applyBorder="1" applyAlignment="1">
      <alignment horizontal="center"/>
    </xf>
    <xf numFmtId="164" fontId="0" fillId="2" borderId="6" xfId="0" applyNumberFormat="1" applyFill="1" applyBorder="1"/>
    <xf numFmtId="165" fontId="0" fillId="2" borderId="6" xfId="1" applyNumberFormat="1" applyFont="1" applyFill="1" applyBorder="1"/>
    <xf numFmtId="165" fontId="0" fillId="2" borderId="6" xfId="0" applyNumberFormat="1" applyFill="1" applyBorder="1"/>
    <xf numFmtId="165" fontId="2" fillId="8" borderId="6" xfId="3" applyNumberFormat="1" applyFont="1" applyFill="1" applyBorder="1"/>
    <xf numFmtId="164" fontId="2" fillId="9" borderId="6" xfId="0" applyNumberFormat="1" applyFont="1" applyFill="1" applyBorder="1"/>
    <xf numFmtId="164" fontId="2" fillId="10" borderId="6" xfId="0" applyNumberFormat="1" applyFont="1" applyFill="1" applyBorder="1"/>
    <xf numFmtId="10" fontId="6" fillId="2" borderId="0" xfId="2" applyNumberFormat="1" applyFont="1" applyFill="1" applyBorder="1" applyAlignment="1">
      <alignment horizontal="center"/>
    </xf>
    <xf numFmtId="10" fontId="0" fillId="2" borderId="0" xfId="2" applyNumberFormat="1" applyFont="1" applyFill="1" applyBorder="1"/>
    <xf numFmtId="165" fontId="2" fillId="2" borderId="0" xfId="3" applyNumberFormat="1" applyFont="1" applyFill="1" applyBorder="1"/>
    <xf numFmtId="165" fontId="0" fillId="2" borderId="0" xfId="1" applyNumberFormat="1" applyFont="1" applyFill="1" applyBorder="1"/>
    <xf numFmtId="164" fontId="5" fillId="2" borderId="2" xfId="0" applyNumberFormat="1" applyFont="1" applyFill="1" applyBorder="1"/>
    <xf numFmtId="164" fontId="7" fillId="2" borderId="2" xfId="0" applyNumberFormat="1" applyFont="1" applyFill="1" applyBorder="1"/>
    <xf numFmtId="164" fontId="7" fillId="2" borderId="0" xfId="0" applyNumberFormat="1" applyFont="1" applyFill="1"/>
    <xf numFmtId="164" fontId="5" fillId="2" borderId="0" xfId="0" applyNumberFormat="1" applyFont="1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2" borderId="2" xfId="2" applyNumberFormat="1" applyFont="1" applyFill="1" applyBorder="1" applyAlignment="1">
      <alignment horizontal="right"/>
    </xf>
    <xf numFmtId="14" fontId="2" fillId="9" borderId="7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9" borderId="3" xfId="0" applyNumberFormat="1" applyFont="1" applyFill="1" applyBorder="1" applyAlignment="1">
      <alignment horizontal="center"/>
    </xf>
    <xf numFmtId="14" fontId="2" fillId="9" borderId="4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4">
    <cellStyle name="Millares" xfId="1" builtinId="3"/>
    <cellStyle name="Millares 2" xfId="3" xr:uid="{B9FECA31-C25B-4B3F-893F-5C673AB760F9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14EA-9D5B-419C-87BF-D830FB754186}">
  <dimension ref="A1:J117"/>
  <sheetViews>
    <sheetView tabSelected="1" zoomScaleNormal="100" zoomScaleSheetLayoutView="100" workbookViewId="0">
      <pane ySplit="6" topLeftCell="A85" activePane="bottomLeft" state="frozen"/>
      <selection pane="bottomLeft"/>
    </sheetView>
  </sheetViews>
  <sheetFormatPr baseColWidth="10" defaultColWidth="11.453125" defaultRowHeight="14.5" x14ac:dyDescent="0.35"/>
  <cols>
    <col min="1" max="1" width="14.26953125" style="1" bestFit="1" customWidth="1"/>
    <col min="2" max="2" width="71" style="1" bestFit="1" customWidth="1"/>
    <col min="3" max="3" width="14.54296875" style="1" bestFit="1" customWidth="1"/>
    <col min="4" max="4" width="13.81640625" style="22" customWidth="1"/>
    <col min="5" max="5" width="14.54296875" style="1" bestFit="1" customWidth="1"/>
    <col min="6" max="6" width="12.7265625" style="22" customWidth="1"/>
    <col min="7" max="7" width="14.54296875" style="1" bestFit="1" customWidth="1"/>
    <col min="8" max="8" width="3.90625" style="1" customWidth="1"/>
    <col min="9" max="9" width="14.54296875" style="1" bestFit="1" customWidth="1"/>
    <col min="10" max="10" width="4" style="1" customWidth="1"/>
    <col min="11" max="16384" width="11.453125" style="1"/>
  </cols>
  <sheetData>
    <row r="1" spans="1:10" x14ac:dyDescent="0.35">
      <c r="D1" s="17"/>
      <c r="F1" s="17"/>
    </row>
    <row r="2" spans="1:10" x14ac:dyDescent="0.35">
      <c r="D2" s="17"/>
      <c r="F2" s="17"/>
    </row>
    <row r="3" spans="1:10" x14ac:dyDescent="0.35">
      <c r="D3" s="17"/>
      <c r="F3" s="17"/>
    </row>
    <row r="4" spans="1:10" x14ac:dyDescent="0.35">
      <c r="B4" s="88" t="s">
        <v>60</v>
      </c>
      <c r="C4" s="88"/>
      <c r="D4" s="88"/>
      <c r="E4" s="88"/>
      <c r="F4" s="88"/>
      <c r="G4" s="88"/>
      <c r="H4" s="88"/>
      <c r="I4" s="88"/>
      <c r="J4" s="45"/>
    </row>
    <row r="5" spans="1:10" x14ac:dyDescent="0.35">
      <c r="B5" s="95">
        <v>2024</v>
      </c>
      <c r="C5" s="96"/>
      <c r="D5" s="96"/>
      <c r="E5" s="96"/>
      <c r="F5" s="96"/>
      <c r="G5" s="96"/>
      <c r="H5" s="5"/>
    </row>
    <row r="6" spans="1:10" x14ac:dyDescent="0.35">
      <c r="A6" s="2"/>
      <c r="B6" s="3" t="s">
        <v>0</v>
      </c>
      <c r="C6" s="39" t="s">
        <v>41</v>
      </c>
      <c r="D6" s="4" t="s">
        <v>1</v>
      </c>
      <c r="E6" s="51" t="s">
        <v>13</v>
      </c>
      <c r="F6" s="4" t="s">
        <v>1</v>
      </c>
      <c r="G6" s="59" t="s">
        <v>14</v>
      </c>
      <c r="H6" s="47"/>
      <c r="I6" s="68" t="s">
        <v>15</v>
      </c>
      <c r="J6" s="47"/>
    </row>
    <row r="7" spans="1:10" x14ac:dyDescent="0.35">
      <c r="A7" s="2"/>
      <c r="B7" s="5"/>
      <c r="C7" s="5"/>
      <c r="D7" s="6"/>
      <c r="E7" s="5"/>
      <c r="F7" s="6"/>
      <c r="G7" s="5"/>
      <c r="H7" s="5"/>
      <c r="I7" s="5"/>
      <c r="J7" s="5"/>
    </row>
    <row r="8" spans="1:10" x14ac:dyDescent="0.35">
      <c r="A8" s="2"/>
      <c r="B8" s="99" t="s">
        <v>2</v>
      </c>
      <c r="C8" s="100"/>
      <c r="D8" s="100"/>
      <c r="E8" s="100"/>
      <c r="F8" s="100"/>
      <c r="G8" s="100"/>
    </row>
    <row r="9" spans="1:10" x14ac:dyDescent="0.35">
      <c r="A9" s="7"/>
      <c r="B9" s="8" t="s">
        <v>3</v>
      </c>
      <c r="C9" s="9">
        <v>10000</v>
      </c>
      <c r="D9" s="10">
        <f>+IFERROR((E9-C9)/C9,0)</f>
        <v>2.5049999999999999</v>
      </c>
      <c r="E9" s="9">
        <f>+'Pres. Financiero'!C21</f>
        <v>35050</v>
      </c>
      <c r="F9" s="10">
        <f>+IFERROR((#REF!-E9)/E9,0)</f>
        <v>0</v>
      </c>
      <c r="G9" s="60">
        <f>+'Pres. Financiero'!E21</f>
        <v>41075</v>
      </c>
      <c r="H9" s="7"/>
      <c r="I9" s="7"/>
      <c r="J9" s="7"/>
    </row>
    <row r="10" spans="1:10" x14ac:dyDescent="0.35">
      <c r="A10" s="7"/>
      <c r="B10" s="11"/>
      <c r="C10" s="12"/>
      <c r="D10" s="13"/>
      <c r="E10" s="12"/>
      <c r="F10" s="13"/>
      <c r="G10" s="12"/>
      <c r="H10" s="7"/>
      <c r="I10" s="7"/>
      <c r="J10" s="7"/>
    </row>
    <row r="11" spans="1:10" x14ac:dyDescent="0.35">
      <c r="A11" s="7"/>
      <c r="B11" s="14" t="s">
        <v>4</v>
      </c>
      <c r="C11" s="15">
        <f>+SUM(C9:C9)</f>
        <v>10000</v>
      </c>
      <c r="D11" s="16">
        <f>+IFERROR((E11-C11)/C11,0)</f>
        <v>2.5049999999999999</v>
      </c>
      <c r="E11" s="15">
        <f>+SUM(E9:E9)</f>
        <v>35050</v>
      </c>
      <c r="F11" s="16">
        <f>+IFERROR((#REF!-E11)/E11,0)</f>
        <v>0</v>
      </c>
      <c r="G11" s="61">
        <f>+SUM(G9:G9)</f>
        <v>41075</v>
      </c>
      <c r="H11" s="50"/>
      <c r="I11" s="50"/>
      <c r="J11" s="50"/>
    </row>
    <row r="12" spans="1:10" x14ac:dyDescent="0.35">
      <c r="A12" s="7"/>
      <c r="C12" s="7"/>
      <c r="D12" s="17"/>
      <c r="E12" s="7"/>
      <c r="F12" s="17"/>
      <c r="G12" s="7"/>
      <c r="H12" s="7"/>
      <c r="I12" s="7"/>
      <c r="J12" s="7"/>
    </row>
    <row r="13" spans="1:10" x14ac:dyDescent="0.35">
      <c r="A13" s="7"/>
      <c r="B13" s="97" t="s">
        <v>5</v>
      </c>
      <c r="C13" s="98"/>
      <c r="D13" s="98"/>
      <c r="E13" s="98"/>
      <c r="F13" s="98"/>
      <c r="G13" s="98"/>
    </row>
    <row r="14" spans="1:10" x14ac:dyDescent="0.35">
      <c r="A14" s="7"/>
      <c r="B14" s="8" t="s">
        <v>6</v>
      </c>
      <c r="C14" s="9">
        <v>20000</v>
      </c>
      <c r="D14" s="10">
        <f>+IFERROR((E14-C14)/C14,0)</f>
        <v>3.05</v>
      </c>
      <c r="E14" s="9">
        <f>+'Pres. Financiero'!C26</f>
        <v>81000</v>
      </c>
      <c r="F14" s="10">
        <f>+IFERROR((#REF!-E14)/E14,0)</f>
        <v>0</v>
      </c>
      <c r="G14" s="60">
        <f>+'Pres. Financiero'!E26</f>
        <v>110450</v>
      </c>
      <c r="H14" s="7"/>
      <c r="I14" s="7"/>
      <c r="J14" s="7"/>
    </row>
    <row r="15" spans="1:10" x14ac:dyDescent="0.35">
      <c r="A15" s="7"/>
      <c r="B15" s="8" t="s">
        <v>7</v>
      </c>
      <c r="C15" s="9">
        <v>100000</v>
      </c>
      <c r="D15" s="10">
        <f>+IFERROR((E15-C15)/C15,0)</f>
        <v>-0.51</v>
      </c>
      <c r="E15" s="9">
        <f>+'Pres. Financiero'!C27</f>
        <v>49000</v>
      </c>
      <c r="F15" s="10">
        <f>+IFERROR((#REF!-E15)/E15,0)</f>
        <v>0</v>
      </c>
      <c r="G15" s="60">
        <f>+'Pres. Financiero'!E27</f>
        <v>54600</v>
      </c>
      <c r="H15" s="7"/>
      <c r="I15" s="7"/>
      <c r="J15" s="7"/>
    </row>
    <row r="16" spans="1:10" x14ac:dyDescent="0.35">
      <c r="A16" s="7"/>
      <c r="C16" s="7"/>
      <c r="D16" s="17"/>
      <c r="E16" s="7"/>
      <c r="F16" s="17"/>
      <c r="G16" s="7"/>
      <c r="H16" s="7"/>
      <c r="I16" s="7"/>
      <c r="J16" s="7"/>
    </row>
    <row r="17" spans="1:10" x14ac:dyDescent="0.35">
      <c r="A17" s="7"/>
      <c r="B17" s="19" t="s">
        <v>8</v>
      </c>
      <c r="C17" s="20">
        <f>+SUM(C14:C15)</f>
        <v>120000</v>
      </c>
      <c r="D17" s="21">
        <f>+IFERROR((E17-C17)/C17,0)</f>
        <v>8.3333333333333329E-2</v>
      </c>
      <c r="E17" s="20">
        <f>+SUM(E14:E15)</f>
        <v>130000</v>
      </c>
      <c r="F17" s="21">
        <f>+IFERROR((#REF!-E17)/E17,0)</f>
        <v>0</v>
      </c>
      <c r="G17" s="62">
        <f>+SUM(G14:G15)</f>
        <v>165050</v>
      </c>
      <c r="H17" s="50"/>
      <c r="I17" s="50"/>
      <c r="J17" s="50"/>
    </row>
    <row r="18" spans="1:10" x14ac:dyDescent="0.35">
      <c r="A18" s="7"/>
      <c r="B18" s="5"/>
      <c r="C18" s="7"/>
      <c r="D18" s="17"/>
      <c r="E18" s="7"/>
      <c r="F18" s="17"/>
      <c r="G18" s="7"/>
      <c r="H18" s="7"/>
      <c r="I18" s="7"/>
      <c r="J18" s="7"/>
    </row>
    <row r="19" spans="1:10" x14ac:dyDescent="0.35">
      <c r="A19" s="7"/>
      <c r="B19" s="93" t="s">
        <v>21</v>
      </c>
      <c r="C19" s="94"/>
      <c r="D19" s="94"/>
      <c r="E19" s="94"/>
      <c r="F19" s="94"/>
      <c r="G19" s="94"/>
    </row>
    <row r="20" spans="1:10" x14ac:dyDescent="0.35">
      <c r="A20" s="7"/>
      <c r="B20" s="23" t="s">
        <v>72</v>
      </c>
      <c r="C20" s="9">
        <v>150000</v>
      </c>
      <c r="D20" s="10">
        <f>+IFERROR((E20-C20)/C20,0)</f>
        <v>0.16666666666666666</v>
      </c>
      <c r="E20" s="9">
        <f>+'Pres. Financiero'!E14</f>
        <v>175000</v>
      </c>
      <c r="F20" s="10">
        <f>+IFERROR((#REF!-E20)/E20,0)</f>
        <v>0</v>
      </c>
      <c r="G20" s="60">
        <f>+'Pres. Financiero'!F14</f>
        <v>204500</v>
      </c>
      <c r="H20" s="7"/>
      <c r="I20" s="7"/>
      <c r="J20" s="7"/>
    </row>
    <row r="21" spans="1:10" x14ac:dyDescent="0.35">
      <c r="A21" s="7"/>
      <c r="B21" s="24"/>
      <c r="C21" s="7"/>
      <c r="D21" s="17"/>
      <c r="E21" s="7"/>
      <c r="F21" s="17"/>
      <c r="G21" s="7"/>
      <c r="H21" s="7"/>
      <c r="I21" s="7"/>
      <c r="J21" s="7"/>
    </row>
    <row r="22" spans="1:10" x14ac:dyDescent="0.35">
      <c r="A22" s="7"/>
      <c r="B22" s="25" t="s">
        <v>16</v>
      </c>
      <c r="C22" s="26">
        <f>+SUM(C20:C20)</f>
        <v>150000</v>
      </c>
      <c r="D22" s="27">
        <f>+IFERROR((E22-C22)/C22,0)</f>
        <v>0.16666666666666666</v>
      </c>
      <c r="E22" s="26">
        <f>+SUM(E20:E20)</f>
        <v>175000</v>
      </c>
      <c r="F22" s="27">
        <f>+IFERROR((#REF!-E22)/E22,0)</f>
        <v>0</v>
      </c>
      <c r="G22" s="63">
        <f>+SUM(G20:G20)</f>
        <v>204500</v>
      </c>
      <c r="H22" s="50"/>
      <c r="I22" s="50"/>
      <c r="J22" s="50"/>
    </row>
    <row r="23" spans="1:10" x14ac:dyDescent="0.35">
      <c r="A23" s="7"/>
      <c r="B23" s="5"/>
      <c r="C23" s="7"/>
      <c r="D23" s="17"/>
      <c r="E23" s="7"/>
      <c r="F23" s="17"/>
      <c r="G23" s="7"/>
      <c r="H23" s="7"/>
      <c r="I23" s="7"/>
      <c r="J23" s="7"/>
    </row>
    <row r="24" spans="1:10" x14ac:dyDescent="0.35">
      <c r="A24" s="7"/>
      <c r="B24" s="5" t="s">
        <v>25</v>
      </c>
      <c r="C24" s="7">
        <f>+C11+C17+C22</f>
        <v>280000</v>
      </c>
      <c r="D24" s="17"/>
      <c r="E24" s="7">
        <f>+E11+E17+E22</f>
        <v>340050</v>
      </c>
      <c r="F24" s="17"/>
      <c r="G24" s="7">
        <f>+G11+G17+G22</f>
        <v>410625</v>
      </c>
      <c r="H24" s="7"/>
      <c r="I24" s="7"/>
      <c r="J24" s="7"/>
    </row>
    <row r="25" spans="1:10" x14ac:dyDescent="0.35">
      <c r="A25" s="7"/>
      <c r="B25" s="5"/>
      <c r="C25" s="7"/>
      <c r="D25" s="17"/>
      <c r="E25" s="7"/>
      <c r="F25" s="17"/>
      <c r="G25" s="7"/>
      <c r="H25" s="7"/>
      <c r="I25" s="7"/>
      <c r="J25" s="7"/>
    </row>
    <row r="26" spans="1:10" x14ac:dyDescent="0.35">
      <c r="A26" s="7"/>
      <c r="B26" s="93" t="s">
        <v>22</v>
      </c>
      <c r="C26" s="94"/>
      <c r="D26" s="94"/>
      <c r="E26" s="94"/>
      <c r="F26" s="94"/>
      <c r="G26" s="94"/>
    </row>
    <row r="27" spans="1:10" x14ac:dyDescent="0.35">
      <c r="A27" s="7"/>
      <c r="B27" s="23" t="s">
        <v>23</v>
      </c>
      <c r="C27" s="9">
        <v>30000</v>
      </c>
      <c r="D27" s="10">
        <f>+IFERROR((E27-C27)/C27,0)</f>
        <v>-0.14000000000000001</v>
      </c>
      <c r="E27" s="9">
        <f>+C27-E82</f>
        <v>25800</v>
      </c>
      <c r="F27" s="10">
        <f>+IFERROR((#REF!-E27)/E27,0)</f>
        <v>0</v>
      </c>
      <c r="G27" s="60">
        <f>+E27-G82</f>
        <v>21600</v>
      </c>
      <c r="H27" s="7"/>
      <c r="I27" s="7"/>
      <c r="J27" s="7"/>
    </row>
    <row r="28" spans="1:10" x14ac:dyDescent="0.35">
      <c r="A28" s="7"/>
      <c r="B28" s="24"/>
      <c r="C28" s="7"/>
      <c r="D28" s="17"/>
      <c r="E28" s="7"/>
      <c r="F28" s="17"/>
      <c r="G28" s="7"/>
      <c r="H28" s="7"/>
      <c r="I28" s="7"/>
      <c r="J28" s="7"/>
    </row>
    <row r="29" spans="1:10" x14ac:dyDescent="0.35">
      <c r="A29" s="7"/>
      <c r="B29" s="25" t="s">
        <v>24</v>
      </c>
      <c r="C29" s="26">
        <f>+SUM(C27:C27)</f>
        <v>30000</v>
      </c>
      <c r="D29" s="27">
        <f>+IFERROR((E29-C29)/C29,0)</f>
        <v>-0.14000000000000001</v>
      </c>
      <c r="E29" s="26">
        <f>+SUM(E27:E27)</f>
        <v>25800</v>
      </c>
      <c r="F29" s="27">
        <f>+IFERROR((#REF!-E29)/E29,0)</f>
        <v>0</v>
      </c>
      <c r="G29" s="63">
        <f>+SUM(G27:G27)</f>
        <v>21600</v>
      </c>
      <c r="H29" s="50"/>
      <c r="I29" s="50"/>
      <c r="J29" s="50"/>
    </row>
    <row r="30" spans="1:10" x14ac:dyDescent="0.35">
      <c r="A30" s="7"/>
      <c r="B30" s="5"/>
      <c r="C30" s="7"/>
      <c r="D30" s="17"/>
      <c r="E30" s="7"/>
      <c r="F30" s="17"/>
      <c r="G30" s="7"/>
      <c r="H30" s="7"/>
      <c r="I30" s="7"/>
      <c r="J30" s="7"/>
    </row>
    <row r="31" spans="1:10" x14ac:dyDescent="0.35">
      <c r="A31" s="7"/>
      <c r="B31" s="5" t="s">
        <v>26</v>
      </c>
      <c r="C31" s="7">
        <f>+C29</f>
        <v>30000</v>
      </c>
      <c r="D31" s="17"/>
      <c r="E31" s="7">
        <f>+E29</f>
        <v>25800</v>
      </c>
      <c r="F31" s="17"/>
      <c r="G31" s="7">
        <f>+G29</f>
        <v>21600</v>
      </c>
      <c r="H31" s="7"/>
      <c r="I31" s="7"/>
      <c r="J31" s="7"/>
    </row>
    <row r="32" spans="1:10" x14ac:dyDescent="0.35">
      <c r="A32" s="7"/>
      <c r="B32" s="5"/>
      <c r="C32" s="7"/>
      <c r="D32" s="17"/>
      <c r="E32" s="7"/>
      <c r="F32" s="17"/>
      <c r="G32" s="7"/>
      <c r="H32" s="7"/>
      <c r="I32" s="7"/>
      <c r="J32" s="7"/>
    </row>
    <row r="33" spans="1:10" x14ac:dyDescent="0.35">
      <c r="A33" s="7"/>
      <c r="B33" s="5" t="s">
        <v>27</v>
      </c>
      <c r="C33" s="7">
        <f>+C24+C31</f>
        <v>310000</v>
      </c>
      <c r="D33" s="17"/>
      <c r="E33" s="7">
        <f>+E24+E31</f>
        <v>365850</v>
      </c>
      <c r="F33" s="17"/>
      <c r="G33" s="7">
        <f>+G24+G31</f>
        <v>432225</v>
      </c>
      <c r="H33" s="7"/>
      <c r="I33" s="7"/>
      <c r="J33" s="7"/>
    </row>
    <row r="34" spans="1:10" x14ac:dyDescent="0.35">
      <c r="A34" s="7"/>
      <c r="B34" s="5"/>
      <c r="C34" s="7"/>
      <c r="D34" s="17"/>
      <c r="E34" s="7"/>
      <c r="F34" s="17"/>
      <c r="G34" s="7"/>
      <c r="H34" s="7"/>
      <c r="I34" s="7"/>
      <c r="J34" s="7"/>
    </row>
    <row r="35" spans="1:10" x14ac:dyDescent="0.35">
      <c r="A35" s="7"/>
      <c r="B35" s="93" t="s">
        <v>29</v>
      </c>
      <c r="C35" s="94"/>
      <c r="D35" s="94"/>
      <c r="E35" s="94"/>
      <c r="F35" s="94"/>
      <c r="G35" s="94"/>
    </row>
    <row r="36" spans="1:10" x14ac:dyDescent="0.35">
      <c r="A36" s="7"/>
      <c r="B36" s="23" t="s">
        <v>73</v>
      </c>
      <c r="C36" s="9">
        <v>20000</v>
      </c>
      <c r="D36" s="10">
        <f>+IFERROR((E36-C36)/C36,0)</f>
        <v>1.65</v>
      </c>
      <c r="E36" s="9">
        <f>+C36+E65</f>
        <v>53000</v>
      </c>
      <c r="F36" s="10">
        <f>+IFERROR((#REF!-E36)/E36,0)</f>
        <v>0</v>
      </c>
      <c r="G36" s="60">
        <f>+'Pres. Financiero'!F15</f>
        <v>69300</v>
      </c>
      <c r="H36" s="7"/>
      <c r="I36" s="7"/>
      <c r="J36" s="7"/>
    </row>
    <row r="37" spans="1:10" x14ac:dyDescent="0.35">
      <c r="A37" s="7"/>
      <c r="B37" s="24"/>
      <c r="C37" s="7"/>
      <c r="D37" s="17"/>
      <c r="E37" s="7"/>
      <c r="F37" s="17"/>
      <c r="G37" s="7"/>
      <c r="H37" s="7"/>
      <c r="I37" s="7"/>
      <c r="J37" s="7"/>
    </row>
    <row r="38" spans="1:10" x14ac:dyDescent="0.35">
      <c r="A38" s="7"/>
      <c r="B38" s="25" t="s">
        <v>16</v>
      </c>
      <c r="C38" s="26">
        <f>+SUM(C36:C36)</f>
        <v>20000</v>
      </c>
      <c r="D38" s="27">
        <f>+IFERROR((E38-C38)/C38,0)</f>
        <v>1.65</v>
      </c>
      <c r="E38" s="26">
        <f>+SUM(E36:E36)</f>
        <v>53000</v>
      </c>
      <c r="F38" s="27">
        <f>+IFERROR((#REF!-E38)/E38,0)</f>
        <v>0</v>
      </c>
      <c r="G38" s="63">
        <f>+SUM(G36:G36)</f>
        <v>69300</v>
      </c>
      <c r="H38" s="50"/>
      <c r="I38" s="50"/>
      <c r="J38" s="50"/>
    </row>
    <row r="39" spans="1:10" x14ac:dyDescent="0.35">
      <c r="A39" s="7"/>
      <c r="B39" s="5"/>
      <c r="C39" s="7"/>
      <c r="D39" s="17"/>
      <c r="E39" s="7"/>
      <c r="F39" s="17"/>
      <c r="G39" s="7"/>
      <c r="H39" s="7"/>
      <c r="I39" s="7"/>
      <c r="J39" s="7"/>
    </row>
    <row r="40" spans="1:10" x14ac:dyDescent="0.35">
      <c r="A40" s="7"/>
      <c r="B40" s="93" t="s">
        <v>83</v>
      </c>
      <c r="C40" s="94"/>
      <c r="D40" s="94"/>
      <c r="E40" s="94"/>
      <c r="F40" s="94"/>
      <c r="G40" s="94"/>
    </row>
    <row r="41" spans="1:10" x14ac:dyDescent="0.35">
      <c r="A41" s="7"/>
      <c r="B41" s="23" t="s">
        <v>84</v>
      </c>
      <c r="C41" s="9">
        <v>0</v>
      </c>
      <c r="D41" s="10">
        <f>+IFERROR((E41-C41)/C41,0)</f>
        <v>0</v>
      </c>
      <c r="E41" s="9">
        <f>+E97</f>
        <v>5570</v>
      </c>
      <c r="F41" s="10">
        <f>+IFERROR((#REF!-E41)/E41,0)</f>
        <v>0</v>
      </c>
      <c r="G41" s="9">
        <f>+G95+E95</f>
        <v>15585</v>
      </c>
    </row>
    <row r="42" spans="1:10" x14ac:dyDescent="0.35">
      <c r="A42" s="7"/>
      <c r="B42" s="23" t="s">
        <v>75</v>
      </c>
      <c r="C42" s="9">
        <v>5000</v>
      </c>
      <c r="D42" s="10">
        <f>+IFERROR((E42-C42)/C42,0)</f>
        <v>-1</v>
      </c>
      <c r="E42" s="9">
        <v>0</v>
      </c>
      <c r="F42" s="10">
        <f>+IFERROR((#REF!-E42)/E42,0)</f>
        <v>0</v>
      </c>
      <c r="G42" s="9">
        <v>0</v>
      </c>
      <c r="H42" s="7"/>
      <c r="I42" s="7"/>
      <c r="J42" s="7"/>
    </row>
    <row r="43" spans="1:10" x14ac:dyDescent="0.35">
      <c r="A43" s="7"/>
      <c r="B43" s="24"/>
      <c r="C43" s="7"/>
      <c r="D43" s="17"/>
      <c r="E43" s="7"/>
      <c r="F43" s="17"/>
      <c r="G43" s="7"/>
      <c r="H43" s="7"/>
      <c r="I43" s="7"/>
      <c r="J43" s="7"/>
    </row>
    <row r="44" spans="1:10" x14ac:dyDescent="0.35">
      <c r="A44" s="7"/>
      <c r="B44" s="25" t="s">
        <v>16</v>
      </c>
      <c r="C44" s="26">
        <f>+SUM(C42:C42)</f>
        <v>5000</v>
      </c>
      <c r="D44" s="27">
        <f>+IFERROR((E44-C44)/C44,0)</f>
        <v>0.114</v>
      </c>
      <c r="E44" s="26">
        <f>+SUM(E41:E42)</f>
        <v>5570</v>
      </c>
      <c r="F44" s="27">
        <f>+IFERROR((#REF!-E44)/E44,0)</f>
        <v>0</v>
      </c>
      <c r="G44" s="26">
        <f>+SUM(G41:G42)</f>
        <v>15585</v>
      </c>
      <c r="H44" s="50"/>
      <c r="I44" s="50"/>
      <c r="J44" s="50"/>
    </row>
    <row r="45" spans="1:10" x14ac:dyDescent="0.35">
      <c r="A45" s="7"/>
      <c r="B45" s="5"/>
      <c r="C45" s="7"/>
      <c r="D45" s="17"/>
      <c r="E45" s="7"/>
      <c r="F45" s="17"/>
      <c r="G45" s="7"/>
      <c r="H45" s="7"/>
      <c r="I45" s="7"/>
      <c r="J45" s="7"/>
    </row>
    <row r="46" spans="1:10" x14ac:dyDescent="0.35">
      <c r="A46" s="7"/>
      <c r="B46" s="5" t="s">
        <v>30</v>
      </c>
      <c r="C46" s="7">
        <f>+C44+C38</f>
        <v>25000</v>
      </c>
      <c r="D46" s="17"/>
      <c r="E46" s="7">
        <f>+E44+E38</f>
        <v>58570</v>
      </c>
      <c r="F46" s="17"/>
      <c r="G46" s="7">
        <f>+G44+G38</f>
        <v>84885</v>
      </c>
      <c r="H46" s="7"/>
      <c r="I46" s="7"/>
      <c r="J46" s="7"/>
    </row>
    <row r="47" spans="1:10" x14ac:dyDescent="0.35">
      <c r="A47" s="7"/>
      <c r="B47" s="5"/>
      <c r="C47" s="7"/>
      <c r="D47" s="17"/>
      <c r="E47" s="7"/>
      <c r="F47" s="17"/>
      <c r="G47" s="7"/>
      <c r="H47" s="7"/>
      <c r="I47" s="7"/>
      <c r="J47" s="7"/>
    </row>
    <row r="48" spans="1:10" x14ac:dyDescent="0.35">
      <c r="A48" s="7"/>
      <c r="B48" s="5" t="s">
        <v>31</v>
      </c>
      <c r="C48" s="7">
        <f>+C46</f>
        <v>25000</v>
      </c>
      <c r="D48" s="17"/>
      <c r="E48" s="7">
        <f>+E46</f>
        <v>58570</v>
      </c>
      <c r="F48" s="17"/>
      <c r="G48" s="7">
        <f>+G46</f>
        <v>84885</v>
      </c>
      <c r="H48" s="7"/>
      <c r="I48" s="7"/>
      <c r="J48" s="7"/>
    </row>
    <row r="49" spans="1:10" x14ac:dyDescent="0.35">
      <c r="A49" s="7"/>
      <c r="B49" s="5"/>
      <c r="C49" s="7"/>
      <c r="D49" s="17"/>
      <c r="E49" s="7"/>
      <c r="F49" s="17"/>
      <c r="G49" s="7"/>
      <c r="H49" s="7"/>
      <c r="I49" s="7"/>
      <c r="J49" s="7"/>
    </row>
    <row r="50" spans="1:10" x14ac:dyDescent="0.35">
      <c r="A50" s="7"/>
      <c r="B50" s="5" t="s">
        <v>32</v>
      </c>
      <c r="C50" s="7">
        <f>+C33-C48</f>
        <v>285000</v>
      </c>
      <c r="D50" s="17"/>
      <c r="E50" s="7">
        <f>+E33-E48</f>
        <v>307280</v>
      </c>
      <c r="F50" s="17"/>
      <c r="G50" s="7">
        <f>+G33-G48</f>
        <v>347340</v>
      </c>
      <c r="H50" s="7"/>
      <c r="I50" s="7"/>
      <c r="J50" s="7"/>
    </row>
    <row r="51" spans="1:10" x14ac:dyDescent="0.35">
      <c r="A51" s="7"/>
      <c r="B51" s="5"/>
      <c r="C51" s="7"/>
      <c r="D51" s="17"/>
      <c r="E51" s="7"/>
      <c r="F51" s="17"/>
      <c r="G51" s="7"/>
      <c r="H51" s="7"/>
      <c r="I51" s="7"/>
      <c r="J51" s="7"/>
    </row>
    <row r="52" spans="1:10" x14ac:dyDescent="0.35">
      <c r="A52" s="7"/>
      <c r="B52" s="89" t="s">
        <v>9</v>
      </c>
      <c r="C52" s="90"/>
      <c r="D52" s="90"/>
      <c r="E52" s="90"/>
      <c r="F52" s="90"/>
      <c r="G52" s="90"/>
    </row>
    <row r="53" spans="1:10" x14ac:dyDescent="0.35">
      <c r="A53" s="7"/>
      <c r="B53" s="91" t="s">
        <v>10</v>
      </c>
      <c r="C53" s="92"/>
      <c r="D53" s="92"/>
      <c r="E53" s="92"/>
      <c r="F53" s="92"/>
      <c r="G53" s="92"/>
    </row>
    <row r="54" spans="1:10" x14ac:dyDescent="0.35">
      <c r="A54" s="7"/>
      <c r="B54" s="8" t="s">
        <v>51</v>
      </c>
      <c r="C54" s="9">
        <v>50000</v>
      </c>
      <c r="D54" s="10">
        <f>+(E54-C54)/C54</f>
        <v>0.10000000000000014</v>
      </c>
      <c r="E54" s="9">
        <f>+C54*1.1</f>
        <v>55000.000000000007</v>
      </c>
      <c r="F54" s="10">
        <f>+(G54-E54)/E54</f>
        <v>0.10000000000000012</v>
      </c>
      <c r="G54" s="60">
        <f>+E54*1.1</f>
        <v>60500.000000000015</v>
      </c>
      <c r="H54" s="7"/>
      <c r="I54" s="69">
        <f>+E54+G54</f>
        <v>115500.00000000003</v>
      </c>
      <c r="J54" s="7"/>
    </row>
    <row r="55" spans="1:10" x14ac:dyDescent="0.35">
      <c r="A55" s="7"/>
      <c r="B55" s="8" t="s">
        <v>52</v>
      </c>
      <c r="C55" s="46">
        <v>100000</v>
      </c>
      <c r="D55" s="10">
        <f>+(E55-C55)/C55</f>
        <v>0.2</v>
      </c>
      <c r="E55" s="9">
        <f>+C55*1.2</f>
        <v>120000</v>
      </c>
      <c r="F55" s="10">
        <f>+(G55-E55)/E55</f>
        <v>0.2</v>
      </c>
      <c r="G55" s="60">
        <f>+E55*1.2</f>
        <v>144000</v>
      </c>
      <c r="H55" s="7"/>
      <c r="I55" s="70">
        <f t="shared" ref="I55:I57" si="0">+E55+G55</f>
        <v>264000</v>
      </c>
      <c r="J55" s="78"/>
    </row>
    <row r="56" spans="1:10" x14ac:dyDescent="0.35">
      <c r="A56" s="7"/>
      <c r="B56" s="8"/>
      <c r="C56" s="41"/>
      <c r="D56" s="10">
        <f>+IFERROR(((E56-C56)/C56),0)</f>
        <v>0</v>
      </c>
      <c r="E56" s="41">
        <v>0</v>
      </c>
      <c r="F56" s="10">
        <f>+IFERROR(((#REF!-E56)/E56),0)</f>
        <v>0</v>
      </c>
      <c r="G56" s="64">
        <v>0</v>
      </c>
      <c r="H56" s="42"/>
      <c r="I56" s="71">
        <f t="shared" si="0"/>
        <v>0</v>
      </c>
      <c r="J56" s="42"/>
    </row>
    <row r="57" spans="1:10" x14ac:dyDescent="0.35">
      <c r="A57" s="7"/>
      <c r="B57" s="8"/>
      <c r="C57" s="41"/>
      <c r="D57" s="10">
        <f>+IFERROR(((E57-C57)/C57),0)</f>
        <v>0</v>
      </c>
      <c r="E57" s="41">
        <v>0</v>
      </c>
      <c r="F57" s="10">
        <f>+IFERROR(((#REF!-E57)/E57),0)</f>
        <v>0</v>
      </c>
      <c r="G57" s="64">
        <v>0</v>
      </c>
      <c r="H57" s="42"/>
      <c r="I57" s="71">
        <f t="shared" si="0"/>
        <v>0</v>
      </c>
      <c r="J57" s="42"/>
    </row>
    <row r="58" spans="1:10" x14ac:dyDescent="0.35">
      <c r="A58" s="7"/>
      <c r="C58" s="42"/>
      <c r="D58" s="17"/>
      <c r="E58" s="42"/>
      <c r="F58" s="17"/>
      <c r="G58" s="42"/>
      <c r="H58" s="42"/>
      <c r="I58" s="42"/>
      <c r="J58" s="42"/>
    </row>
    <row r="59" spans="1:10" x14ac:dyDescent="0.35">
      <c r="A59" s="18"/>
      <c r="B59" s="28" t="s">
        <v>11</v>
      </c>
      <c r="C59" s="43">
        <f>+SUM(C54:C57)</f>
        <v>150000</v>
      </c>
      <c r="D59" s="29">
        <f>+(E59-C59)/C59</f>
        <v>0.16666666666666666</v>
      </c>
      <c r="E59" s="43">
        <f>+SUM(E54:E57)</f>
        <v>175000</v>
      </c>
      <c r="F59" s="29">
        <f>+SUM(F54:F57)</f>
        <v>0.30000000000000016</v>
      </c>
      <c r="G59" s="65">
        <f>+SUM(G54:G57)</f>
        <v>204500</v>
      </c>
      <c r="H59" s="77"/>
      <c r="I59" s="72">
        <f>+E59+G59</f>
        <v>379500</v>
      </c>
      <c r="J59" s="77"/>
    </row>
    <row r="60" spans="1:10" x14ac:dyDescent="0.35">
      <c r="A60" s="18"/>
      <c r="B60" s="30"/>
      <c r="C60" s="18"/>
      <c r="D60" s="17"/>
      <c r="E60" s="18"/>
      <c r="F60" s="17"/>
      <c r="G60" s="18"/>
      <c r="H60" s="18"/>
      <c r="I60" s="18"/>
      <c r="J60" s="18"/>
    </row>
    <row r="61" spans="1:10" x14ac:dyDescent="0.35">
      <c r="A61" s="18"/>
      <c r="B61" s="86" t="s">
        <v>12</v>
      </c>
      <c r="C61" s="87"/>
      <c r="D61" s="87"/>
      <c r="E61" s="87"/>
      <c r="F61" s="87"/>
      <c r="G61" s="87"/>
    </row>
    <row r="62" spans="1:10" x14ac:dyDescent="0.35">
      <c r="B62" s="8" t="s">
        <v>53</v>
      </c>
      <c r="C62" s="9">
        <v>50000</v>
      </c>
      <c r="D62" s="10">
        <f>+(E62-C62)/C62</f>
        <v>0.05</v>
      </c>
      <c r="E62" s="9">
        <f>+C62*1.05</f>
        <v>52500</v>
      </c>
      <c r="F62" s="10">
        <f>+(G62-E62)/E62</f>
        <v>0.05</v>
      </c>
      <c r="G62" s="60">
        <f>+E62*1.05</f>
        <v>55125</v>
      </c>
      <c r="H62" s="7"/>
      <c r="I62" s="69">
        <f t="shared" ref="I62:I65" si="1">+E62+G62</f>
        <v>107625</v>
      </c>
      <c r="J62" s="7"/>
    </row>
    <row r="63" spans="1:10" x14ac:dyDescent="0.35">
      <c r="B63" s="8" t="s">
        <v>19</v>
      </c>
      <c r="C63" s="9">
        <f>+C59*0.1</f>
        <v>15000</v>
      </c>
      <c r="D63" s="10">
        <f>+(E63-C63)/C63</f>
        <v>0.16666666666666666</v>
      </c>
      <c r="E63" s="9">
        <f>+E59*0.1</f>
        <v>17500</v>
      </c>
      <c r="F63" s="10">
        <f>+(G63-E63)/E63</f>
        <v>0.16857142857142857</v>
      </c>
      <c r="G63" s="60">
        <f>+G59*0.1</f>
        <v>20450</v>
      </c>
      <c r="H63" s="7"/>
      <c r="I63" s="69">
        <f t="shared" si="1"/>
        <v>37950</v>
      </c>
      <c r="J63" s="7"/>
    </row>
    <row r="64" spans="1:10" x14ac:dyDescent="0.35">
      <c r="A64" s="40"/>
      <c r="B64" s="8" t="s">
        <v>54</v>
      </c>
      <c r="C64" s="9">
        <v>10000</v>
      </c>
      <c r="D64" s="10">
        <f>+(E64-C64)/C64</f>
        <v>0.1</v>
      </c>
      <c r="E64" s="9">
        <f>+C64*1.1</f>
        <v>11000</v>
      </c>
      <c r="F64" s="10">
        <f>+(G64-E64)/E64</f>
        <v>0.10000000000000017</v>
      </c>
      <c r="G64" s="60">
        <f>+E64*1.1</f>
        <v>12100.000000000002</v>
      </c>
      <c r="H64" s="7"/>
      <c r="I64" s="69">
        <f t="shared" si="1"/>
        <v>23100</v>
      </c>
      <c r="J64" s="7"/>
    </row>
    <row r="65" spans="1:10" x14ac:dyDescent="0.35">
      <c r="B65" s="8" t="s">
        <v>55</v>
      </c>
      <c r="C65" s="9">
        <v>30000</v>
      </c>
      <c r="D65" s="10">
        <f>+(E65-C65)/C65</f>
        <v>0.1</v>
      </c>
      <c r="E65" s="9">
        <f>+C65*1.1</f>
        <v>33000</v>
      </c>
      <c r="F65" s="10">
        <f>+(G65-E65)/E65</f>
        <v>0.1</v>
      </c>
      <c r="G65" s="60">
        <f>+E65*1.1</f>
        <v>36300</v>
      </c>
      <c r="H65" s="7"/>
      <c r="I65" s="69">
        <f t="shared" si="1"/>
        <v>69300</v>
      </c>
      <c r="J65" s="7"/>
    </row>
    <row r="66" spans="1:10" x14ac:dyDescent="0.35">
      <c r="A66" s="7"/>
      <c r="C66" s="7"/>
      <c r="D66" s="17"/>
      <c r="E66" s="7"/>
      <c r="F66" s="17"/>
      <c r="G66" s="7"/>
      <c r="H66" s="7"/>
      <c r="I66" s="7"/>
      <c r="J66" s="7"/>
    </row>
    <row r="67" spans="1:10" x14ac:dyDescent="0.35">
      <c r="A67" s="7"/>
      <c r="B67" s="31" t="s">
        <v>17</v>
      </c>
      <c r="C67" s="32">
        <f>+SUM(C62:C65)</f>
        <v>105000</v>
      </c>
      <c r="D67" s="33">
        <f>+(E67-C67)/C67</f>
        <v>8.5714285714285715E-2</v>
      </c>
      <c r="E67" s="32">
        <f>+SUM(E62:E65)</f>
        <v>114000</v>
      </c>
      <c r="F67" s="33">
        <f>+(G67-E67)/E67</f>
        <v>8.7499999999999994E-2</v>
      </c>
      <c r="G67" s="66">
        <f>+SUM(G62:G65)</f>
        <v>123975</v>
      </c>
      <c r="H67" s="50"/>
      <c r="I67" s="73">
        <f>+E67+G67</f>
        <v>237975</v>
      </c>
      <c r="J67" s="50"/>
    </row>
    <row r="68" spans="1:10" x14ac:dyDescent="0.35">
      <c r="C68" s="7"/>
      <c r="D68" s="17"/>
      <c r="E68" s="22"/>
      <c r="F68" s="17"/>
      <c r="G68" s="22"/>
      <c r="H68" s="17"/>
      <c r="I68" s="22"/>
      <c r="J68" s="22"/>
    </row>
    <row r="69" spans="1:10" x14ac:dyDescent="0.35">
      <c r="A69" s="7"/>
      <c r="B69" s="34" t="s">
        <v>18</v>
      </c>
      <c r="C69" s="35">
        <f>+C59-C67</f>
        <v>45000</v>
      </c>
      <c r="D69" s="36">
        <f>+(E69-C69)/C69</f>
        <v>0.35555555555555557</v>
      </c>
      <c r="E69" s="35">
        <f>+E59-E67</f>
        <v>61000</v>
      </c>
      <c r="F69" s="36">
        <f>+(G69-E69)/E69</f>
        <v>0.32008196721311477</v>
      </c>
      <c r="G69" s="67">
        <f>+G59-G67</f>
        <v>80525</v>
      </c>
      <c r="H69" s="50"/>
      <c r="I69" s="74">
        <f>+E69+G69</f>
        <v>141525</v>
      </c>
      <c r="J69" s="50"/>
    </row>
    <row r="70" spans="1:10" x14ac:dyDescent="0.35">
      <c r="A70" s="7"/>
      <c r="B70" s="52" t="s">
        <v>57</v>
      </c>
      <c r="C70" s="53">
        <f>+C69/C59</f>
        <v>0.3</v>
      </c>
      <c r="D70" s="54"/>
      <c r="E70" s="53">
        <f>+E69/E59</f>
        <v>0.34857142857142859</v>
      </c>
      <c r="F70" s="54"/>
      <c r="G70" s="53">
        <f>+G69/G59</f>
        <v>0.39376528117359411</v>
      </c>
      <c r="H70" s="75"/>
      <c r="I70" s="53">
        <f>+I69/I59</f>
        <v>0.37292490118577076</v>
      </c>
      <c r="J70" s="53"/>
    </row>
    <row r="71" spans="1:10" x14ac:dyDescent="0.35">
      <c r="A71" s="18"/>
      <c r="B71" s="86" t="s">
        <v>20</v>
      </c>
      <c r="C71" s="87"/>
      <c r="D71" s="87"/>
      <c r="E71" s="87"/>
      <c r="F71" s="87"/>
      <c r="G71" s="87"/>
    </row>
    <row r="72" spans="1:10" x14ac:dyDescent="0.35">
      <c r="B72" s="8" t="s">
        <v>33</v>
      </c>
      <c r="C72" s="9">
        <v>20000</v>
      </c>
      <c r="D72" s="10">
        <f>+(E72-C72)/C72</f>
        <v>0</v>
      </c>
      <c r="E72" s="9">
        <f>+C72</f>
        <v>20000</v>
      </c>
      <c r="F72" s="10">
        <f>+(G72-E72)/E72</f>
        <v>0</v>
      </c>
      <c r="G72" s="60">
        <f>+E72</f>
        <v>20000</v>
      </c>
      <c r="H72" s="7"/>
      <c r="I72" s="69">
        <f t="shared" ref="I72:I75" si="2">+E72+G72</f>
        <v>40000</v>
      </c>
      <c r="J72" s="7"/>
    </row>
    <row r="73" spans="1:10" x14ac:dyDescent="0.35">
      <c r="B73" s="8" t="s">
        <v>34</v>
      </c>
      <c r="C73" s="9">
        <f>+C69*0.1</f>
        <v>4500</v>
      </c>
      <c r="D73" s="10">
        <f>+(E73-C73)/C73</f>
        <v>0</v>
      </c>
      <c r="E73" s="9">
        <f>+C73</f>
        <v>4500</v>
      </c>
      <c r="F73" s="10">
        <f>+(G73-E73)/E73</f>
        <v>0</v>
      </c>
      <c r="G73" s="60">
        <f>+E73</f>
        <v>4500</v>
      </c>
      <c r="H73" s="7"/>
      <c r="I73" s="69">
        <f t="shared" si="2"/>
        <v>9000</v>
      </c>
      <c r="J73" s="7"/>
    </row>
    <row r="74" spans="1:10" x14ac:dyDescent="0.35">
      <c r="A74" s="40"/>
      <c r="B74" s="8" t="s">
        <v>35</v>
      </c>
      <c r="C74" s="9">
        <v>4500</v>
      </c>
      <c r="D74" s="10">
        <f>+(E74-C74)/C74</f>
        <v>0</v>
      </c>
      <c r="E74" s="9">
        <f>+C74</f>
        <v>4500</v>
      </c>
      <c r="F74" s="10">
        <f>+(G74-E74)/E74</f>
        <v>0</v>
      </c>
      <c r="G74" s="60">
        <f>+E74</f>
        <v>4500</v>
      </c>
      <c r="H74" s="7"/>
      <c r="I74" s="69">
        <f t="shared" si="2"/>
        <v>9000</v>
      </c>
      <c r="J74" s="7"/>
    </row>
    <row r="75" spans="1:10" x14ac:dyDescent="0.35">
      <c r="B75" s="8" t="s">
        <v>56</v>
      </c>
      <c r="C75" s="9">
        <v>10000</v>
      </c>
      <c r="D75" s="10">
        <f>+(E75-C75)/C75</f>
        <v>0.05</v>
      </c>
      <c r="E75" s="9">
        <f>+C75*1.05</f>
        <v>10500</v>
      </c>
      <c r="F75" s="10">
        <f>+(G75-E75)/E75</f>
        <v>0.05</v>
      </c>
      <c r="G75" s="60">
        <f>+E75*1.05</f>
        <v>11025</v>
      </c>
      <c r="H75" s="7"/>
      <c r="I75" s="69">
        <f t="shared" si="2"/>
        <v>21525</v>
      </c>
      <c r="J75" s="7"/>
    </row>
    <row r="76" spans="1:10" x14ac:dyDescent="0.35">
      <c r="A76" s="7"/>
      <c r="C76" s="44"/>
      <c r="D76" s="17"/>
      <c r="E76" s="44"/>
      <c r="F76" s="17"/>
      <c r="G76" s="44"/>
      <c r="H76" s="76"/>
      <c r="I76" s="44"/>
      <c r="J76" s="44"/>
    </row>
    <row r="77" spans="1:10" x14ac:dyDescent="0.35">
      <c r="A77" s="7"/>
      <c r="B77" s="31" t="s">
        <v>37</v>
      </c>
      <c r="C77" s="32">
        <f>+SUM(C72:C75)</f>
        <v>39000</v>
      </c>
      <c r="D77" s="33">
        <f>+(E77-C77)/C77</f>
        <v>1.282051282051282E-2</v>
      </c>
      <c r="E77" s="32">
        <f>+SUM(E72:E75)</f>
        <v>39500</v>
      </c>
      <c r="F77" s="33">
        <f>+(G77-E77)/E77</f>
        <v>1.3291139240506329E-2</v>
      </c>
      <c r="G77" s="66">
        <f>+SUM(G72:G75)</f>
        <v>40025</v>
      </c>
      <c r="H77" s="50"/>
      <c r="I77" s="73">
        <f>+SUM(I72:I75)</f>
        <v>79525</v>
      </c>
      <c r="J77" s="50"/>
    </row>
    <row r="78" spans="1:10" x14ac:dyDescent="0.35">
      <c r="C78" s="7"/>
      <c r="D78" s="17"/>
      <c r="E78" s="22"/>
      <c r="F78" s="17"/>
      <c r="G78" s="22"/>
      <c r="H78" s="17"/>
      <c r="I78" s="22"/>
      <c r="J78" s="22"/>
    </row>
    <row r="79" spans="1:10" x14ac:dyDescent="0.35">
      <c r="A79" s="7"/>
      <c r="B79" s="34" t="s">
        <v>36</v>
      </c>
      <c r="C79" s="35">
        <f>+C69-C77</f>
        <v>6000</v>
      </c>
      <c r="D79" s="36">
        <f>+(E79-C79)/C79</f>
        <v>2.5833333333333335</v>
      </c>
      <c r="E79" s="35">
        <f>+E69-E77</f>
        <v>21500</v>
      </c>
      <c r="F79" s="36">
        <f>+(G79-E79)/E79</f>
        <v>0.88372093023255816</v>
      </c>
      <c r="G79" s="67">
        <f>+G69-G77</f>
        <v>40500</v>
      </c>
      <c r="H79" s="50"/>
      <c r="I79" s="74">
        <f>+I69-I77</f>
        <v>62000</v>
      </c>
      <c r="J79" s="50"/>
    </row>
    <row r="80" spans="1:10" x14ac:dyDescent="0.35">
      <c r="A80" s="7"/>
      <c r="C80" s="44"/>
      <c r="D80" s="17"/>
      <c r="E80" s="44"/>
      <c r="F80" s="17"/>
      <c r="G80" s="44"/>
      <c r="H80" s="76"/>
      <c r="I80" s="44"/>
      <c r="J80" s="44"/>
    </row>
    <row r="81" spans="1:10" x14ac:dyDescent="0.35">
      <c r="A81" s="18"/>
      <c r="B81" s="86" t="s">
        <v>38</v>
      </c>
      <c r="C81" s="87"/>
      <c r="D81" s="87"/>
      <c r="E81" s="87"/>
      <c r="F81" s="87"/>
      <c r="G81" s="87"/>
    </row>
    <row r="82" spans="1:10" x14ac:dyDescent="0.35">
      <c r="B82" s="8" t="s">
        <v>42</v>
      </c>
      <c r="C82" s="9">
        <v>4200</v>
      </c>
      <c r="D82" s="10">
        <f>+IFERROR((E82-C82)/C82,0)</f>
        <v>0</v>
      </c>
      <c r="E82" s="9">
        <f>+C82</f>
        <v>4200</v>
      </c>
      <c r="F82" s="10">
        <f>+IFERROR((#REF!-E82)/E82,0)</f>
        <v>0</v>
      </c>
      <c r="G82" s="60">
        <f>+E82</f>
        <v>4200</v>
      </c>
      <c r="H82" s="7"/>
      <c r="I82" s="69">
        <f t="shared" ref="I82" si="3">+E82+G82</f>
        <v>8400</v>
      </c>
      <c r="J82" s="7"/>
    </row>
    <row r="83" spans="1:10" x14ac:dyDescent="0.35">
      <c r="A83" s="7"/>
      <c r="C83" s="44"/>
      <c r="D83" s="17"/>
      <c r="E83" s="44"/>
      <c r="F83" s="17"/>
      <c r="G83" s="44"/>
      <c r="H83" s="76"/>
      <c r="I83" s="44"/>
      <c r="J83" s="44"/>
    </row>
    <row r="84" spans="1:10" x14ac:dyDescent="0.35">
      <c r="A84" s="7"/>
      <c r="B84" s="31" t="s">
        <v>39</v>
      </c>
      <c r="C84" s="32">
        <f>+SUM(C82:C82)</f>
        <v>4200</v>
      </c>
      <c r="D84" s="33">
        <f>+IFERROR((E84-C84)/C84,0)</f>
        <v>0</v>
      </c>
      <c r="E84" s="32">
        <f>+SUM(E82:E82)</f>
        <v>4200</v>
      </c>
      <c r="F84" s="33">
        <f>+IFERROR((G84-E84)/E84,0)</f>
        <v>0</v>
      </c>
      <c r="G84" s="66">
        <f>+SUM(G82:G82)</f>
        <v>4200</v>
      </c>
      <c r="H84" s="50"/>
      <c r="I84" s="73">
        <f>+SUM(I82:I82)</f>
        <v>8400</v>
      </c>
      <c r="J84" s="50"/>
    </row>
    <row r="85" spans="1:10" x14ac:dyDescent="0.35">
      <c r="C85" s="7"/>
      <c r="D85" s="17"/>
      <c r="E85" s="22"/>
      <c r="F85" s="17"/>
      <c r="G85" s="22"/>
      <c r="H85" s="17"/>
      <c r="I85" s="22"/>
      <c r="J85" s="22"/>
    </row>
    <row r="86" spans="1:10" x14ac:dyDescent="0.35">
      <c r="A86" s="7"/>
      <c r="B86" s="34" t="s">
        <v>46</v>
      </c>
      <c r="C86" s="35">
        <f>+C79-C84</f>
        <v>1800</v>
      </c>
      <c r="D86" s="36">
        <f>+IFERROR((E86-C86)/C86,0)</f>
        <v>8.6111111111111107</v>
      </c>
      <c r="E86" s="35">
        <f>+E79-E84</f>
        <v>17300</v>
      </c>
      <c r="F86" s="36">
        <f>+IFERROR((G86-E86)/E86,0)</f>
        <v>1.0982658959537572</v>
      </c>
      <c r="G86" s="67">
        <f>+G79-G84</f>
        <v>36300</v>
      </c>
      <c r="H86" s="50"/>
      <c r="I86" s="74">
        <f>+I79-I84</f>
        <v>53600</v>
      </c>
      <c r="J86" s="50"/>
    </row>
    <row r="87" spans="1:10" x14ac:dyDescent="0.35">
      <c r="B87" s="52" t="s">
        <v>58</v>
      </c>
      <c r="C87" s="53">
        <f>+C86/C59</f>
        <v>1.2E-2</v>
      </c>
      <c r="D87" s="54"/>
      <c r="E87" s="53">
        <f>+E86/E59</f>
        <v>9.8857142857142852E-2</v>
      </c>
      <c r="F87" s="54"/>
      <c r="G87" s="53">
        <f>+G86/G59</f>
        <v>0.17750611246943765</v>
      </c>
      <c r="H87" s="75"/>
      <c r="I87" s="53">
        <f>+I86/I59</f>
        <v>0.14123847167325429</v>
      </c>
      <c r="J87" s="53"/>
    </row>
    <row r="88" spans="1:10" x14ac:dyDescent="0.35">
      <c r="A88" s="18"/>
      <c r="B88" s="86" t="s">
        <v>40</v>
      </c>
      <c r="C88" s="87"/>
      <c r="D88" s="87"/>
      <c r="E88" s="87"/>
      <c r="F88" s="87"/>
      <c r="G88" s="87"/>
    </row>
    <row r="89" spans="1:10" x14ac:dyDescent="0.35">
      <c r="B89" s="8" t="s">
        <v>43</v>
      </c>
      <c r="C89" s="9">
        <v>2000</v>
      </c>
      <c r="D89" s="10">
        <f>+IFERROR((E89-C89)/C89,0)</f>
        <v>3.05</v>
      </c>
      <c r="E89" s="9">
        <f>+'Pres. Financiero'!C18</f>
        <v>8100</v>
      </c>
      <c r="F89" s="10">
        <f>+IFERROR((#REF!-E89)/E89,0)</f>
        <v>0</v>
      </c>
      <c r="G89" s="60">
        <f>+'Pres. Financiero'!E18</f>
        <v>11045</v>
      </c>
      <c r="H89" s="7"/>
      <c r="I89" s="69">
        <f t="shared" ref="I89:I90" si="4">+E89+G89</f>
        <v>19145</v>
      </c>
      <c r="J89" s="7"/>
    </row>
    <row r="90" spans="1:10" x14ac:dyDescent="0.35">
      <c r="B90" s="8" t="s">
        <v>44</v>
      </c>
      <c r="C90" s="9">
        <v>5000</v>
      </c>
      <c r="D90" s="10">
        <f>+IFERROR((E90-C90)/C90,0)</f>
        <v>-0.51</v>
      </c>
      <c r="E90" s="9">
        <f>+'Pres. Financiero'!C19</f>
        <v>2450</v>
      </c>
      <c r="F90" s="10">
        <f>+IFERROR((#REF!-E90)/E90,0)</f>
        <v>0</v>
      </c>
      <c r="G90" s="60">
        <f>+'Pres. Financiero'!E19</f>
        <v>2730</v>
      </c>
      <c r="H90" s="7"/>
      <c r="I90" s="69">
        <f t="shared" si="4"/>
        <v>5180</v>
      </c>
      <c r="J90" s="7"/>
    </row>
    <row r="91" spans="1:10" x14ac:dyDescent="0.35">
      <c r="A91" s="7"/>
      <c r="C91" s="44"/>
      <c r="D91" s="17"/>
      <c r="E91" s="44"/>
      <c r="F91" s="17"/>
      <c r="G91" s="44"/>
      <c r="H91" s="76"/>
      <c r="I91" s="44"/>
      <c r="J91" s="44"/>
    </row>
    <row r="92" spans="1:10" x14ac:dyDescent="0.35">
      <c r="A92" s="7"/>
      <c r="B92" s="31" t="s">
        <v>45</v>
      </c>
      <c r="C92" s="32">
        <f>+SUM(C89:C90)</f>
        <v>7000</v>
      </c>
      <c r="D92" s="33">
        <f>+(E92-C92)/C92</f>
        <v>0.50714285714285712</v>
      </c>
      <c r="E92" s="32">
        <f>+SUM(E89:E90)</f>
        <v>10550</v>
      </c>
      <c r="F92" s="33">
        <f>+(G92-E92)/E92</f>
        <v>0.30568720379146919</v>
      </c>
      <c r="G92" s="32">
        <f>+SUM(G89:G90)</f>
        <v>13775</v>
      </c>
      <c r="H92" s="50"/>
      <c r="I92" s="73">
        <f t="shared" ref="I92" si="5">+E92+G92</f>
        <v>24325</v>
      </c>
      <c r="J92" s="50"/>
    </row>
    <row r="93" spans="1:10" x14ac:dyDescent="0.35">
      <c r="D93" s="17"/>
      <c r="F93" s="17"/>
    </row>
    <row r="94" spans="1:10" x14ac:dyDescent="0.35">
      <c r="A94" s="18"/>
      <c r="B94" s="86" t="s">
        <v>47</v>
      </c>
      <c r="C94" s="87"/>
      <c r="D94" s="87"/>
      <c r="E94" s="87"/>
      <c r="F94" s="87"/>
      <c r="G94" s="87"/>
    </row>
    <row r="95" spans="1:10" x14ac:dyDescent="0.35">
      <c r="B95" s="8" t="s">
        <v>48</v>
      </c>
      <c r="C95" s="9">
        <f>+(C86+C92)*0.2</f>
        <v>1760</v>
      </c>
      <c r="D95" s="10">
        <f>+IFERROR((E95-C95)/C95,0)</f>
        <v>2.1647727272727271</v>
      </c>
      <c r="E95" s="9">
        <f>+(E86+E92)*0.2</f>
        <v>5570</v>
      </c>
      <c r="F95" s="10">
        <f>+IFERROR((#REF!-E95)/E95,0)</f>
        <v>0</v>
      </c>
      <c r="G95" s="60">
        <f>+(G86+G92)*0.2</f>
        <v>10015</v>
      </c>
      <c r="H95" s="7"/>
      <c r="I95" s="69">
        <f t="shared" ref="I95" si="6">+E95+G95</f>
        <v>15585</v>
      </c>
      <c r="J95" s="7"/>
    </row>
    <row r="96" spans="1:10" x14ac:dyDescent="0.35">
      <c r="A96" s="7"/>
      <c r="C96" s="44"/>
      <c r="D96" s="17"/>
      <c r="E96" s="44"/>
      <c r="F96" s="17"/>
      <c r="G96" s="44"/>
      <c r="H96" s="76"/>
      <c r="I96" s="44"/>
      <c r="J96" s="44"/>
    </row>
    <row r="97" spans="1:10" x14ac:dyDescent="0.35">
      <c r="A97" s="7"/>
      <c r="B97" s="31" t="s">
        <v>49</v>
      </c>
      <c r="C97" s="32">
        <f>+SUM(C95:C95)</f>
        <v>1760</v>
      </c>
      <c r="D97" s="33">
        <f>+(E97-C97)/C97</f>
        <v>2.1647727272727271</v>
      </c>
      <c r="E97" s="32">
        <f>+SUM(E95:E95)</f>
        <v>5570</v>
      </c>
      <c r="F97" s="33">
        <f>+(G97-E97)/E97</f>
        <v>0.79802513464991021</v>
      </c>
      <c r="G97" s="66">
        <f>+SUM(G95:G95)</f>
        <v>10015</v>
      </c>
      <c r="H97" s="50"/>
      <c r="I97" s="73">
        <f t="shared" ref="I97" si="7">+E97+G97</f>
        <v>15585</v>
      </c>
      <c r="J97" s="50"/>
    </row>
    <row r="98" spans="1:10" x14ac:dyDescent="0.35">
      <c r="B98" s="37"/>
      <c r="D98" s="17"/>
      <c r="F98" s="17"/>
    </row>
    <row r="99" spans="1:10" x14ac:dyDescent="0.35">
      <c r="A99" s="7"/>
      <c r="B99" s="34" t="s">
        <v>50</v>
      </c>
      <c r="C99" s="35">
        <f>+C86+C92-C97</f>
        <v>7040</v>
      </c>
      <c r="D99" s="36">
        <f>+(E99-C99)/C99</f>
        <v>2.1647727272727271</v>
      </c>
      <c r="E99" s="35">
        <f>+E86+E92-E97</f>
        <v>22280</v>
      </c>
      <c r="F99" s="36">
        <f>+(G99-E99)/E99</f>
        <v>0.79802513464991021</v>
      </c>
      <c r="G99" s="67">
        <f>+G86+G92-G97</f>
        <v>40060</v>
      </c>
      <c r="H99" s="50"/>
      <c r="I99" s="74">
        <f t="shared" ref="I99" si="8">+E99+G99</f>
        <v>62340</v>
      </c>
      <c r="J99" s="50"/>
    </row>
    <row r="100" spans="1:10" x14ac:dyDescent="0.35">
      <c r="B100" s="52" t="s">
        <v>59</v>
      </c>
      <c r="C100" s="55">
        <f>+C99/C59</f>
        <v>4.6933333333333334E-2</v>
      </c>
      <c r="D100" s="56"/>
      <c r="E100" s="55">
        <f>+E99/E59</f>
        <v>0.12731428571428571</v>
      </c>
      <c r="F100" s="56"/>
      <c r="G100" s="55">
        <f>+G99/G59</f>
        <v>0.19589242053789732</v>
      </c>
      <c r="H100" s="56"/>
      <c r="I100" s="55">
        <f>+I99/I59</f>
        <v>0.1642687747035573</v>
      </c>
      <c r="J100" s="55"/>
    </row>
    <row r="101" spans="1:10" x14ac:dyDescent="0.35">
      <c r="D101" s="17"/>
      <c r="F101" s="17"/>
    </row>
    <row r="102" spans="1:10" x14ac:dyDescent="0.35">
      <c r="D102" s="17"/>
      <c r="E102" s="40"/>
      <c r="F102" s="17"/>
    </row>
    <row r="103" spans="1:10" x14ac:dyDescent="0.35">
      <c r="D103" s="17"/>
      <c r="F103" s="17"/>
    </row>
    <row r="104" spans="1:10" x14ac:dyDescent="0.35">
      <c r="D104" s="17"/>
      <c r="E104" s="40"/>
      <c r="F104" s="17"/>
    </row>
    <row r="105" spans="1:10" x14ac:dyDescent="0.35">
      <c r="D105" s="17"/>
      <c r="F105" s="17"/>
    </row>
    <row r="106" spans="1:10" x14ac:dyDescent="0.35">
      <c r="A106" s="38"/>
      <c r="B106" s="38"/>
      <c r="D106" s="17"/>
      <c r="F106" s="17"/>
    </row>
    <row r="107" spans="1:10" x14ac:dyDescent="0.35">
      <c r="D107" s="17"/>
      <c r="F107" s="17"/>
    </row>
    <row r="108" spans="1:10" x14ac:dyDescent="0.35">
      <c r="D108" s="17"/>
      <c r="F108" s="17"/>
    </row>
    <row r="109" spans="1:10" x14ac:dyDescent="0.35">
      <c r="D109" s="17"/>
      <c r="F109" s="17"/>
    </row>
    <row r="110" spans="1:10" x14ac:dyDescent="0.35">
      <c r="D110" s="17"/>
      <c r="F110" s="17"/>
    </row>
    <row r="111" spans="1:10" x14ac:dyDescent="0.35">
      <c r="D111" s="17"/>
      <c r="F111" s="17"/>
    </row>
    <row r="112" spans="1:10" x14ac:dyDescent="0.35">
      <c r="D112" s="17"/>
      <c r="F112" s="17"/>
    </row>
    <row r="113" spans="4:6" x14ac:dyDescent="0.35">
      <c r="D113" s="17"/>
      <c r="F113" s="17"/>
    </row>
    <row r="114" spans="4:6" x14ac:dyDescent="0.35">
      <c r="D114" s="17"/>
      <c r="F114" s="17"/>
    </row>
    <row r="115" spans="4:6" x14ac:dyDescent="0.35">
      <c r="D115" s="17"/>
      <c r="F115" s="17"/>
    </row>
    <row r="116" spans="4:6" x14ac:dyDescent="0.35">
      <c r="D116" s="17"/>
      <c r="F116" s="17"/>
    </row>
    <row r="117" spans="4:6" x14ac:dyDescent="0.35">
      <c r="D117" s="17"/>
      <c r="F117" s="17"/>
    </row>
  </sheetData>
  <mergeCells count="15">
    <mergeCell ref="B88:G88"/>
    <mergeCell ref="B94:G94"/>
    <mergeCell ref="B81:G81"/>
    <mergeCell ref="B4:I4"/>
    <mergeCell ref="B71:G71"/>
    <mergeCell ref="B61:G61"/>
    <mergeCell ref="B52:G52"/>
    <mergeCell ref="B53:G53"/>
    <mergeCell ref="B40:G40"/>
    <mergeCell ref="B35:G35"/>
    <mergeCell ref="B26:G26"/>
    <mergeCell ref="B5:G5"/>
    <mergeCell ref="B19:G19"/>
    <mergeCell ref="B13:G13"/>
    <mergeCell ref="B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FD54-E6AB-4141-B4CF-5060CE9EB536}">
  <dimension ref="A1:H32"/>
  <sheetViews>
    <sheetView zoomScale="90" zoomScaleNormal="90" zoomScaleSheetLayoutView="100" workbookViewId="0">
      <pane ySplit="6" topLeftCell="A7" activePane="bottomLeft" state="frozen"/>
      <selection pane="bottomLeft" activeCell="E11" sqref="E11"/>
    </sheetView>
  </sheetViews>
  <sheetFormatPr baseColWidth="10" defaultColWidth="11.453125" defaultRowHeight="14.5" x14ac:dyDescent="0.35"/>
  <cols>
    <col min="1" max="1" width="14.26953125" style="1" bestFit="1" customWidth="1"/>
    <col min="2" max="2" width="71" style="1" bestFit="1" customWidth="1"/>
    <col min="3" max="3" width="14.54296875" style="1" bestFit="1" customWidth="1"/>
    <col min="4" max="4" width="12.7265625" style="22" customWidth="1"/>
    <col min="5" max="5" width="14.54296875" style="1" bestFit="1" customWidth="1"/>
    <col min="6" max="7" width="14.54296875" style="1" customWidth="1"/>
    <col min="8" max="8" width="3.90625" style="1" customWidth="1"/>
    <col min="9" max="16384" width="11.453125" style="1"/>
  </cols>
  <sheetData>
    <row r="1" spans="1:8" x14ac:dyDescent="0.35">
      <c r="D1" s="17"/>
    </row>
    <row r="2" spans="1:8" x14ac:dyDescent="0.35">
      <c r="D2" s="17"/>
    </row>
    <row r="3" spans="1:8" x14ac:dyDescent="0.35">
      <c r="D3" s="17"/>
    </row>
    <row r="4" spans="1:8" x14ac:dyDescent="0.35">
      <c r="B4" s="88" t="s">
        <v>60</v>
      </c>
      <c r="C4" s="88"/>
      <c r="D4" s="88"/>
      <c r="E4" s="88"/>
      <c r="F4" s="88"/>
      <c r="G4" s="88"/>
      <c r="H4" s="88"/>
    </row>
    <row r="5" spans="1:8" x14ac:dyDescent="0.35">
      <c r="B5" s="95">
        <v>2024</v>
      </c>
      <c r="C5" s="96"/>
      <c r="D5" s="96"/>
      <c r="E5" s="96"/>
      <c r="F5" s="57"/>
      <c r="G5" s="57"/>
      <c r="H5" s="5"/>
    </row>
    <row r="6" spans="1:8" x14ac:dyDescent="0.35">
      <c r="A6" s="2"/>
      <c r="B6" s="3" t="s">
        <v>0</v>
      </c>
      <c r="C6" s="51" t="s">
        <v>13</v>
      </c>
      <c r="D6" s="4" t="s">
        <v>1</v>
      </c>
      <c r="E6" s="59" t="s">
        <v>14</v>
      </c>
      <c r="F6" s="58" t="s">
        <v>74</v>
      </c>
      <c r="G6" s="58"/>
      <c r="H6" s="47"/>
    </row>
    <row r="7" spans="1:8" x14ac:dyDescent="0.35">
      <c r="A7" s="2"/>
      <c r="B7" s="5"/>
      <c r="C7" s="5"/>
      <c r="D7" s="6"/>
      <c r="E7" s="5"/>
      <c r="F7" s="5"/>
      <c r="G7" s="5"/>
      <c r="H7" s="5"/>
    </row>
    <row r="8" spans="1:8" x14ac:dyDescent="0.35">
      <c r="A8" s="7"/>
      <c r="B8" s="105" t="s">
        <v>9</v>
      </c>
      <c r="C8" s="105"/>
      <c r="D8" s="105"/>
    </row>
    <row r="9" spans="1:8" x14ac:dyDescent="0.35">
      <c r="A9" s="7"/>
      <c r="B9" s="101" t="s">
        <v>61</v>
      </c>
      <c r="C9" s="102"/>
      <c r="D9" s="102"/>
    </row>
    <row r="10" spans="1:8" x14ac:dyDescent="0.35">
      <c r="A10" s="7"/>
      <c r="B10" s="8" t="s">
        <v>62</v>
      </c>
      <c r="C10" s="9">
        <v>130000</v>
      </c>
      <c r="D10" s="10">
        <f>+(E10-C10)/C10</f>
        <v>0.26961538461538459</v>
      </c>
      <c r="E10" s="9">
        <f>+C11</f>
        <v>165050</v>
      </c>
      <c r="F10" s="7"/>
      <c r="G10" s="7"/>
      <c r="H10" s="7"/>
    </row>
    <row r="11" spans="1:8" x14ac:dyDescent="0.35">
      <c r="A11" s="7"/>
      <c r="B11" s="8" t="s">
        <v>63</v>
      </c>
      <c r="C11" s="9">
        <f>+C31</f>
        <v>165050</v>
      </c>
      <c r="D11" s="10">
        <f>+(E11-C11)/C11</f>
        <v>0.24886398061193576</v>
      </c>
      <c r="E11" s="9">
        <f>+E31</f>
        <v>206125</v>
      </c>
      <c r="F11" s="7"/>
      <c r="G11" s="7"/>
      <c r="H11" s="7"/>
    </row>
    <row r="12" spans="1:8" x14ac:dyDescent="0.35">
      <c r="A12" s="7"/>
      <c r="C12" s="42"/>
      <c r="D12" s="17"/>
      <c r="E12" s="42"/>
      <c r="F12" s="42"/>
      <c r="G12" s="42"/>
      <c r="H12" s="42"/>
    </row>
    <row r="13" spans="1:8" x14ac:dyDescent="0.35">
      <c r="A13" s="18"/>
      <c r="B13" s="103" t="s">
        <v>64</v>
      </c>
      <c r="C13" s="104"/>
      <c r="D13" s="104"/>
    </row>
    <row r="14" spans="1:8" x14ac:dyDescent="0.35">
      <c r="B14" s="8" t="s">
        <v>65</v>
      </c>
      <c r="C14" s="80">
        <f>+'Bce. Proy + Pres. Económico'!C20</f>
        <v>150000</v>
      </c>
      <c r="D14" s="10">
        <f>+(E14-C14)/C14</f>
        <v>0.16666666666666666</v>
      </c>
      <c r="E14" s="80">
        <f>+'Bce. Proy + Pres. Económico'!E59</f>
        <v>175000</v>
      </c>
      <c r="F14" s="81">
        <f>+'Bce. Proy + Pres. Económico'!G59</f>
        <v>204500</v>
      </c>
      <c r="G14" s="81" t="s">
        <v>82</v>
      </c>
      <c r="H14" s="7"/>
    </row>
    <row r="15" spans="1:8" x14ac:dyDescent="0.35">
      <c r="B15" s="8" t="s">
        <v>66</v>
      </c>
      <c r="C15" s="79">
        <v>0</v>
      </c>
      <c r="D15" s="85" t="s">
        <v>85</v>
      </c>
      <c r="E15" s="79">
        <f>+'Bce. Proy + Pres. Económico'!C36</f>
        <v>20000</v>
      </c>
      <c r="F15" s="82">
        <f>+'Bce. Proy + Pres. Económico'!E65+'Bce. Proy + Pres. Económico'!G65</f>
        <v>69300</v>
      </c>
      <c r="G15" s="82" t="s">
        <v>28</v>
      </c>
      <c r="H15" s="7"/>
    </row>
    <row r="16" spans="1:8" x14ac:dyDescent="0.35">
      <c r="A16" s="40"/>
      <c r="B16" s="8" t="s">
        <v>67</v>
      </c>
      <c r="C16" s="79">
        <f>+'Bce. Proy + Pres. Económico'!E62+'Bce. Proy + Pres. Económico'!E72+'Bce. Proy + Pres. Económico'!C42</f>
        <v>77500</v>
      </c>
      <c r="D16" s="10">
        <f>+(E16-C16)/C16</f>
        <v>-3.0645161290322579E-2</v>
      </c>
      <c r="E16" s="79">
        <f>+'Bce. Proy + Pres. Económico'!G62+'Bce. Proy + Pres. Económico'!G72</f>
        <v>75125</v>
      </c>
      <c r="F16" s="7"/>
      <c r="G16" s="7"/>
      <c r="H16" s="7"/>
    </row>
    <row r="17" spans="1:8" x14ac:dyDescent="0.35">
      <c r="B17" s="8" t="s">
        <v>68</v>
      </c>
      <c r="C17" s="79">
        <f>+'Bce. Proy + Pres. Económico'!E63+'Bce. Proy + Pres. Económico'!E64+'Bce. Proy + Pres. Económico'!E73+'Bce. Proy + Pres. Económico'!E74+'Bce. Proy + Pres. Económico'!E75</f>
        <v>48000</v>
      </c>
      <c r="D17" s="10">
        <f>+(E17-C17)/C17</f>
        <v>9.5312499999999994E-2</v>
      </c>
      <c r="E17" s="79">
        <f>+'Bce. Proy + Pres. Económico'!G63+'Bce. Proy + Pres. Económico'!G64+'Bce. Proy + Pres. Económico'!G73+'Bce. Proy + Pres. Económico'!G74+'Bce. Proy + Pres. Económico'!G75</f>
        <v>52575</v>
      </c>
      <c r="F17" s="7"/>
      <c r="G17" s="7"/>
      <c r="H17" s="7"/>
    </row>
    <row r="18" spans="1:8" x14ac:dyDescent="0.35">
      <c r="B18" s="8" t="s">
        <v>70</v>
      </c>
      <c r="C18" s="80">
        <f>+C26*0.1</f>
        <v>8100</v>
      </c>
      <c r="D18" s="10">
        <f>+(E18-C18)/C18</f>
        <v>0.36358024691358026</v>
      </c>
      <c r="E18" s="80">
        <f>+E26*0.1</f>
        <v>11045</v>
      </c>
      <c r="F18" s="7"/>
      <c r="G18" s="7"/>
      <c r="H18" s="7"/>
    </row>
    <row r="19" spans="1:8" x14ac:dyDescent="0.35">
      <c r="B19" s="8" t="s">
        <v>71</v>
      </c>
      <c r="C19" s="80">
        <f>+C27*0.05</f>
        <v>2450</v>
      </c>
      <c r="D19" s="10">
        <f>+(E19-C19)/C19</f>
        <v>0.11428571428571428</v>
      </c>
      <c r="E19" s="80">
        <f>+E27*0.05</f>
        <v>2730</v>
      </c>
      <c r="F19" s="7"/>
      <c r="G19" s="7"/>
      <c r="H19" s="7"/>
    </row>
    <row r="20" spans="1:8" x14ac:dyDescent="0.35">
      <c r="A20" s="7"/>
      <c r="C20" s="7">
        <f>+C14-SUM(C15:C17)</f>
        <v>24500</v>
      </c>
      <c r="D20" s="17"/>
      <c r="E20" s="7">
        <f>+E14-SUM(E15:E17)</f>
        <v>27300</v>
      </c>
      <c r="F20" s="7"/>
      <c r="G20" s="7"/>
      <c r="H20" s="7"/>
    </row>
    <row r="21" spans="1:8" x14ac:dyDescent="0.35">
      <c r="A21" s="7" t="s">
        <v>78</v>
      </c>
      <c r="B21" s="31" t="s">
        <v>69</v>
      </c>
      <c r="C21" s="32">
        <f>+C14-SUM(C15:C17)+SUM(C18:C19)</f>
        <v>35050</v>
      </c>
      <c r="D21" s="33">
        <f>+(E21-C21)/C21</f>
        <v>0.17189728958630529</v>
      </c>
      <c r="E21" s="32">
        <f>+E14-SUM(E15:E17)+SUM(E18:E19)</f>
        <v>41075</v>
      </c>
      <c r="F21" s="50"/>
      <c r="G21" s="50"/>
      <c r="H21" s="50"/>
    </row>
    <row r="22" spans="1:8" x14ac:dyDescent="0.35">
      <c r="C22" s="22"/>
      <c r="D22" s="17"/>
      <c r="E22" s="22"/>
      <c r="F22" s="22"/>
      <c r="G22" s="22"/>
      <c r="H22" s="17"/>
    </row>
    <row r="23" spans="1:8" x14ac:dyDescent="0.35">
      <c r="A23" s="7"/>
      <c r="B23" s="34" t="s">
        <v>81</v>
      </c>
      <c r="C23" s="35">
        <f>+(SUM(C14)-SUM(C15:C17))*2</f>
        <v>49000</v>
      </c>
      <c r="D23" s="36">
        <f>+(E23-C23)/C23</f>
        <v>0.11428571428571428</v>
      </c>
      <c r="E23" s="35">
        <f>+(SUM(E14)-SUM(E15:E17))*2</f>
        <v>54600</v>
      </c>
      <c r="F23" s="50"/>
      <c r="G23" s="50"/>
      <c r="H23" s="50"/>
    </row>
    <row r="24" spans="1:8" customFormat="1" x14ac:dyDescent="0.35">
      <c r="A24" s="83"/>
      <c r="B24" s="84"/>
      <c r="C24" s="48"/>
      <c r="D24" s="49"/>
      <c r="E24" s="48"/>
      <c r="F24" s="50"/>
      <c r="G24" s="50"/>
      <c r="H24" s="48"/>
    </row>
    <row r="25" spans="1:8" x14ac:dyDescent="0.35">
      <c r="A25" s="18"/>
      <c r="B25" s="103" t="s">
        <v>5</v>
      </c>
      <c r="C25" s="104"/>
      <c r="D25" s="104"/>
    </row>
    <row r="26" spans="1:8" x14ac:dyDescent="0.35">
      <c r="B26" s="8" t="s">
        <v>76</v>
      </c>
      <c r="C26" s="9">
        <f>+C10-C27</f>
        <v>81000</v>
      </c>
      <c r="D26" s="10">
        <f>+(E26-C26)/C26</f>
        <v>0.36358024691358026</v>
      </c>
      <c r="E26" s="9">
        <f>+E10-E27</f>
        <v>110450</v>
      </c>
      <c r="F26" s="7"/>
      <c r="G26" s="7"/>
      <c r="H26" s="7"/>
    </row>
    <row r="27" spans="1:8" x14ac:dyDescent="0.35">
      <c r="B27" s="8" t="s">
        <v>77</v>
      </c>
      <c r="C27" s="9">
        <f>+C23</f>
        <v>49000</v>
      </c>
      <c r="D27" s="10">
        <f>+(E27-C27)/C27</f>
        <v>0.11428571428571428</v>
      </c>
      <c r="E27" s="9">
        <f>+E23</f>
        <v>54600</v>
      </c>
      <c r="F27" s="7"/>
      <c r="G27" s="7"/>
      <c r="H27" s="7"/>
    </row>
    <row r="28" spans="1:8" x14ac:dyDescent="0.35">
      <c r="A28" s="7"/>
      <c r="C28" s="44"/>
      <c r="D28" s="17"/>
      <c r="E28" s="44"/>
      <c r="F28" s="44"/>
      <c r="G28" s="44"/>
      <c r="H28" s="76"/>
    </row>
    <row r="29" spans="1:8" x14ac:dyDescent="0.35">
      <c r="A29" s="7" t="s">
        <v>79</v>
      </c>
      <c r="B29" s="31" t="s">
        <v>8</v>
      </c>
      <c r="C29" s="32">
        <f>+SUM(C26:C27)</f>
        <v>130000</v>
      </c>
      <c r="D29" s="33">
        <f>+(E29-C29)/C29</f>
        <v>0.26961538461538459</v>
      </c>
      <c r="E29" s="66">
        <f>+SUM(E26:E27)</f>
        <v>165050</v>
      </c>
      <c r="F29" s="50"/>
      <c r="G29" s="50"/>
      <c r="H29" s="50"/>
    </row>
    <row r="30" spans="1:8" x14ac:dyDescent="0.35">
      <c r="C30" s="22"/>
      <c r="D30" s="17"/>
      <c r="E30" s="22"/>
      <c r="F30" s="22"/>
      <c r="G30" s="22"/>
      <c r="H30" s="17"/>
    </row>
    <row r="31" spans="1:8" x14ac:dyDescent="0.35">
      <c r="A31" s="7"/>
      <c r="B31" s="34" t="s">
        <v>80</v>
      </c>
      <c r="C31" s="35">
        <f>+C21+C29</f>
        <v>165050</v>
      </c>
      <c r="D31" s="36">
        <f>+(E31-C31)/C31</f>
        <v>0.24886398061193576</v>
      </c>
      <c r="E31" s="35">
        <f>+E21+E29</f>
        <v>206125</v>
      </c>
      <c r="F31" s="50"/>
      <c r="G31" s="50"/>
      <c r="H31" s="50"/>
    </row>
    <row r="32" spans="1:8" x14ac:dyDescent="0.35">
      <c r="A32" s="7"/>
      <c r="C32" s="44"/>
      <c r="D32" s="17"/>
      <c r="E32" s="44"/>
      <c r="F32" s="44"/>
      <c r="G32" s="44"/>
      <c r="H32" s="76"/>
    </row>
  </sheetData>
  <mergeCells count="6">
    <mergeCell ref="B9:D9"/>
    <mergeCell ref="B13:D13"/>
    <mergeCell ref="B25:D25"/>
    <mergeCell ref="B8:D8"/>
    <mergeCell ref="B4:H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Bce. Proy + Pres. Económico</vt:lpstr>
      <vt:lpstr>Pres. Financiero</vt:lpstr>
    </vt:vector>
  </TitlesOfParts>
  <Company>Prisma Medios de Pago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Lang</dc:creator>
  <cp:lastModifiedBy>Santiago Lang</cp:lastModifiedBy>
  <dcterms:created xsi:type="dcterms:W3CDTF">2022-08-04T02:21:24Z</dcterms:created>
  <dcterms:modified xsi:type="dcterms:W3CDTF">2024-04-04T23:24:22Z</dcterms:modified>
</cp:coreProperties>
</file>