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SA\Downloads\"/>
    </mc:Choice>
  </mc:AlternateContent>
  <xr:revisionPtr revIDLastSave="0" documentId="8_{D60D5CBF-8D01-4A78-A66D-62B7BDC9D8B4}" xr6:coauthVersionLast="47" xr6:coauthVersionMax="47" xr10:uidLastSave="{00000000-0000-0000-0000-000000000000}"/>
  <bookViews>
    <workbookView xWindow="75" yWindow="840" windowWidth="16335" windowHeight="10395" activeTab="1" xr2:uid="{5FB71AF3-B8FB-4678-AD4F-74B2E3D76496}"/>
  </bookViews>
  <sheets>
    <sheet name="Historico" sheetId="1" r:id="rId1"/>
    <sheet name="INVENTARIO" sheetId="5" r:id="rId2"/>
    <sheet name="ProyInventario" sheetId="6" r:id="rId3"/>
    <sheet name="Forecast" sheetId="2" r:id="rId4"/>
    <sheet name="LeadTime-Dias" sheetId="4" r:id="rId5"/>
    <sheet name="Precios-Costos" sheetId="3" r:id="rId6"/>
  </sheets>
  <definedNames>
    <definedName name="_xlnm._FilterDatabase" localSheetId="3" hidden="1">Forecast!$A$1:$M$11</definedName>
    <definedName name="_xlnm._FilterDatabase" localSheetId="0" hidden="1">Historico!$A$1:$AR$11</definedName>
    <definedName name="_xlnm._FilterDatabase" localSheetId="1" hidden="1">INVENTARIO!$A$1:$AR$11</definedName>
    <definedName name="_xlnm._FilterDatabase" localSheetId="4" hidden="1">'LeadTime-Dias'!$A$1:$B$11</definedName>
    <definedName name="_xlnm._FilterDatabase" localSheetId="5" hidden="1">'Precios-Costos'!$A$1:$C$11</definedName>
    <definedName name="_xlnm._FilterDatabase" localSheetId="2" hidden="1">ProyInventario!$A$1:$M$11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16" i="5" l="1"/>
  <c r="BA16" i="5" s="1"/>
  <c r="BB16" i="5" s="1"/>
  <c r="AZ17" i="5" s="1"/>
  <c r="BA17" i="5" s="1"/>
  <c r="BB17" i="5" s="1"/>
  <c r="AZ18" i="5" s="1"/>
  <c r="BA18" i="5" s="1"/>
  <c r="BB18" i="5" s="1"/>
  <c r="BF2" i="5"/>
  <c r="BF3" i="5"/>
  <c r="BF4" i="5"/>
  <c r="BF5" i="5"/>
  <c r="BF6" i="5"/>
  <c r="BF7" i="5"/>
  <c r="BF8" i="5"/>
  <c r="BF9" i="5"/>
  <c r="BF10" i="5"/>
  <c r="BF11" i="5"/>
  <c r="BD3" i="5"/>
  <c r="BD4" i="5"/>
  <c r="BD5" i="5"/>
  <c r="BD6" i="5"/>
  <c r="BD7" i="5"/>
  <c r="BD8" i="5"/>
  <c r="BD9" i="5"/>
  <c r="BD10" i="5"/>
  <c r="BD11" i="5"/>
  <c r="BD2" i="5"/>
  <c r="AY3" i="5"/>
  <c r="AZ3" i="5"/>
  <c r="AY4" i="5"/>
  <c r="AZ4" i="5"/>
  <c r="AY5" i="5"/>
  <c r="AZ5" i="5"/>
  <c r="AY6" i="5"/>
  <c r="AZ6" i="5"/>
  <c r="AY7" i="5"/>
  <c r="AZ7" i="5"/>
  <c r="AY8" i="5"/>
  <c r="AZ8" i="5"/>
  <c r="AY9" i="5"/>
  <c r="AZ9" i="5"/>
  <c r="AY10" i="5"/>
  <c r="AZ10" i="5"/>
  <c r="AY11" i="5"/>
  <c r="AZ11" i="5"/>
  <c r="AY2" i="5"/>
  <c r="AZ2" i="5"/>
  <c r="BA3" i="1"/>
  <c r="BA4" i="1"/>
  <c r="BA5" i="1"/>
  <c r="BA6" i="1"/>
  <c r="BA7" i="1"/>
  <c r="BA8" i="1"/>
  <c r="BA9" i="1"/>
  <c r="BA10" i="1"/>
  <c r="BA11" i="1"/>
  <c r="BA2" i="1"/>
  <c r="BE2" i="1"/>
  <c r="BE1" i="1"/>
  <c r="AZ3" i="1"/>
  <c r="AZ4" i="1"/>
  <c r="AZ5" i="1"/>
  <c r="AZ6" i="1"/>
  <c r="AZ7" i="1"/>
  <c r="AZ8" i="1"/>
  <c r="AZ9" i="1"/>
  <c r="AZ10" i="1"/>
  <c r="AZ11" i="1"/>
  <c r="AZ2" i="1"/>
  <c r="BB11" i="5"/>
  <c r="BA11" i="5"/>
  <c r="BB10" i="5"/>
  <c r="BA10" i="5"/>
  <c r="BB9" i="5"/>
  <c r="BA9" i="5"/>
  <c r="BB8" i="5"/>
  <c r="BA8" i="5"/>
  <c r="BB7" i="5"/>
  <c r="BA7" i="5"/>
  <c r="BB6" i="5"/>
  <c r="BA6" i="5"/>
  <c r="BB5" i="5"/>
  <c r="BA5" i="5"/>
  <c r="BB4" i="5"/>
  <c r="BA4" i="5"/>
  <c r="BB3" i="5"/>
  <c r="BA3" i="5"/>
  <c r="BB2" i="5"/>
  <c r="BA2" i="5"/>
  <c r="AY3" i="1"/>
  <c r="AY4" i="1"/>
  <c r="AY5" i="1"/>
  <c r="AY6" i="1"/>
  <c r="AY7" i="1"/>
  <c r="AY8" i="1"/>
  <c r="AY9" i="1"/>
  <c r="AY10" i="1"/>
  <c r="AY11" i="1"/>
  <c r="AY2" i="1"/>
  <c r="AX3" i="1"/>
  <c r="AX4" i="1"/>
  <c r="AX5" i="1"/>
  <c r="AX6" i="1"/>
  <c r="AX7" i="1"/>
  <c r="AX8" i="1"/>
  <c r="AX9" i="1"/>
  <c r="AX10" i="1"/>
  <c r="AX11" i="1"/>
  <c r="AX2" i="1"/>
  <c r="V3" i="2"/>
  <c r="V4" i="2"/>
  <c r="V5" i="2"/>
  <c r="V6" i="2"/>
  <c r="V7" i="2"/>
  <c r="V8" i="2"/>
  <c r="V9" i="2"/>
  <c r="V10" i="2"/>
  <c r="V11" i="2"/>
  <c r="V2" i="2"/>
  <c r="U4" i="2"/>
  <c r="U5" i="2"/>
  <c r="U6" i="2"/>
  <c r="U7" i="2"/>
  <c r="U8" i="2" s="1"/>
  <c r="U9" i="2" s="1"/>
  <c r="U10" i="2" s="1"/>
  <c r="U11" i="2" s="1"/>
  <c r="U3" i="2"/>
  <c r="U2" i="2"/>
  <c r="T3" i="2"/>
  <c r="T4" i="2"/>
  <c r="T5" i="2"/>
  <c r="T6" i="2"/>
  <c r="T7" i="2"/>
  <c r="T8" i="2"/>
  <c r="T9" i="2"/>
  <c r="T10" i="2"/>
  <c r="T11" i="2"/>
  <c r="T2" i="2"/>
  <c r="O3" i="2"/>
  <c r="O4" i="2"/>
  <c r="O5" i="2"/>
  <c r="O6" i="2"/>
  <c r="O7" i="2"/>
  <c r="O8" i="2"/>
  <c r="O9" i="2"/>
  <c r="O10" i="2"/>
  <c r="O11" i="2"/>
  <c r="O2" i="2"/>
  <c r="BA26" i="5" l="1" a="1"/>
  <c r="BA26" i="5" s="1"/>
  <c r="BC9" i="5" s="1"/>
  <c r="BE9" i="5" s="1"/>
  <c r="BG9" i="5" s="1"/>
  <c r="BH9" i="5" s="1"/>
  <c r="BI9" i="5" s="1"/>
  <c r="K23" i="6" s="1"/>
  <c r="K37" i="6" s="1"/>
  <c r="BA20" i="5" a="1"/>
  <c r="BC7" i="5"/>
  <c r="BE7" i="5" s="1"/>
  <c r="BG7" i="5" s="1"/>
  <c r="BH7" i="5" s="1"/>
  <c r="BI7" i="5" s="1"/>
  <c r="G21" i="6" s="1"/>
  <c r="G35" i="6" s="1"/>
  <c r="BA23" i="5" a="1"/>
  <c r="BC10" i="5"/>
  <c r="BE10" i="5" s="1"/>
  <c r="BG10" i="5" s="1"/>
  <c r="BH10" i="5" s="1"/>
  <c r="BI10" i="5" s="1"/>
  <c r="D24" i="6" s="1"/>
  <c r="D38" i="6" s="1"/>
  <c r="C23" i="6"/>
  <c r="C37" i="6" s="1"/>
  <c r="G23" i="6"/>
  <c r="G37" i="6" s="1"/>
  <c r="E23" i="6"/>
  <c r="E37" i="6" s="1"/>
  <c r="M23" i="6"/>
  <c r="M37" i="6" s="1"/>
  <c r="J23" i="6"/>
  <c r="J37" i="6" s="1"/>
  <c r="H23" i="6"/>
  <c r="H37" i="6" s="1"/>
  <c r="L23" i="6"/>
  <c r="L37" i="6" s="1"/>
  <c r="I23" i="6"/>
  <c r="I37" i="6" s="1"/>
  <c r="B23" i="6"/>
  <c r="B37" i="6" s="1"/>
  <c r="M21" i="6"/>
  <c r="M35" i="6" s="1"/>
  <c r="D21" i="6"/>
  <c r="D35" i="6" s="1"/>
  <c r="J21" i="6" l="1"/>
  <c r="J35" i="6" s="1"/>
  <c r="F21" i="6"/>
  <c r="F35" i="6" s="1"/>
  <c r="F23" i="6"/>
  <c r="F37" i="6" s="1"/>
  <c r="D23" i="6"/>
  <c r="D37" i="6" s="1"/>
  <c r="K21" i="6"/>
  <c r="K35" i="6" s="1"/>
  <c r="I21" i="6"/>
  <c r="I35" i="6" s="1"/>
  <c r="C21" i="6"/>
  <c r="C35" i="6" s="1"/>
  <c r="H21" i="6"/>
  <c r="H35" i="6" s="1"/>
  <c r="E21" i="6"/>
  <c r="E35" i="6" s="1"/>
  <c r="L21" i="6"/>
  <c r="L35" i="6" s="1"/>
  <c r="B21" i="6"/>
  <c r="B35" i="6" s="1"/>
  <c r="C24" i="6"/>
  <c r="C38" i="6" s="1"/>
  <c r="E24" i="6"/>
  <c r="E38" i="6" s="1"/>
  <c r="L24" i="6"/>
  <c r="L38" i="6" s="1"/>
  <c r="F24" i="6"/>
  <c r="F38" i="6" s="1"/>
  <c r="G24" i="6"/>
  <c r="G38" i="6" s="1"/>
  <c r="H24" i="6"/>
  <c r="H38" i="6" s="1"/>
  <c r="K24" i="6"/>
  <c r="K38" i="6" s="1"/>
  <c r="I24" i="6"/>
  <c r="I38" i="6" s="1"/>
  <c r="B24" i="6"/>
  <c r="B38" i="6" s="1"/>
  <c r="BA23" i="5"/>
  <c r="BC2" i="5" s="1"/>
  <c r="BE2" i="5" s="1"/>
  <c r="BG2" i="5" s="1"/>
  <c r="BH2" i="5" s="1"/>
  <c r="BI2" i="5" s="1"/>
  <c r="G16" i="6" s="1"/>
  <c r="BC6" i="5"/>
  <c r="BE6" i="5" s="1"/>
  <c r="BG6" i="5" s="1"/>
  <c r="BH6" i="5" s="1"/>
  <c r="BI6" i="5" s="1"/>
  <c r="BC11" i="5"/>
  <c r="BE11" i="5" s="1"/>
  <c r="BG11" i="5" s="1"/>
  <c r="BH11" i="5" s="1"/>
  <c r="BI11" i="5" s="1"/>
  <c r="M24" i="6"/>
  <c r="M38" i="6" s="1"/>
  <c r="J24" i="6"/>
  <c r="J38" i="6" s="1"/>
  <c r="BA20" i="5"/>
  <c r="BC3" i="5" s="1"/>
  <c r="BE3" i="5" s="1"/>
  <c r="BG3" i="5" s="1"/>
  <c r="BH3" i="5" s="1"/>
  <c r="BI3" i="5" s="1"/>
  <c r="BC5" i="5"/>
  <c r="BE5" i="5" s="1"/>
  <c r="BG5" i="5" s="1"/>
  <c r="BH5" i="5" s="1"/>
  <c r="BI5" i="5" s="1"/>
  <c r="BC4" i="5"/>
  <c r="BE4" i="5" s="1"/>
  <c r="BG4" i="5" s="1"/>
  <c r="BH4" i="5" s="1"/>
  <c r="BI4" i="5" s="1"/>
  <c r="BC8" i="5"/>
  <c r="BE8" i="5" s="1"/>
  <c r="BG8" i="5" s="1"/>
  <c r="BH8" i="5" s="1"/>
  <c r="BI8" i="5" s="1"/>
  <c r="C16" i="6"/>
  <c r="E16" i="6"/>
  <c r="L16" i="6"/>
  <c r="J16" i="6"/>
  <c r="H16" i="6" l="1"/>
  <c r="F16" i="6"/>
  <c r="F30" i="6" s="1"/>
  <c r="M16" i="6"/>
  <c r="M30" i="6" s="1"/>
  <c r="D16" i="6"/>
  <c r="D30" i="6" s="1"/>
  <c r="K16" i="6"/>
  <c r="K30" i="6" s="1"/>
  <c r="I16" i="6"/>
  <c r="I30" i="6" s="1"/>
  <c r="B16" i="6"/>
  <c r="B30" i="6" s="1"/>
  <c r="C19" i="6"/>
  <c r="C33" i="6" s="1"/>
  <c r="F19" i="6"/>
  <c r="F33" i="6" s="1"/>
  <c r="I19" i="6"/>
  <c r="I33" i="6" s="1"/>
  <c r="E19" i="6"/>
  <c r="E33" i="6" s="1"/>
  <c r="L19" i="6"/>
  <c r="L33" i="6" s="1"/>
  <c r="B19" i="6"/>
  <c r="B33" i="6" s="1"/>
  <c r="G19" i="6"/>
  <c r="G33" i="6" s="1"/>
  <c r="D19" i="6"/>
  <c r="D33" i="6" s="1"/>
  <c r="M19" i="6"/>
  <c r="M33" i="6" s="1"/>
  <c r="K19" i="6"/>
  <c r="K33" i="6" s="1"/>
  <c r="H19" i="6"/>
  <c r="H33" i="6" s="1"/>
  <c r="J19" i="6"/>
  <c r="J33" i="6" s="1"/>
  <c r="E17" i="6"/>
  <c r="E31" i="6" s="1"/>
  <c r="H17" i="6"/>
  <c r="H31" i="6" s="1"/>
  <c r="C17" i="6"/>
  <c r="C31" i="6" s="1"/>
  <c r="D17" i="6"/>
  <c r="D31" i="6" s="1"/>
  <c r="B17" i="6"/>
  <c r="B31" i="6" s="1"/>
  <c r="L17" i="6"/>
  <c r="L31" i="6" s="1"/>
  <c r="I17" i="6"/>
  <c r="I31" i="6" s="1"/>
  <c r="F17" i="6"/>
  <c r="F31" i="6" s="1"/>
  <c r="G17" i="6"/>
  <c r="G31" i="6" s="1"/>
  <c r="M17" i="6"/>
  <c r="M31" i="6" s="1"/>
  <c r="J17" i="6"/>
  <c r="J31" i="6" s="1"/>
  <c r="K17" i="6"/>
  <c r="K31" i="6" s="1"/>
  <c r="F22" i="6"/>
  <c r="F36" i="6" s="1"/>
  <c r="E22" i="6"/>
  <c r="E36" i="6" s="1"/>
  <c r="K22" i="6"/>
  <c r="K36" i="6" s="1"/>
  <c r="J22" i="6"/>
  <c r="J36" i="6" s="1"/>
  <c r="H22" i="6"/>
  <c r="H36" i="6" s="1"/>
  <c r="C22" i="6"/>
  <c r="C36" i="6" s="1"/>
  <c r="B22" i="6"/>
  <c r="B36" i="6" s="1"/>
  <c r="G22" i="6"/>
  <c r="G36" i="6" s="1"/>
  <c r="I22" i="6"/>
  <c r="I36" i="6" s="1"/>
  <c r="M22" i="6"/>
  <c r="M36" i="6" s="1"/>
  <c r="D22" i="6"/>
  <c r="D36" i="6" s="1"/>
  <c r="L22" i="6"/>
  <c r="L36" i="6" s="1"/>
  <c r="E25" i="6"/>
  <c r="E39" i="6" s="1"/>
  <c r="D25" i="6"/>
  <c r="D39" i="6" s="1"/>
  <c r="B25" i="6"/>
  <c r="B39" i="6" s="1"/>
  <c r="M25" i="6"/>
  <c r="M39" i="6" s="1"/>
  <c r="K25" i="6"/>
  <c r="K39" i="6" s="1"/>
  <c r="G25" i="6"/>
  <c r="G39" i="6" s="1"/>
  <c r="J25" i="6"/>
  <c r="J39" i="6" s="1"/>
  <c r="H25" i="6"/>
  <c r="H39" i="6" s="1"/>
  <c r="I25" i="6"/>
  <c r="I39" i="6" s="1"/>
  <c r="L25" i="6"/>
  <c r="L39" i="6" s="1"/>
  <c r="C25" i="6"/>
  <c r="C39" i="6" s="1"/>
  <c r="F25" i="6"/>
  <c r="F39" i="6" s="1"/>
  <c r="D20" i="6"/>
  <c r="D34" i="6" s="1"/>
  <c r="J20" i="6"/>
  <c r="J34" i="6" s="1"/>
  <c r="I20" i="6"/>
  <c r="I34" i="6" s="1"/>
  <c r="B20" i="6"/>
  <c r="B34" i="6" s="1"/>
  <c r="E20" i="6"/>
  <c r="E34" i="6" s="1"/>
  <c r="G20" i="6"/>
  <c r="G34" i="6" s="1"/>
  <c r="H20" i="6"/>
  <c r="H34" i="6" s="1"/>
  <c r="C20" i="6"/>
  <c r="C34" i="6" s="1"/>
  <c r="M20" i="6"/>
  <c r="M34" i="6" s="1"/>
  <c r="L20" i="6"/>
  <c r="L34" i="6" s="1"/>
  <c r="K20" i="6"/>
  <c r="K34" i="6" s="1"/>
  <c r="F20" i="6"/>
  <c r="F34" i="6" s="1"/>
  <c r="F18" i="6"/>
  <c r="F32" i="6" s="1"/>
  <c r="C18" i="6"/>
  <c r="C32" i="6" s="1"/>
  <c r="H18" i="6"/>
  <c r="H32" i="6" s="1"/>
  <c r="E18" i="6"/>
  <c r="E32" i="6" s="1"/>
  <c r="I18" i="6"/>
  <c r="I32" i="6" s="1"/>
  <c r="D18" i="6"/>
  <c r="D32" i="6" s="1"/>
  <c r="M18" i="6"/>
  <c r="M32" i="6" s="1"/>
  <c r="J18" i="6"/>
  <c r="J32" i="6" s="1"/>
  <c r="G18" i="6"/>
  <c r="G32" i="6" s="1"/>
  <c r="L18" i="6"/>
  <c r="L32" i="6" s="1"/>
  <c r="K18" i="6"/>
  <c r="K32" i="6" s="1"/>
  <c r="B18" i="6"/>
  <c r="B32" i="6" s="1"/>
  <c r="J30" i="6"/>
  <c r="E30" i="6"/>
  <c r="H30" i="6"/>
  <c r="G30" i="6"/>
  <c r="L30" i="6"/>
  <c r="C30" i="6"/>
  <c r="L27" i="6" l="1"/>
  <c r="E27" i="6"/>
  <c r="C27" i="6"/>
  <c r="D27" i="6"/>
  <c r="H27" i="6"/>
  <c r="B27" i="6"/>
  <c r="L41" i="6"/>
  <c r="H41" i="6"/>
  <c r="E41" i="6"/>
  <c r="F27" i="6"/>
  <c r="G27" i="6"/>
  <c r="I27" i="6"/>
  <c r="K27" i="6"/>
  <c r="M41" i="6"/>
  <c r="J27" i="6"/>
  <c r="C41" i="6"/>
  <c r="B41" i="6"/>
  <c r="D41" i="6"/>
  <c r="F41" i="6"/>
  <c r="G41" i="6"/>
  <c r="I41" i="6"/>
  <c r="K41" i="6"/>
  <c r="M27" i="6"/>
  <c r="J41" i="6"/>
  <c r="B44" i="6" l="1"/>
  <c r="BG14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<sst xmlns="http://schemas.openxmlformats.org/spreadsheetml/2006/main" count="186" uniqueCount="47">
  <si>
    <t>Precio</t>
  </si>
  <si>
    <t>Costo</t>
  </si>
  <si>
    <t>ene-25</t>
  </si>
  <si>
    <t>feb-25</t>
  </si>
  <si>
    <t>mar-25</t>
  </si>
  <si>
    <t>abr-25</t>
  </si>
  <si>
    <t>may-25</t>
  </si>
  <si>
    <t>jun-25</t>
  </si>
  <si>
    <t>jul-25</t>
  </si>
  <si>
    <t>ago-25</t>
  </si>
  <si>
    <t>sep-25</t>
  </si>
  <si>
    <t>oct-25</t>
  </si>
  <si>
    <t>nov-25</t>
  </si>
  <si>
    <t>dic-25</t>
  </si>
  <si>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</si>
  <si>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</si>
  <si>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</si>
  <si>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</si>
  <si>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</si>
  <si>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</si>
  <si>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</si>
  <si>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</si>
  <si>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</si>
  <si>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</si>
  <si>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</si>
  <si>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Promedio</t>
  </si>
  <si>
    <t>VENTAS TOTALES $</t>
  </si>
  <si>
    <t xml:space="preserve">Freq. </t>
  </si>
  <si>
    <t>Freq. Acum</t>
  </si>
  <si>
    <t>A</t>
  </si>
  <si>
    <t>B</t>
  </si>
  <si>
    <t>C</t>
  </si>
  <si>
    <t>-</t>
  </si>
  <si>
    <t>ABC</t>
  </si>
  <si>
    <t>Desv</t>
  </si>
  <si>
    <t>Coef Var</t>
  </si>
  <si>
    <t>X</t>
  </si>
  <si>
    <t>Y</t>
  </si>
  <si>
    <t>Z</t>
  </si>
  <si>
    <t>XYZ</t>
  </si>
  <si>
    <t>Nivel Serv</t>
  </si>
  <si>
    <t>Lead Time Meses</t>
  </si>
  <si>
    <t>F.Serv</t>
  </si>
  <si>
    <t>F.Lt</t>
  </si>
  <si>
    <t>S.seg uni</t>
  </si>
  <si>
    <t>S.seg dias</t>
  </si>
  <si>
    <t>Inv. Opt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</si>
</sst>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 * #,##0.00_ ;_ * \-#,##0.00_ ;_ * &quot;-&quot;??_ ;_ @_ "/>
    <numFmt numFmtId="164" formatCode="_-&quot;$&quot;\ * #,##0.00_-;\-&quot;$&quot;\ * #,##0.00_-;_-&quot;$&quot;\ * &quot;-&quot;??_-;_-@_-"/>
    <numFmt numFmtId="165" formatCode="_(* #,##0.00_);_(* \(#,##0.00\);_(* &quot;-&quot;??_);_(@_)"/>
    <numFmt numFmtId="166" formatCode="_-* #,##0_-;\-* #,##0_-;_-* &quot;-&quot;??_-;_-@_-"/>
    <numFmt numFmtId="167" formatCode="_-* #,##0.00_-;\-* #,##0.00_-;_-* &quot;-&quot;??_-;_-@_-"/>
    <numFmt numFmtId="169" formatCode="_-&quot;$&quot;\ * #,##0_-;\-&quot;$&quot;\ * #,##0_-;_-&quot;$&quot;\ * &quot;-&quot;??_-;_-@_-"/>
    <numFmt numFmtId="170" formatCode="0.0%"/>
    <numFmt numFmtId="172" formatCode="_ * #,##0_ ;_ * \-#,##0_ ;_ * &quot;-&quot;??_ ;_ @_ "/>
    <numFmt numFmtId="173" formatCode="_-* #,##0.0_-;\-* #,##0.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8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</borders>
  <cellStyleXfs count="6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17" fontId="3" fillId="2" borderId="1" xfId="1" applyNumberFormat="1" applyFont="1" applyFill="1" applyBorder="1" applyAlignment="1">
      <alignment horizontal="center" vertical="center"/>
    </xf>
    <xf numFmtId="17" fontId="3" fillId="2" borderId="1" xfId="4" applyNumberFormat="1" applyFont="1" applyFill="1" applyBorder="1" applyAlignment="1">
      <alignment horizontal="center" vertical="center"/>
    </xf>
    <xf numFmtId="166" fontId="4" fillId="0" borderId="2" xfId="0" applyNumberFormat="1" applyFont="1" applyBorder="1"/>
    <xf numFmtId="166" fontId="5" fillId="3" borderId="2" xfId="0" applyNumberFormat="1" applyFont="1" applyFill="1" applyBorder="1"/>
    <xf numFmtId="167" fontId="4" fillId="0" borderId="2" xfId="0" applyNumberFormat="1" applyFont="1" applyBorder="1"/>
    <xf numFmtId="164" fontId="4" fillId="4" borderId="2" xfId="3" applyFont="1" applyFill="1" applyBorder="1"/>
    <xf numFmtId="169" fontId="0" fillId="5" borderId="3" xfId="3" applyNumberFormat="1" applyFont="1" applyFill="1" applyBorder="1"/>
    <xf numFmtId="17" fontId="3" fillId="2" borderId="0" xfId="4" applyNumberFormat="1" applyFont="1" applyFill="1" applyBorder="1" applyAlignment="1">
      <alignment horizontal="center" vertical="center"/>
    </xf>
    <xf numFmtId="169" fontId="0" fillId="0" borderId="0" xfId="0" applyNumberFormat="1"/>
    <xf numFmtId="9" fontId="0" fillId="0" borderId="0" xfId="5" applyFont="1"/>
    <xf numFmtId="9" fontId="0" fillId="0" borderId="0" xfId="0" applyNumberFormat="1"/>
    <xf numFmtId="9" fontId="0" fillId="0" borderId="3" xfId="5" applyFont="1" applyBorder="1"/>
    <xf numFmtId="9" fontId="0" fillId="0" borderId="3" xfId="0" applyNumberFormat="1" applyBorder="1"/>
    <xf numFmtId="0" fontId="0" fillId="0" borderId="3" xfId="0" applyBorder="1" applyAlignment="1">
      <alignment horizontal="center" vertical="center"/>
    </xf>
    <xf numFmtId="166" fontId="0" fillId="0" borderId="0" xfId="0" applyNumberFormat="1"/>
    <xf numFmtId="166" fontId="4" fillId="0" borderId="4" xfId="0" applyNumberFormat="1" applyFont="1" applyBorder="1"/>
    <xf numFmtId="10" fontId="0" fillId="5" borderId="3" xfId="5" applyNumberFormat="1" applyFont="1" applyFill="1" applyBorder="1"/>
    <xf numFmtId="17" fontId="3" fillId="2" borderId="5" xfId="4" applyNumberFormat="1" applyFont="1" applyFill="1" applyBorder="1" applyAlignment="1">
      <alignment horizontal="center" vertical="center"/>
    </xf>
    <xf numFmtId="17" fontId="3" fillId="6" borderId="5" xfId="4" applyNumberFormat="1" applyFont="1" applyFill="1" applyBorder="1" applyAlignment="1">
      <alignment horizontal="center" vertical="center"/>
    </xf>
    <xf numFmtId="172" fontId="0" fillId="7" borderId="3" xfId="4" applyNumberFormat="1" applyFont="1" applyFill="1" applyBorder="1"/>
    <xf numFmtId="173" fontId="0" fillId="0" borderId="3" xfId="0" applyNumberFormat="1" applyBorder="1"/>
    <xf numFmtId="173" fontId="6" fillId="7" borderId="3" xfId="0" applyNumberFormat="1" applyFont="1" applyFill="1" applyBorder="1"/>
    <xf numFmtId="166" fontId="0" fillId="7" borderId="0" xfId="0" applyNumberFormat="1" applyFill="1"/>
    <xf numFmtId="169" fontId="7" fillId="0" borderId="2" xfId="3" applyNumberFormat="1" applyFont="1" applyBorder="1"/>
    <xf numFmtId="170" fontId="0" fillId="0" borderId="0" xfId="0" applyNumberFormat="1"/>
  </cellXfs>
  <cellStyles count="6">
    <cellStyle name="Millares" xfId="4" builtinId="3"/>
    <cellStyle name="Millares 2" xfId="2" xr:uid="{0403FA51-7AB1-4472-8534-28D4C03E5F46}"/>
    <cellStyle name="Moneda" xfId="3" builtinId="4"/>
    <cellStyle name="Normal" xfId="0" builtinId="0"/>
    <cellStyle name="Normal 2 2" xfId="1" xr:uid="{C4FD0D9A-4CC3-41F8-9E97-1A2CFC387F56}"/>
    <cellStyle name="Porcentaje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EEBE-504E-4140-BC3D-C15D822303B6}">
  <sheetPr codeName="Hoja1"/>
  <dimension ref="A1:BE11"/>
  <sheetViews>
    <sheetView showGridLines="0" topLeftCell="AT1" zoomScale="102" zoomScaleNormal="100" workbookViewId="0">
      <selection activeCell="BB15" sqref="BB15"/>
    </sheetView>
  </sheetViews>
  <sheetFormatPr baseColWidth="10" defaultRowHeight="15" x14ac:dyDescent="0.25"/>
  <cols>
    <col min="1" max="1" width="10.140625" bestFit="1" customWidth="1"/>
    <col min="2" max="2" width="9" bestFit="1" customWidth="1"/>
    <col min="3" max="4" width="8" bestFit="1" customWidth="1"/>
    <col min="5" max="7" width="9" bestFit="1" customWidth="1"/>
    <col min="8" max="11" width="8" bestFit="1" customWidth="1"/>
    <col min="12" max="12" width="9" bestFit="1" customWidth="1"/>
    <col min="13" max="13" width="8" bestFit="1" customWidth="1"/>
    <col min="14" max="14" width="9" bestFit="1" customWidth="1"/>
    <col min="15" max="16" width="8" bestFit="1" customWidth="1"/>
    <col min="17" max="20" width="9" bestFit="1" customWidth="1"/>
    <col min="21" max="23" width="8" bestFit="1" customWidth="1"/>
    <col min="24" max="24" width="9" bestFit="1" customWidth="1"/>
    <col min="25" max="25" width="8" bestFit="1" customWidth="1"/>
    <col min="26" max="26" width="9" bestFit="1" customWidth="1"/>
    <col min="27" max="27" width="8" bestFit="1" customWidth="1"/>
    <col min="28" max="32" width="9" bestFit="1" customWidth="1"/>
    <col min="33" max="35" width="8" bestFit="1" customWidth="1"/>
    <col min="36" max="36" width="9" bestFit="1" customWidth="1"/>
    <col min="37" max="37" width="8" bestFit="1" customWidth="1"/>
    <col min="38" max="38" width="9" bestFit="1" customWidth="1"/>
    <col min="39" max="39" width="8" bestFit="1" customWidth="1"/>
    <col min="40" max="44" width="9" bestFit="1" customWidth="1"/>
    <col min="45" max="47" width="8" bestFit="1" customWidth="1"/>
    <col min="48" max="48" width="9" bestFit="1" customWidth="1"/>
  </cols>
  <sheetData>
    <row r="1" spans="1:57" ht="18.75" customHeight="1" x14ac:dyDescent="0.25">
      <c r="A1" s="2" t="s">
        <v>14</v>
      </c>
      <c r="B1" s="2">
        <v>44197</v>
      </c>
      <c r="C1" s="2">
        <v>44228</v>
      </c>
      <c r="D1" s="2">
        <v>44256</v>
      </c>
      <c r="E1" s="2">
        <v>44287</v>
      </c>
      <c r="F1" s="2">
        <v>44317</v>
      </c>
      <c r="G1" s="2">
        <v>44348</v>
      </c>
      <c r="H1" s="2">
        <v>44378</v>
      </c>
      <c r="I1" s="2">
        <v>44409</v>
      </c>
      <c r="J1" s="2">
        <v>44440</v>
      </c>
      <c r="K1" s="2">
        <v>44470</v>
      </c>
      <c r="L1" s="2">
        <v>44501</v>
      </c>
      <c r="M1" s="2">
        <v>44531</v>
      </c>
      <c r="N1" s="2">
        <v>44562</v>
      </c>
      <c r="O1" s="2">
        <v>44593</v>
      </c>
      <c r="P1" s="2">
        <v>44621</v>
      </c>
      <c r="Q1" s="2">
        <v>44652</v>
      </c>
      <c r="R1" s="2">
        <v>44682</v>
      </c>
      <c r="S1" s="2">
        <v>44713</v>
      </c>
      <c r="T1" s="2">
        <v>44743</v>
      </c>
      <c r="U1" s="2">
        <v>44774</v>
      </c>
      <c r="V1" s="2">
        <v>44805</v>
      </c>
      <c r="W1" s="2">
        <v>44835</v>
      </c>
      <c r="X1" s="2">
        <v>44866</v>
      </c>
      <c r="Y1" s="2">
        <v>44896</v>
      </c>
      <c r="Z1" s="2">
        <v>44927</v>
      </c>
      <c r="AA1" s="2">
        <v>44958</v>
      </c>
      <c r="AB1" s="2">
        <v>44986</v>
      </c>
      <c r="AC1" s="2">
        <v>45017</v>
      </c>
      <c r="AD1" s="2">
        <v>45047</v>
      </c>
      <c r="AE1" s="2">
        <v>45078</v>
      </c>
      <c r="AF1" s="2">
        <v>45108</v>
      </c>
      <c r="AG1" s="2">
        <v>45139</v>
      </c>
      <c r="AH1" s="2">
        <v>45170</v>
      </c>
      <c r="AI1" s="2">
        <v>45200</v>
      </c>
      <c r="AJ1" s="2">
        <v>45231</v>
      </c>
      <c r="AK1" s="2">
        <v>45261</v>
      </c>
      <c r="AL1" s="2">
        <v>45292</v>
      </c>
      <c r="AM1" s="2">
        <v>45323</v>
      </c>
      <c r="AN1" s="2">
        <v>45352</v>
      </c>
      <c r="AO1" s="2">
        <v>45383</v>
      </c>
      <c r="AP1" s="2">
        <v>45413</v>
      </c>
      <c r="AQ1" s="2">
        <v>45444</v>
      </c>
      <c r="AR1" s="2">
        <v>45474</v>
      </c>
      <c r="AS1" s="2">
        <v>45505</v>
      </c>
      <c r="AT1" s="2">
        <v>45536</v>
      </c>
      <c r="AU1" s="2">
        <v>45566</v>
      </c>
      <c r="AV1" s="2">
        <v>45597</v>
      </c>
      <c r="AX1" s="2" t="s">
        <v>25</v>
      </c>
      <c r="AY1" s="2" t="s">
        <v>34</v>
      </c>
      <c r="AZ1" s="2" t="s">
        <v>35</v>
      </c>
      <c r="BA1" s="2" t="s">
        <v>39</v>
      </c>
      <c r="BD1" t="s">
        <v>36</v>
      </c>
      <c r="BE1" s="10">
        <f>+_xlfn.PERCENTILE.EXC($AZ$2:$AZ$11,0.33)</f>
        <v>0.2098910552037018</v>
      </c>
    </row>
    <row r="2" spans="1:57" ht="15.75" x14ac:dyDescent="0.25">
      <c r="A2" s="4" t="s">
        <v>15</v>
      </c>
      <c r="B2" s="3">
        <v>55324</v>
      </c>
      <c r="C2" s="3">
        <v>48970</v>
      </c>
      <c r="D2" s="3">
        <v>53452</v>
      </c>
      <c r="E2" s="3">
        <v>60464</v>
      </c>
      <c r="F2" s="3">
        <v>58826</v>
      </c>
      <c r="G2" s="3">
        <v>57406</v>
      </c>
      <c r="H2" s="3">
        <v>57778</v>
      </c>
      <c r="I2" s="3">
        <v>48918</v>
      </c>
      <c r="J2" s="3">
        <v>51608</v>
      </c>
      <c r="K2" s="3">
        <v>46296</v>
      </c>
      <c r="L2" s="3">
        <v>87360</v>
      </c>
      <c r="M2" s="3">
        <v>51220</v>
      </c>
      <c r="N2" s="3">
        <v>56546</v>
      </c>
      <c r="O2" s="3">
        <v>50054</v>
      </c>
      <c r="P2" s="3">
        <v>54580</v>
      </c>
      <c r="Q2" s="3">
        <v>61790</v>
      </c>
      <c r="R2" s="3">
        <v>60028</v>
      </c>
      <c r="S2" s="3">
        <v>58608</v>
      </c>
      <c r="T2" s="3">
        <v>59000</v>
      </c>
      <c r="U2" s="3">
        <v>49940</v>
      </c>
      <c r="V2" s="3">
        <v>52724</v>
      </c>
      <c r="W2" s="3">
        <v>47338</v>
      </c>
      <c r="X2" s="3">
        <v>89200</v>
      </c>
      <c r="Y2" s="3">
        <v>52328</v>
      </c>
      <c r="Z2" s="3">
        <v>57792</v>
      </c>
      <c r="AA2" s="3">
        <v>51172</v>
      </c>
      <c r="AB2" s="3">
        <v>55730</v>
      </c>
      <c r="AC2" s="3">
        <v>63138</v>
      </c>
      <c r="AD2" s="3">
        <v>61346</v>
      </c>
      <c r="AE2" s="3">
        <v>59846</v>
      </c>
      <c r="AF2" s="3">
        <v>60278</v>
      </c>
      <c r="AG2" s="3">
        <v>51048</v>
      </c>
      <c r="AH2" s="3">
        <v>53816</v>
      </c>
      <c r="AI2" s="3">
        <v>48354</v>
      </c>
      <c r="AJ2" s="3">
        <v>91056</v>
      </c>
      <c r="AK2" s="3">
        <v>53474</v>
      </c>
      <c r="AL2" s="3">
        <v>59008</v>
      </c>
      <c r="AM2" s="3">
        <v>52314</v>
      </c>
      <c r="AN2" s="3">
        <v>56890</v>
      </c>
      <c r="AO2" s="3">
        <v>64458</v>
      </c>
      <c r="AP2" s="3">
        <v>62684</v>
      </c>
      <c r="AQ2" s="3">
        <v>61070</v>
      </c>
      <c r="AR2" s="3">
        <v>61518</v>
      </c>
      <c r="AS2" s="3">
        <v>52114</v>
      </c>
      <c r="AT2" s="3">
        <v>55008</v>
      </c>
      <c r="AU2" s="3">
        <v>49400</v>
      </c>
      <c r="AV2" s="3">
        <v>92956</v>
      </c>
      <c r="AX2" s="3">
        <f>AVERAGE(AE2:AV2)</f>
        <v>60294</v>
      </c>
      <c r="AY2" s="16">
        <f>_xlfn.STDEV.S(AE2:AV2)</f>
        <v>12474.545942461724</v>
      </c>
      <c r="AZ2" s="17">
        <f>+AY2/AX2</f>
        <v>0.2068953120121691</v>
      </c>
      <c r="BA2" t="str">
        <f>+IF(AZ2&lt;=$BE$1,$BD$1,IF(AZ2&lt;=$BE$2,$BD$2,$BD$3))</f>
        <v>X</v>
      </c>
      <c r="BD2" t="s">
        <v>37</v>
      </c>
      <c r="BE2" s="10">
        <f>+_xlfn.PERCENTILE.EXC($AZ$2:$AZ$11,0.77)</f>
        <v>0.22512640732023845</v>
      </c>
    </row>
    <row r="3" spans="1:57" ht="15.75" x14ac:dyDescent="0.25">
      <c r="A3" s="4" t="s">
        <v>16</v>
      </c>
      <c r="B3" s="3">
        <v>102066</v>
      </c>
      <c r="C3" s="3">
        <v>86122</v>
      </c>
      <c r="D3" s="3">
        <v>97102</v>
      </c>
      <c r="E3" s="3">
        <v>111578</v>
      </c>
      <c r="F3" s="3">
        <v>102502</v>
      </c>
      <c r="G3" s="3">
        <v>102180</v>
      </c>
      <c r="H3" s="3">
        <v>99574</v>
      </c>
      <c r="I3" s="3">
        <v>86700</v>
      </c>
      <c r="J3" s="3">
        <v>88208</v>
      </c>
      <c r="K3" s="3">
        <v>82248</v>
      </c>
      <c r="L3" s="3">
        <v>154602</v>
      </c>
      <c r="M3" s="3">
        <v>90342</v>
      </c>
      <c r="N3" s="3">
        <v>104214</v>
      </c>
      <c r="O3" s="3">
        <v>87916</v>
      </c>
      <c r="P3" s="3">
        <v>99138</v>
      </c>
      <c r="Q3" s="3">
        <v>113898</v>
      </c>
      <c r="R3" s="3">
        <v>104600</v>
      </c>
      <c r="S3" s="3">
        <v>104338</v>
      </c>
      <c r="T3" s="3">
        <v>101624</v>
      </c>
      <c r="U3" s="3">
        <v>88492</v>
      </c>
      <c r="V3" s="3">
        <v>90078</v>
      </c>
      <c r="W3" s="3">
        <v>83918</v>
      </c>
      <c r="X3" s="3">
        <v>157714</v>
      </c>
      <c r="Y3" s="3">
        <v>92166</v>
      </c>
      <c r="Z3" s="3">
        <v>106330</v>
      </c>
      <c r="AA3" s="3">
        <v>89788</v>
      </c>
      <c r="AB3" s="3">
        <v>101228</v>
      </c>
      <c r="AC3" s="3">
        <v>116262</v>
      </c>
      <c r="AD3" s="3">
        <v>106716</v>
      </c>
      <c r="AE3" s="3">
        <v>106508</v>
      </c>
      <c r="AF3" s="3">
        <v>103772</v>
      </c>
      <c r="AG3" s="3">
        <v>90288</v>
      </c>
      <c r="AH3" s="3">
        <v>91952</v>
      </c>
      <c r="AI3" s="3">
        <v>85650</v>
      </c>
      <c r="AJ3" s="3">
        <v>160914</v>
      </c>
      <c r="AK3" s="3">
        <v>94100</v>
      </c>
      <c r="AL3" s="3">
        <v>108486</v>
      </c>
      <c r="AM3" s="3">
        <v>91690</v>
      </c>
      <c r="AN3" s="3">
        <v>103366</v>
      </c>
      <c r="AO3" s="3">
        <v>118640</v>
      </c>
      <c r="AP3" s="3">
        <v>108942</v>
      </c>
      <c r="AQ3" s="3">
        <v>108706</v>
      </c>
      <c r="AR3" s="3">
        <v>105898</v>
      </c>
      <c r="AS3" s="3">
        <v>92178</v>
      </c>
      <c r="AT3" s="3">
        <v>93866</v>
      </c>
      <c r="AU3" s="3">
        <v>87428</v>
      </c>
      <c r="AV3" s="3">
        <v>164244</v>
      </c>
      <c r="AX3" s="3">
        <f t="shared" ref="AX3:AX11" si="0">AVERAGE(AE3:AV3)</f>
        <v>106479.33333333333</v>
      </c>
      <c r="AY3" s="3">
        <f t="shared" ref="AY3:AY11" si="1">_xlfn.STDEV.S(AE3:AV3)</f>
        <v>22341.988852435519</v>
      </c>
      <c r="AZ3" s="17">
        <f t="shared" ref="AZ3:AZ11" si="2">+AY3/AX3</f>
        <v>0.20982465003320383</v>
      </c>
      <c r="BA3" t="str">
        <f t="shared" ref="BA3:BA11" si="3">+IF(AZ3&lt;=$BE$1,$BD$1,IF(AZ3&lt;=$BE$2,$BD$2,$BD$3))</f>
        <v>X</v>
      </c>
      <c r="BD3" t="s">
        <v>38</v>
      </c>
    </row>
    <row r="4" spans="1:57" ht="15.75" x14ac:dyDescent="0.25">
      <c r="A4" s="4" t="s">
        <v>17</v>
      </c>
      <c r="B4" s="3">
        <v>75182</v>
      </c>
      <c r="C4" s="3">
        <v>65590</v>
      </c>
      <c r="D4" s="3">
        <v>77978</v>
      </c>
      <c r="E4" s="3">
        <v>83166</v>
      </c>
      <c r="F4" s="3">
        <v>76852</v>
      </c>
      <c r="G4" s="3">
        <v>77068</v>
      </c>
      <c r="H4" s="3">
        <v>79606</v>
      </c>
      <c r="I4" s="3">
        <v>69414</v>
      </c>
      <c r="J4" s="3">
        <v>67170</v>
      </c>
      <c r="K4" s="3">
        <v>61304</v>
      </c>
      <c r="L4" s="3">
        <v>123354</v>
      </c>
      <c r="M4" s="3">
        <v>71078</v>
      </c>
      <c r="N4" s="3">
        <v>76718</v>
      </c>
      <c r="O4" s="3">
        <v>66984</v>
      </c>
      <c r="P4" s="3">
        <v>79600</v>
      </c>
      <c r="Q4" s="3">
        <v>84934</v>
      </c>
      <c r="R4" s="3">
        <v>78500</v>
      </c>
      <c r="S4" s="3">
        <v>78674</v>
      </c>
      <c r="T4" s="3">
        <v>81278</v>
      </c>
      <c r="U4" s="3">
        <v>70820</v>
      </c>
      <c r="V4" s="3">
        <v>68628</v>
      </c>
      <c r="W4" s="3">
        <v>62548</v>
      </c>
      <c r="X4" s="3">
        <v>125934</v>
      </c>
      <c r="Y4" s="3">
        <v>72566</v>
      </c>
      <c r="Z4" s="3">
        <v>78318</v>
      </c>
      <c r="AA4" s="3">
        <v>68354</v>
      </c>
      <c r="AB4" s="3">
        <v>81310</v>
      </c>
      <c r="AC4" s="3">
        <v>86698</v>
      </c>
      <c r="AD4" s="3">
        <v>80158</v>
      </c>
      <c r="AE4" s="3">
        <v>80280</v>
      </c>
      <c r="AF4" s="3">
        <v>82954</v>
      </c>
      <c r="AG4" s="3">
        <v>72342</v>
      </c>
      <c r="AH4" s="3">
        <v>70094</v>
      </c>
      <c r="AI4" s="3">
        <v>63910</v>
      </c>
      <c r="AJ4" s="3">
        <v>128554</v>
      </c>
      <c r="AK4" s="3">
        <v>74076</v>
      </c>
      <c r="AL4" s="3">
        <v>79960</v>
      </c>
      <c r="AM4" s="3">
        <v>69800</v>
      </c>
      <c r="AN4" s="3">
        <v>82976</v>
      </c>
      <c r="AO4" s="3">
        <v>88534</v>
      </c>
      <c r="AP4" s="3">
        <v>81800</v>
      </c>
      <c r="AQ4" s="3">
        <v>81994</v>
      </c>
      <c r="AR4" s="3">
        <v>84722</v>
      </c>
      <c r="AS4" s="3">
        <v>73896</v>
      </c>
      <c r="AT4" s="3">
        <v>71592</v>
      </c>
      <c r="AU4" s="3">
        <v>65304</v>
      </c>
      <c r="AV4" s="3">
        <v>131216</v>
      </c>
      <c r="AX4" s="3">
        <f t="shared" si="0"/>
        <v>82444.666666666672</v>
      </c>
      <c r="AY4" s="3">
        <f t="shared" si="1"/>
        <v>18584.815117218048</v>
      </c>
      <c r="AZ4" s="17">
        <f t="shared" si="2"/>
        <v>0.22542167818275749</v>
      </c>
      <c r="BA4" t="str">
        <f t="shared" si="3"/>
        <v>Z</v>
      </c>
    </row>
    <row r="5" spans="1:57" ht="15.75" x14ac:dyDescent="0.25">
      <c r="A5" s="4" t="s">
        <v>18</v>
      </c>
      <c r="B5" s="3">
        <v>88686</v>
      </c>
      <c r="C5" s="3">
        <v>75412</v>
      </c>
      <c r="D5" s="3">
        <v>86990</v>
      </c>
      <c r="E5" s="3">
        <v>91990</v>
      </c>
      <c r="F5" s="3">
        <v>88822</v>
      </c>
      <c r="G5" s="3">
        <v>91362</v>
      </c>
      <c r="H5" s="3">
        <v>86570</v>
      </c>
      <c r="I5" s="3">
        <v>78470</v>
      </c>
      <c r="J5" s="3">
        <v>79396</v>
      </c>
      <c r="K5" s="3">
        <v>72652</v>
      </c>
      <c r="L5" s="3">
        <v>137876</v>
      </c>
      <c r="M5" s="3">
        <v>78832</v>
      </c>
      <c r="N5" s="3">
        <v>90516</v>
      </c>
      <c r="O5" s="3">
        <v>77002</v>
      </c>
      <c r="P5" s="3">
        <v>88772</v>
      </c>
      <c r="Q5" s="3">
        <v>93944</v>
      </c>
      <c r="R5" s="3">
        <v>90628</v>
      </c>
      <c r="S5" s="3">
        <v>93226</v>
      </c>
      <c r="T5" s="3">
        <v>88356</v>
      </c>
      <c r="U5" s="3">
        <v>80134</v>
      </c>
      <c r="V5" s="3">
        <v>81098</v>
      </c>
      <c r="W5" s="3">
        <v>74194</v>
      </c>
      <c r="X5" s="3">
        <v>140666</v>
      </c>
      <c r="Y5" s="3">
        <v>80482</v>
      </c>
      <c r="Z5" s="3">
        <v>92392</v>
      </c>
      <c r="AA5" s="3">
        <v>78568</v>
      </c>
      <c r="AB5" s="3">
        <v>90580</v>
      </c>
      <c r="AC5" s="3">
        <v>95872</v>
      </c>
      <c r="AD5" s="3">
        <v>92486</v>
      </c>
      <c r="AE5" s="3">
        <v>95154</v>
      </c>
      <c r="AF5" s="3">
        <v>90190</v>
      </c>
      <c r="AG5" s="3">
        <v>81822</v>
      </c>
      <c r="AH5" s="3">
        <v>82838</v>
      </c>
      <c r="AI5" s="3">
        <v>75726</v>
      </c>
      <c r="AJ5" s="3">
        <v>143522</v>
      </c>
      <c r="AK5" s="3">
        <v>82152</v>
      </c>
      <c r="AL5" s="3">
        <v>94328</v>
      </c>
      <c r="AM5" s="3">
        <v>80240</v>
      </c>
      <c r="AN5" s="3">
        <v>92472</v>
      </c>
      <c r="AO5" s="3">
        <v>97810</v>
      </c>
      <c r="AP5" s="3">
        <v>94434</v>
      </c>
      <c r="AQ5" s="3">
        <v>97114</v>
      </c>
      <c r="AR5" s="3">
        <v>92026</v>
      </c>
      <c r="AS5" s="3">
        <v>83476</v>
      </c>
      <c r="AT5" s="3">
        <v>84590</v>
      </c>
      <c r="AU5" s="3">
        <v>77348</v>
      </c>
      <c r="AV5" s="3">
        <v>146410</v>
      </c>
      <c r="AX5" s="3">
        <f t="shared" si="0"/>
        <v>93980.666666666672</v>
      </c>
      <c r="AY5" s="3">
        <f t="shared" si="1"/>
        <v>19791.494988563976</v>
      </c>
      <c r="AZ5" s="17">
        <f t="shared" si="2"/>
        <v>0.2105911320969984</v>
      </c>
      <c r="BA5" t="str">
        <f t="shared" si="3"/>
        <v>Y</v>
      </c>
    </row>
    <row r="6" spans="1:57" ht="15.75" x14ac:dyDescent="0.25">
      <c r="A6" s="4" t="s">
        <v>19</v>
      </c>
      <c r="B6" s="3">
        <v>54144</v>
      </c>
      <c r="C6" s="3">
        <v>45482</v>
      </c>
      <c r="D6" s="3">
        <v>57790</v>
      </c>
      <c r="E6" s="3">
        <v>62022</v>
      </c>
      <c r="F6" s="3">
        <v>57298</v>
      </c>
      <c r="G6" s="3">
        <v>55756</v>
      </c>
      <c r="H6" s="3">
        <v>53972</v>
      </c>
      <c r="I6" s="3">
        <v>48730</v>
      </c>
      <c r="J6" s="3">
        <v>49132</v>
      </c>
      <c r="K6" s="3">
        <v>44234</v>
      </c>
      <c r="L6" s="3">
        <v>88934</v>
      </c>
      <c r="M6" s="3">
        <v>48428</v>
      </c>
      <c r="N6" s="3">
        <v>55328</v>
      </c>
      <c r="O6" s="3">
        <v>46474</v>
      </c>
      <c r="P6" s="3">
        <v>58998</v>
      </c>
      <c r="Q6" s="3">
        <v>63332</v>
      </c>
      <c r="R6" s="3">
        <v>58486</v>
      </c>
      <c r="S6" s="3">
        <v>56934</v>
      </c>
      <c r="T6" s="3">
        <v>55158</v>
      </c>
      <c r="U6" s="3">
        <v>49784</v>
      </c>
      <c r="V6" s="3">
        <v>50186</v>
      </c>
      <c r="W6" s="3">
        <v>45230</v>
      </c>
      <c r="X6" s="3">
        <v>90732</v>
      </c>
      <c r="Y6" s="3">
        <v>49492</v>
      </c>
      <c r="Z6" s="3">
        <v>56512</v>
      </c>
      <c r="AA6" s="3">
        <v>47454</v>
      </c>
      <c r="AB6" s="3">
        <v>60198</v>
      </c>
      <c r="AC6" s="3">
        <v>64670</v>
      </c>
      <c r="AD6" s="3">
        <v>59708</v>
      </c>
      <c r="AE6" s="3">
        <v>58166</v>
      </c>
      <c r="AF6" s="3">
        <v>56346</v>
      </c>
      <c r="AG6" s="3">
        <v>50812</v>
      </c>
      <c r="AH6" s="3">
        <v>51270</v>
      </c>
      <c r="AI6" s="3">
        <v>46220</v>
      </c>
      <c r="AJ6" s="3">
        <v>92596</v>
      </c>
      <c r="AK6" s="3">
        <v>50534</v>
      </c>
      <c r="AL6" s="3">
        <v>57724</v>
      </c>
      <c r="AM6" s="3">
        <v>48502</v>
      </c>
      <c r="AN6" s="3">
        <v>61472</v>
      </c>
      <c r="AO6" s="3">
        <v>66050</v>
      </c>
      <c r="AP6" s="3">
        <v>61002</v>
      </c>
      <c r="AQ6" s="3">
        <v>59394</v>
      </c>
      <c r="AR6" s="3">
        <v>57498</v>
      </c>
      <c r="AS6" s="3">
        <v>51926</v>
      </c>
      <c r="AT6" s="3">
        <v>52344</v>
      </c>
      <c r="AU6" s="3">
        <v>47170</v>
      </c>
      <c r="AV6" s="3">
        <v>94514</v>
      </c>
      <c r="AX6" s="3">
        <f t="shared" si="0"/>
        <v>59085.555555555555</v>
      </c>
      <c r="AY6" s="3">
        <f t="shared" si="1"/>
        <v>13650.473270064007</v>
      </c>
      <c r="AZ6" s="17">
        <f t="shared" si="2"/>
        <v>0.23102894001274246</v>
      </c>
      <c r="BA6" t="str">
        <f t="shared" si="3"/>
        <v>Z</v>
      </c>
    </row>
    <row r="7" spans="1:57" ht="15.75" x14ac:dyDescent="0.25">
      <c r="A7" s="4" t="s">
        <v>20</v>
      </c>
      <c r="B7" s="3">
        <v>49552</v>
      </c>
      <c r="C7" s="3">
        <v>44004</v>
      </c>
      <c r="D7" s="3">
        <v>48856</v>
      </c>
      <c r="E7" s="3">
        <v>52984</v>
      </c>
      <c r="F7" s="3">
        <v>50608</v>
      </c>
      <c r="G7" s="3">
        <v>53784</v>
      </c>
      <c r="H7" s="3">
        <v>50354</v>
      </c>
      <c r="I7" s="3">
        <v>41156</v>
      </c>
      <c r="J7" s="3">
        <v>42082</v>
      </c>
      <c r="K7" s="3">
        <v>39350</v>
      </c>
      <c r="L7" s="3">
        <v>77662</v>
      </c>
      <c r="M7" s="3">
        <v>43178</v>
      </c>
      <c r="N7" s="3">
        <v>50608</v>
      </c>
      <c r="O7" s="3">
        <v>44944</v>
      </c>
      <c r="P7" s="3">
        <v>49870</v>
      </c>
      <c r="Q7" s="3">
        <v>54092</v>
      </c>
      <c r="R7" s="3">
        <v>51654</v>
      </c>
      <c r="S7" s="3">
        <v>54906</v>
      </c>
      <c r="T7" s="3">
        <v>51412</v>
      </c>
      <c r="U7" s="3">
        <v>42076</v>
      </c>
      <c r="V7" s="3">
        <v>42952</v>
      </c>
      <c r="W7" s="3">
        <v>40242</v>
      </c>
      <c r="X7" s="3">
        <v>79238</v>
      </c>
      <c r="Y7" s="3">
        <v>44062</v>
      </c>
      <c r="Z7" s="3">
        <v>51708</v>
      </c>
      <c r="AA7" s="3">
        <v>45960</v>
      </c>
      <c r="AB7" s="3">
        <v>50910</v>
      </c>
      <c r="AC7" s="3">
        <v>55204</v>
      </c>
      <c r="AD7" s="3">
        <v>52806</v>
      </c>
      <c r="AE7" s="3">
        <v>56078</v>
      </c>
      <c r="AF7" s="3">
        <v>52530</v>
      </c>
      <c r="AG7" s="3">
        <v>42956</v>
      </c>
      <c r="AH7" s="3">
        <v>43888</v>
      </c>
      <c r="AI7" s="3">
        <v>41112</v>
      </c>
      <c r="AJ7" s="3">
        <v>80860</v>
      </c>
      <c r="AK7" s="3">
        <v>45000</v>
      </c>
      <c r="AL7" s="3">
        <v>52838</v>
      </c>
      <c r="AM7" s="3">
        <v>46952</v>
      </c>
      <c r="AN7" s="3">
        <v>52026</v>
      </c>
      <c r="AO7" s="3">
        <v>56422</v>
      </c>
      <c r="AP7" s="3">
        <v>53936</v>
      </c>
      <c r="AQ7" s="3">
        <v>57312</v>
      </c>
      <c r="AR7" s="3">
        <v>53694</v>
      </c>
      <c r="AS7" s="3">
        <v>43894</v>
      </c>
      <c r="AT7" s="3">
        <v>44852</v>
      </c>
      <c r="AU7" s="3">
        <v>41986</v>
      </c>
      <c r="AV7" s="3">
        <v>82588</v>
      </c>
      <c r="AX7" s="3">
        <f t="shared" si="0"/>
        <v>52718</v>
      </c>
      <c r="AY7" s="3">
        <f t="shared" si="1"/>
        <v>11854.410050570159</v>
      </c>
      <c r="AZ7" s="17">
        <f t="shared" si="2"/>
        <v>0.2248645633478159</v>
      </c>
      <c r="BA7" t="str">
        <f t="shared" si="3"/>
        <v>Y</v>
      </c>
    </row>
    <row r="8" spans="1:57" ht="15.75" x14ac:dyDescent="0.25">
      <c r="A8" s="4" t="s">
        <v>21</v>
      </c>
      <c r="B8" s="3">
        <v>90834</v>
      </c>
      <c r="C8" s="3">
        <v>73510</v>
      </c>
      <c r="D8" s="3">
        <v>89948</v>
      </c>
      <c r="E8" s="3">
        <v>98224</v>
      </c>
      <c r="F8" s="3">
        <v>92550</v>
      </c>
      <c r="G8" s="3">
        <v>91140</v>
      </c>
      <c r="H8" s="3">
        <v>86494</v>
      </c>
      <c r="I8" s="3">
        <v>79056</v>
      </c>
      <c r="J8" s="3">
        <v>79234</v>
      </c>
      <c r="K8" s="3">
        <v>73912</v>
      </c>
      <c r="L8" s="3">
        <v>141266</v>
      </c>
      <c r="M8" s="3">
        <v>80864</v>
      </c>
      <c r="N8" s="3">
        <v>92736</v>
      </c>
      <c r="O8" s="3">
        <v>75000</v>
      </c>
      <c r="P8" s="3">
        <v>91838</v>
      </c>
      <c r="Q8" s="3">
        <v>100254</v>
      </c>
      <c r="R8" s="3">
        <v>94438</v>
      </c>
      <c r="S8" s="3">
        <v>93026</v>
      </c>
      <c r="T8" s="3">
        <v>88330</v>
      </c>
      <c r="U8" s="3">
        <v>80694</v>
      </c>
      <c r="V8" s="3">
        <v>80904</v>
      </c>
      <c r="W8" s="3">
        <v>75474</v>
      </c>
      <c r="X8" s="3">
        <v>144194</v>
      </c>
      <c r="Y8" s="3">
        <v>82540</v>
      </c>
      <c r="Z8" s="3">
        <v>94696</v>
      </c>
      <c r="AA8" s="3">
        <v>76604</v>
      </c>
      <c r="AB8" s="3">
        <v>93744</v>
      </c>
      <c r="AC8" s="3">
        <v>102344</v>
      </c>
      <c r="AD8" s="3">
        <v>96388</v>
      </c>
      <c r="AE8" s="3">
        <v>94908</v>
      </c>
      <c r="AF8" s="3">
        <v>90184</v>
      </c>
      <c r="AG8" s="3">
        <v>82398</v>
      </c>
      <c r="AH8" s="3">
        <v>82568</v>
      </c>
      <c r="AI8" s="3">
        <v>77032</v>
      </c>
      <c r="AJ8" s="3">
        <v>147114</v>
      </c>
      <c r="AK8" s="3">
        <v>84268</v>
      </c>
      <c r="AL8" s="3">
        <v>96698</v>
      </c>
      <c r="AM8" s="3">
        <v>78154</v>
      </c>
      <c r="AN8" s="3">
        <v>95656</v>
      </c>
      <c r="AO8" s="3">
        <v>104448</v>
      </c>
      <c r="AP8" s="3">
        <v>98384</v>
      </c>
      <c r="AQ8" s="3">
        <v>96888</v>
      </c>
      <c r="AR8" s="3">
        <v>92080</v>
      </c>
      <c r="AS8" s="3">
        <v>84140</v>
      </c>
      <c r="AT8" s="3">
        <v>84324</v>
      </c>
      <c r="AU8" s="3">
        <v>78672</v>
      </c>
      <c r="AV8" s="3">
        <v>150142</v>
      </c>
      <c r="AX8" s="3">
        <f t="shared" si="0"/>
        <v>95447.666666666672</v>
      </c>
      <c r="AY8" s="3">
        <f t="shared" si="1"/>
        <v>20900.214716037503</v>
      </c>
      <c r="AZ8" s="17">
        <f t="shared" si="2"/>
        <v>0.21897041013090071</v>
      </c>
      <c r="BA8" t="str">
        <f t="shared" si="3"/>
        <v>Y</v>
      </c>
    </row>
    <row r="9" spans="1:57" ht="15.75" x14ac:dyDescent="0.25">
      <c r="A9" s="4" t="s">
        <v>22</v>
      </c>
      <c r="B9" s="3">
        <v>44652</v>
      </c>
      <c r="C9" s="3">
        <v>40200</v>
      </c>
      <c r="D9" s="3">
        <v>48506</v>
      </c>
      <c r="E9" s="3">
        <v>54952</v>
      </c>
      <c r="F9" s="3">
        <v>46146</v>
      </c>
      <c r="G9" s="3">
        <v>50828</v>
      </c>
      <c r="H9" s="3">
        <v>48910</v>
      </c>
      <c r="I9" s="3">
        <v>42626</v>
      </c>
      <c r="J9" s="3">
        <v>43688</v>
      </c>
      <c r="K9" s="3">
        <v>42472</v>
      </c>
      <c r="L9" s="3">
        <v>74612</v>
      </c>
      <c r="M9" s="3">
        <v>44840</v>
      </c>
      <c r="N9" s="3">
        <v>45654</v>
      </c>
      <c r="O9" s="3">
        <v>41104</v>
      </c>
      <c r="P9" s="3">
        <v>49502</v>
      </c>
      <c r="Q9" s="3">
        <v>56142</v>
      </c>
      <c r="R9" s="3">
        <v>47152</v>
      </c>
      <c r="S9" s="3">
        <v>51882</v>
      </c>
      <c r="T9" s="3">
        <v>49946</v>
      </c>
      <c r="U9" s="3">
        <v>43584</v>
      </c>
      <c r="V9" s="3">
        <v>44632</v>
      </c>
      <c r="W9" s="3">
        <v>43410</v>
      </c>
      <c r="X9" s="3">
        <v>76168</v>
      </c>
      <c r="Y9" s="3">
        <v>45768</v>
      </c>
      <c r="Z9" s="3">
        <v>46684</v>
      </c>
      <c r="AA9" s="3">
        <v>41984</v>
      </c>
      <c r="AB9" s="3">
        <v>50528</v>
      </c>
      <c r="AC9" s="3">
        <v>57378</v>
      </c>
      <c r="AD9" s="3">
        <v>48162</v>
      </c>
      <c r="AE9" s="3">
        <v>53006</v>
      </c>
      <c r="AF9" s="3">
        <v>50978</v>
      </c>
      <c r="AG9" s="3">
        <v>44542</v>
      </c>
      <c r="AH9" s="3">
        <v>45606</v>
      </c>
      <c r="AI9" s="3">
        <v>44348</v>
      </c>
      <c r="AJ9" s="3">
        <v>77752</v>
      </c>
      <c r="AK9" s="3">
        <v>46752</v>
      </c>
      <c r="AL9" s="3">
        <v>47650</v>
      </c>
      <c r="AM9" s="3">
        <v>42928</v>
      </c>
      <c r="AN9" s="3">
        <v>51646</v>
      </c>
      <c r="AO9" s="3">
        <v>58612</v>
      </c>
      <c r="AP9" s="3">
        <v>49180</v>
      </c>
      <c r="AQ9" s="3">
        <v>54156</v>
      </c>
      <c r="AR9" s="3">
        <v>52052</v>
      </c>
      <c r="AS9" s="3">
        <v>45530</v>
      </c>
      <c r="AT9" s="3">
        <v>46584</v>
      </c>
      <c r="AU9" s="3">
        <v>45320</v>
      </c>
      <c r="AV9" s="3">
        <v>79388</v>
      </c>
      <c r="AX9" s="3">
        <f t="shared" si="0"/>
        <v>52001.666666666664</v>
      </c>
      <c r="AY9" s="3">
        <f t="shared" si="1"/>
        <v>10492.045911630616</v>
      </c>
      <c r="AZ9" s="17">
        <f t="shared" si="2"/>
        <v>0.20176364690164961</v>
      </c>
      <c r="BA9" t="str">
        <f t="shared" si="3"/>
        <v>X</v>
      </c>
    </row>
    <row r="10" spans="1:57" ht="15.75" x14ac:dyDescent="0.25">
      <c r="A10" s="4" t="s">
        <v>23</v>
      </c>
      <c r="B10" s="3">
        <v>47874</v>
      </c>
      <c r="C10" s="3">
        <v>42648</v>
      </c>
      <c r="D10" s="3">
        <v>47998</v>
      </c>
      <c r="E10" s="3">
        <v>53618</v>
      </c>
      <c r="F10" s="3">
        <v>47696</v>
      </c>
      <c r="G10" s="3">
        <v>51124</v>
      </c>
      <c r="H10" s="3">
        <v>45720</v>
      </c>
      <c r="I10" s="3">
        <v>41454</v>
      </c>
      <c r="J10" s="3">
        <v>40288</v>
      </c>
      <c r="K10" s="3">
        <v>38344</v>
      </c>
      <c r="L10" s="3">
        <v>74674</v>
      </c>
      <c r="M10" s="3">
        <v>40378</v>
      </c>
      <c r="N10" s="3">
        <v>48870</v>
      </c>
      <c r="O10" s="3">
        <v>43568</v>
      </c>
      <c r="P10" s="3">
        <v>49062</v>
      </c>
      <c r="Q10" s="3">
        <v>54736</v>
      </c>
      <c r="R10" s="3">
        <v>48704</v>
      </c>
      <c r="S10" s="3">
        <v>52226</v>
      </c>
      <c r="T10" s="3">
        <v>46712</v>
      </c>
      <c r="U10" s="3">
        <v>42330</v>
      </c>
      <c r="V10" s="3">
        <v>41154</v>
      </c>
      <c r="W10" s="3">
        <v>39222</v>
      </c>
      <c r="X10" s="3">
        <v>76278</v>
      </c>
      <c r="Y10" s="3">
        <v>41244</v>
      </c>
      <c r="Z10" s="3">
        <v>49950</v>
      </c>
      <c r="AA10" s="3">
        <v>44554</v>
      </c>
      <c r="AB10" s="3">
        <v>50116</v>
      </c>
      <c r="AC10" s="3">
        <v>55916</v>
      </c>
      <c r="AD10" s="3">
        <v>49708</v>
      </c>
      <c r="AE10" s="3">
        <v>53322</v>
      </c>
      <c r="AF10" s="3">
        <v>47724</v>
      </c>
      <c r="AG10" s="3">
        <v>43220</v>
      </c>
      <c r="AH10" s="3">
        <v>42028</v>
      </c>
      <c r="AI10" s="3">
        <v>40096</v>
      </c>
      <c r="AJ10" s="3">
        <v>77846</v>
      </c>
      <c r="AK10" s="3">
        <v>42124</v>
      </c>
      <c r="AL10" s="3">
        <v>51010</v>
      </c>
      <c r="AM10" s="3">
        <v>45550</v>
      </c>
      <c r="AN10" s="3">
        <v>51138</v>
      </c>
      <c r="AO10" s="3">
        <v>57084</v>
      </c>
      <c r="AP10" s="3">
        <v>50812</v>
      </c>
      <c r="AQ10" s="3">
        <v>54432</v>
      </c>
      <c r="AR10" s="3">
        <v>48754</v>
      </c>
      <c r="AS10" s="3">
        <v>44156</v>
      </c>
      <c r="AT10" s="3">
        <v>42976</v>
      </c>
      <c r="AU10" s="3">
        <v>40990</v>
      </c>
      <c r="AV10" s="3">
        <v>79500</v>
      </c>
      <c r="AX10" s="3">
        <f t="shared" si="0"/>
        <v>50709</v>
      </c>
      <c r="AY10" s="3">
        <f t="shared" si="1"/>
        <v>11327.43491549194</v>
      </c>
      <c r="AZ10" s="17">
        <f t="shared" si="2"/>
        <v>0.22338115355246485</v>
      </c>
      <c r="BA10" t="str">
        <f t="shared" si="3"/>
        <v>Y</v>
      </c>
    </row>
    <row r="11" spans="1:57" ht="15.75" x14ac:dyDescent="0.25">
      <c r="A11" s="4" t="s">
        <v>24</v>
      </c>
      <c r="B11" s="3">
        <v>47988</v>
      </c>
      <c r="C11" s="3">
        <v>40240</v>
      </c>
      <c r="D11" s="3">
        <v>47594</v>
      </c>
      <c r="E11" s="3">
        <v>47950</v>
      </c>
      <c r="F11" s="3">
        <v>47112</v>
      </c>
      <c r="G11" s="3">
        <v>47310</v>
      </c>
      <c r="H11" s="3">
        <v>45806</v>
      </c>
      <c r="I11" s="3">
        <v>42272</v>
      </c>
      <c r="J11" s="3">
        <v>40700</v>
      </c>
      <c r="K11" s="3">
        <v>41010</v>
      </c>
      <c r="L11" s="3">
        <v>74032</v>
      </c>
      <c r="M11" s="3">
        <v>43392</v>
      </c>
      <c r="N11" s="3">
        <v>49020</v>
      </c>
      <c r="O11" s="3">
        <v>41150</v>
      </c>
      <c r="P11" s="3">
        <v>48662</v>
      </c>
      <c r="Q11" s="3">
        <v>48926</v>
      </c>
      <c r="R11" s="3">
        <v>48074</v>
      </c>
      <c r="S11" s="3">
        <v>48316</v>
      </c>
      <c r="T11" s="3">
        <v>46804</v>
      </c>
      <c r="U11" s="3">
        <v>43226</v>
      </c>
      <c r="V11" s="3">
        <v>41614</v>
      </c>
      <c r="W11" s="3">
        <v>41890</v>
      </c>
      <c r="X11" s="3">
        <v>75550</v>
      </c>
      <c r="Y11" s="3">
        <v>44286</v>
      </c>
      <c r="Z11" s="3">
        <v>50088</v>
      </c>
      <c r="AA11" s="3">
        <v>42014</v>
      </c>
      <c r="AB11" s="3">
        <v>49664</v>
      </c>
      <c r="AC11" s="3">
        <v>50020</v>
      </c>
      <c r="AD11" s="3">
        <v>49116</v>
      </c>
      <c r="AE11" s="3">
        <v>49304</v>
      </c>
      <c r="AF11" s="3">
        <v>47814</v>
      </c>
      <c r="AG11" s="3">
        <v>44168</v>
      </c>
      <c r="AH11" s="3">
        <v>42528</v>
      </c>
      <c r="AI11" s="3">
        <v>42786</v>
      </c>
      <c r="AJ11" s="3">
        <v>77146</v>
      </c>
      <c r="AK11" s="3">
        <v>45234</v>
      </c>
      <c r="AL11" s="3">
        <v>51170</v>
      </c>
      <c r="AM11" s="3">
        <v>42928</v>
      </c>
      <c r="AN11" s="3">
        <v>50748</v>
      </c>
      <c r="AO11" s="3">
        <v>51094</v>
      </c>
      <c r="AP11" s="3">
        <v>50206</v>
      </c>
      <c r="AQ11" s="3">
        <v>50402</v>
      </c>
      <c r="AR11" s="3">
        <v>48834</v>
      </c>
      <c r="AS11" s="3">
        <v>45102</v>
      </c>
      <c r="AT11" s="3">
        <v>43494</v>
      </c>
      <c r="AU11" s="3">
        <v>43682</v>
      </c>
      <c r="AV11" s="3">
        <v>78804</v>
      </c>
      <c r="AX11" s="3">
        <f t="shared" si="0"/>
        <v>50302.444444444445</v>
      </c>
      <c r="AY11" s="3">
        <f t="shared" si="1"/>
        <v>10559.994932163565</v>
      </c>
      <c r="AZ11" s="17">
        <f t="shared" si="2"/>
        <v>0.20993005506574031</v>
      </c>
      <c r="BA11" t="str">
        <f t="shared" si="3"/>
        <v>Y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37FC-7E46-4A85-814F-1456644A59D9}">
  <dimension ref="A1:BI28"/>
  <sheetViews>
    <sheetView showGridLines="0" tabSelected="1" topLeftCell="AX6" zoomScale="102" zoomScaleNormal="100" workbookViewId="0">
      <selection activeCell="AZ16" sqref="AZ16"/>
    </sheetView>
  </sheetViews>
  <sheetFormatPr baseColWidth="10" defaultRowHeight="15" x14ac:dyDescent="0.25"/>
  <cols>
    <col min="1" max="1" width="10.140625" bestFit="1" customWidth="1"/>
    <col min="2" max="2" width="9" bestFit="1" customWidth="1"/>
    <col min="3" max="4" width="8" bestFit="1" customWidth="1"/>
    <col min="5" max="7" width="9" bestFit="1" customWidth="1"/>
    <col min="8" max="11" width="8" bestFit="1" customWidth="1"/>
    <col min="12" max="12" width="9" bestFit="1" customWidth="1"/>
    <col min="13" max="13" width="8" bestFit="1" customWidth="1"/>
    <col min="14" max="14" width="9" bestFit="1" customWidth="1"/>
    <col min="15" max="16" width="8" bestFit="1" customWidth="1"/>
    <col min="17" max="20" width="9" bestFit="1" customWidth="1"/>
    <col min="21" max="23" width="8" bestFit="1" customWidth="1"/>
    <col min="24" max="24" width="9" bestFit="1" customWidth="1"/>
    <col min="25" max="25" width="8" bestFit="1" customWidth="1"/>
    <col min="26" max="26" width="9" bestFit="1" customWidth="1"/>
    <col min="27" max="27" width="8" bestFit="1" customWidth="1"/>
    <col min="28" max="32" width="9" bestFit="1" customWidth="1"/>
    <col min="33" max="35" width="8" bestFit="1" customWidth="1"/>
    <col min="36" max="36" width="9" bestFit="1" customWidth="1"/>
    <col min="37" max="37" width="8" bestFit="1" customWidth="1"/>
    <col min="38" max="38" width="9" bestFit="1" customWidth="1"/>
    <col min="39" max="39" width="8" bestFit="1" customWidth="1"/>
    <col min="40" max="44" width="9" bestFit="1" customWidth="1"/>
    <col min="45" max="47" width="8" bestFit="1" customWidth="1"/>
    <col min="48" max="48" width="9" bestFit="1" customWidth="1"/>
    <col min="49" max="49" width="9" customWidth="1"/>
    <col min="56" max="56" width="16.42578125" bestFit="1" customWidth="1"/>
  </cols>
  <sheetData>
    <row r="1" spans="1:61" ht="18.75" customHeight="1" x14ac:dyDescent="0.25">
      <c r="A1" s="2" t="s">
        <v>14</v>
      </c>
      <c r="B1" s="2">
        <v>44197</v>
      </c>
      <c r="C1" s="2">
        <v>44228</v>
      </c>
      <c r="D1" s="2">
        <v>44256</v>
      </c>
      <c r="E1" s="2">
        <v>44287</v>
      </c>
      <c r="F1" s="2">
        <v>44317</v>
      </c>
      <c r="G1" s="2">
        <v>44348</v>
      </c>
      <c r="H1" s="2">
        <v>44378</v>
      </c>
      <c r="I1" s="2">
        <v>44409</v>
      </c>
      <c r="J1" s="2">
        <v>44440</v>
      </c>
      <c r="K1" s="2">
        <v>44470</v>
      </c>
      <c r="L1" s="2">
        <v>44501</v>
      </c>
      <c r="M1" s="2">
        <v>44531</v>
      </c>
      <c r="N1" s="2">
        <v>44562</v>
      </c>
      <c r="O1" s="2">
        <v>44593</v>
      </c>
      <c r="P1" s="2">
        <v>44621</v>
      </c>
      <c r="Q1" s="2">
        <v>44652</v>
      </c>
      <c r="R1" s="2">
        <v>44682</v>
      </c>
      <c r="S1" s="2">
        <v>44713</v>
      </c>
      <c r="T1" s="2">
        <v>44743</v>
      </c>
      <c r="U1" s="2">
        <v>44774</v>
      </c>
      <c r="V1" s="2">
        <v>44805</v>
      </c>
      <c r="W1" s="2">
        <v>44835</v>
      </c>
      <c r="X1" s="2">
        <v>44866</v>
      </c>
      <c r="Y1" s="2">
        <v>44896</v>
      </c>
      <c r="Z1" s="2">
        <v>44927</v>
      </c>
      <c r="AA1" s="2">
        <v>44958</v>
      </c>
      <c r="AB1" s="2">
        <v>44986</v>
      </c>
      <c r="AC1" s="2">
        <v>45017</v>
      </c>
      <c r="AD1" s="2">
        <v>45047</v>
      </c>
      <c r="AE1" s="2">
        <v>45078</v>
      </c>
      <c r="AF1" s="2">
        <v>45108</v>
      </c>
      <c r="AG1" s="2">
        <v>45139</v>
      </c>
      <c r="AH1" s="2">
        <v>45170</v>
      </c>
      <c r="AI1" s="2">
        <v>45200</v>
      </c>
      <c r="AJ1" s="2">
        <v>45231</v>
      </c>
      <c r="AK1" s="2">
        <v>45261</v>
      </c>
      <c r="AL1" s="2">
        <v>45292</v>
      </c>
      <c r="AM1" s="2">
        <v>45323</v>
      </c>
      <c r="AN1" s="2">
        <v>45352</v>
      </c>
      <c r="AO1" s="2">
        <v>45383</v>
      </c>
      <c r="AP1" s="2">
        <v>45413</v>
      </c>
      <c r="AQ1" s="2">
        <v>45444</v>
      </c>
      <c r="AR1" s="2">
        <v>45474</v>
      </c>
      <c r="AS1" s="2">
        <v>45505</v>
      </c>
      <c r="AT1" s="2">
        <v>45536</v>
      </c>
      <c r="AU1" s="2">
        <v>45566</v>
      </c>
      <c r="AV1" s="2">
        <v>45597</v>
      </c>
      <c r="AX1" s="2" t="s">
        <v>14</v>
      </c>
      <c r="AY1" s="2" t="s">
        <v>33</v>
      </c>
      <c r="AZ1" s="2" t="s">
        <v>39</v>
      </c>
      <c r="BA1" s="2" t="s">
        <v>25</v>
      </c>
      <c r="BB1" s="19" t="s">
        <v>34</v>
      </c>
      <c r="BC1" s="18" t="s">
        <v>40</v>
      </c>
      <c r="BD1" s="18" t="s">
        <v>41</v>
      </c>
      <c r="BE1" s="19" t="s">
        <v>42</v>
      </c>
      <c r="BF1" s="19" t="s">
        <v>43</v>
      </c>
      <c r="BG1" s="19" t="s">
        <v>44</v>
      </c>
      <c r="BH1" s="19" t="s">
        <v>45</v>
      </c>
      <c r="BI1" s="19" t="s">
        <v>46</v>
      </c>
    </row>
    <row r="2" spans="1:61" ht="15.75" x14ac:dyDescent="0.25">
      <c r="A2" s="4" t="s">
        <v>15</v>
      </c>
      <c r="B2" s="3">
        <v>55324</v>
      </c>
      <c r="C2" s="3">
        <v>48970</v>
      </c>
      <c r="D2" s="3">
        <v>53452</v>
      </c>
      <c r="E2" s="3">
        <v>60464</v>
      </c>
      <c r="F2" s="3">
        <v>58826</v>
      </c>
      <c r="G2" s="3">
        <v>57406</v>
      </c>
      <c r="H2" s="3">
        <v>57778</v>
      </c>
      <c r="I2" s="3">
        <v>48918</v>
      </c>
      <c r="J2" s="3">
        <v>51608</v>
      </c>
      <c r="K2" s="3">
        <v>46296</v>
      </c>
      <c r="L2" s="3">
        <v>87360</v>
      </c>
      <c r="M2" s="3">
        <v>51220</v>
      </c>
      <c r="N2" s="3">
        <v>56546</v>
      </c>
      <c r="O2" s="3">
        <v>50054</v>
      </c>
      <c r="P2" s="3">
        <v>54580</v>
      </c>
      <c r="Q2" s="3">
        <v>61790</v>
      </c>
      <c r="R2" s="3">
        <v>60028</v>
      </c>
      <c r="S2" s="3">
        <v>58608</v>
      </c>
      <c r="T2" s="3">
        <v>59000</v>
      </c>
      <c r="U2" s="3">
        <v>49940</v>
      </c>
      <c r="V2" s="3">
        <v>52724</v>
      </c>
      <c r="W2" s="3">
        <v>47338</v>
      </c>
      <c r="X2" s="3">
        <v>89200</v>
      </c>
      <c r="Y2" s="3">
        <v>52328</v>
      </c>
      <c r="Z2" s="3">
        <v>57792</v>
      </c>
      <c r="AA2" s="3">
        <v>51172</v>
      </c>
      <c r="AB2" s="3">
        <v>55730</v>
      </c>
      <c r="AC2" s="3">
        <v>63138</v>
      </c>
      <c r="AD2" s="3">
        <v>61346</v>
      </c>
      <c r="AE2" s="3">
        <v>59846</v>
      </c>
      <c r="AF2" s="3">
        <v>60278</v>
      </c>
      <c r="AG2" s="3">
        <v>51048</v>
      </c>
      <c r="AH2" s="3">
        <v>53816</v>
      </c>
      <c r="AI2" s="3">
        <v>48354</v>
      </c>
      <c r="AJ2" s="3">
        <v>91056</v>
      </c>
      <c r="AK2" s="3">
        <v>53474</v>
      </c>
      <c r="AL2" s="3">
        <v>59008</v>
      </c>
      <c r="AM2" s="3">
        <v>52314</v>
      </c>
      <c r="AN2" s="3">
        <v>56890</v>
      </c>
      <c r="AO2" s="3">
        <v>64458</v>
      </c>
      <c r="AP2" s="3">
        <v>62684</v>
      </c>
      <c r="AQ2" s="3">
        <v>61070</v>
      </c>
      <c r="AR2" s="3">
        <v>61518</v>
      </c>
      <c r="AS2" s="3">
        <v>52114</v>
      </c>
      <c r="AT2" s="3">
        <v>55008</v>
      </c>
      <c r="AU2" s="3">
        <v>49400</v>
      </c>
      <c r="AV2" s="3">
        <v>92956</v>
      </c>
      <c r="AX2" s="4" t="s">
        <v>15</v>
      </c>
      <c r="AY2" s="4" t="str">
        <f>VLOOKUP(AX2,Forecast!$R$2:$V$11,5,0)</f>
        <v>B</v>
      </c>
      <c r="AZ2" s="4" t="str">
        <f>Historico!BA2</f>
        <v>X</v>
      </c>
      <c r="BA2" s="3">
        <f>AVERAGE(AE2:AV2)</f>
        <v>60294</v>
      </c>
      <c r="BB2" s="3">
        <f>_xlfn.STDEV.S(AE2:AV2)</f>
        <v>12474.545942461724</v>
      </c>
      <c r="BC2" s="11">
        <f>SUMIFS($BA$20:$BA$28,$AY$20:$AY$28,$AY2,$AZ$20:$AZ$28,AZ2)</f>
        <v>0.91999999999999993</v>
      </c>
      <c r="BD2">
        <f>+'LeadTime-Dias'!B2/30+0.5/30</f>
        <v>0.11533333333333332</v>
      </c>
      <c r="BE2">
        <f>+NORMSINV(BC2)</f>
        <v>1.4050715603096333</v>
      </c>
      <c r="BF2">
        <f>+SQRT(BD2)</f>
        <v>0.3396076167186674</v>
      </c>
      <c r="BG2" s="20">
        <f>+BB2*BE2*BF2</f>
        <v>5952.516559851786</v>
      </c>
      <c r="BH2" s="21">
        <f>+BG2/BA2*30</f>
        <v>2.9617457258691342</v>
      </c>
      <c r="BI2" s="22">
        <f>(30*BD2/2)+BH2</f>
        <v>4.6917457258691337</v>
      </c>
    </row>
    <row r="3" spans="1:61" ht="15.75" x14ac:dyDescent="0.25">
      <c r="A3" s="4" t="s">
        <v>16</v>
      </c>
      <c r="B3" s="3">
        <v>102066</v>
      </c>
      <c r="C3" s="3">
        <v>86122</v>
      </c>
      <c r="D3" s="3">
        <v>97102</v>
      </c>
      <c r="E3" s="3">
        <v>111578</v>
      </c>
      <c r="F3" s="3">
        <v>102502</v>
      </c>
      <c r="G3" s="3">
        <v>102180</v>
      </c>
      <c r="H3" s="3">
        <v>99574</v>
      </c>
      <c r="I3" s="3">
        <v>86700</v>
      </c>
      <c r="J3" s="3">
        <v>88208</v>
      </c>
      <c r="K3" s="3">
        <v>82248</v>
      </c>
      <c r="L3" s="3">
        <v>154602</v>
      </c>
      <c r="M3" s="3">
        <v>90342</v>
      </c>
      <c r="N3" s="3">
        <v>104214</v>
      </c>
      <c r="O3" s="3">
        <v>87916</v>
      </c>
      <c r="P3" s="3">
        <v>99138</v>
      </c>
      <c r="Q3" s="3">
        <v>113898</v>
      </c>
      <c r="R3" s="3">
        <v>104600</v>
      </c>
      <c r="S3" s="3">
        <v>104338</v>
      </c>
      <c r="T3" s="3">
        <v>101624</v>
      </c>
      <c r="U3" s="3">
        <v>88492</v>
      </c>
      <c r="V3" s="3">
        <v>90078</v>
      </c>
      <c r="W3" s="3">
        <v>83918</v>
      </c>
      <c r="X3" s="3">
        <v>157714</v>
      </c>
      <c r="Y3" s="3">
        <v>92166</v>
      </c>
      <c r="Z3" s="3">
        <v>106330</v>
      </c>
      <c r="AA3" s="3">
        <v>89788</v>
      </c>
      <c r="AB3" s="3">
        <v>101228</v>
      </c>
      <c r="AC3" s="3">
        <v>116262</v>
      </c>
      <c r="AD3" s="3">
        <v>106716</v>
      </c>
      <c r="AE3" s="3">
        <v>106508</v>
      </c>
      <c r="AF3" s="3">
        <v>103772</v>
      </c>
      <c r="AG3" s="3">
        <v>90288</v>
      </c>
      <c r="AH3" s="3">
        <v>91952</v>
      </c>
      <c r="AI3" s="3">
        <v>85650</v>
      </c>
      <c r="AJ3" s="3">
        <v>160914</v>
      </c>
      <c r="AK3" s="3">
        <v>94100</v>
      </c>
      <c r="AL3" s="3">
        <v>108486</v>
      </c>
      <c r="AM3" s="3">
        <v>91690</v>
      </c>
      <c r="AN3" s="3">
        <v>103366</v>
      </c>
      <c r="AO3" s="3">
        <v>118640</v>
      </c>
      <c r="AP3" s="3">
        <v>108942</v>
      </c>
      <c r="AQ3" s="3">
        <v>108706</v>
      </c>
      <c r="AR3" s="3">
        <v>105898</v>
      </c>
      <c r="AS3" s="3">
        <v>92178</v>
      </c>
      <c r="AT3" s="3">
        <v>93866</v>
      </c>
      <c r="AU3" s="3">
        <v>87428</v>
      </c>
      <c r="AV3" s="3">
        <v>164244</v>
      </c>
      <c r="AX3" s="4" t="s">
        <v>16</v>
      </c>
      <c r="AY3" s="4" t="str">
        <f>VLOOKUP(AX3,Forecast!$R$2:$V$11,5,0)</f>
        <v>A</v>
      </c>
      <c r="AZ3" s="4" t="str">
        <f>Historico!BA3</f>
        <v>X</v>
      </c>
      <c r="BA3" s="3">
        <f t="shared" ref="BA3:BA11" si="0">AVERAGE(AE3:AV3)</f>
        <v>106479.33333333333</v>
      </c>
      <c r="BB3" s="3">
        <f t="shared" ref="BB3:BB11" si="1">_xlfn.STDEV.S(AE3:AV3)</f>
        <v>22341.988852435519</v>
      </c>
      <c r="BC3" s="11">
        <f t="shared" ref="BC3:BC11" si="2">SUMIFS($BA$20:$BA$28,$AY$20:$AY$28,$AY3,$AZ$20:$AZ$28,AZ3)</f>
        <v>0.99</v>
      </c>
      <c r="BD3">
        <f>+'LeadTime-Dias'!B3/30+0.5/30</f>
        <v>0.51133333333333331</v>
      </c>
      <c r="BE3">
        <f t="shared" ref="BE3:BE11" si="3">+NORMSINV(BC3)</f>
        <v>2.3263478740408408</v>
      </c>
      <c r="BF3">
        <f t="shared" ref="BF3:BF11" si="4">+SQRT(BD3)</f>
        <v>0.71507575356274899</v>
      </c>
      <c r="BG3" s="20">
        <f t="shared" ref="BG3:BG11" si="5">+BB3*BE3*BF3</f>
        <v>37166.232671599471</v>
      </c>
      <c r="BH3" s="21">
        <f t="shared" ref="BH3:BH11" si="6">+BG3/BA3*30</f>
        <v>10.471393323411593</v>
      </c>
      <c r="BI3" s="22">
        <f t="shared" ref="BI3:BI11" si="7">(30*BD3/2)+BH3</f>
        <v>18.141393323411592</v>
      </c>
    </row>
    <row r="4" spans="1:61" ht="15.75" x14ac:dyDescent="0.25">
      <c r="A4" s="4" t="s">
        <v>17</v>
      </c>
      <c r="B4" s="3">
        <v>75182</v>
      </c>
      <c r="C4" s="3">
        <v>65590</v>
      </c>
      <c r="D4" s="3">
        <v>77978</v>
      </c>
      <c r="E4" s="3">
        <v>83166</v>
      </c>
      <c r="F4" s="3">
        <v>76852</v>
      </c>
      <c r="G4" s="3">
        <v>77068</v>
      </c>
      <c r="H4" s="3">
        <v>79606</v>
      </c>
      <c r="I4" s="3">
        <v>69414</v>
      </c>
      <c r="J4" s="3">
        <v>67170</v>
      </c>
      <c r="K4" s="3">
        <v>61304</v>
      </c>
      <c r="L4" s="3">
        <v>123354</v>
      </c>
      <c r="M4" s="3">
        <v>71078</v>
      </c>
      <c r="N4" s="3">
        <v>76718</v>
      </c>
      <c r="O4" s="3">
        <v>66984</v>
      </c>
      <c r="P4" s="3">
        <v>79600</v>
      </c>
      <c r="Q4" s="3">
        <v>84934</v>
      </c>
      <c r="R4" s="3">
        <v>78500</v>
      </c>
      <c r="S4" s="3">
        <v>78674</v>
      </c>
      <c r="T4" s="3">
        <v>81278</v>
      </c>
      <c r="U4" s="3">
        <v>70820</v>
      </c>
      <c r="V4" s="3">
        <v>68628</v>
      </c>
      <c r="W4" s="3">
        <v>62548</v>
      </c>
      <c r="X4" s="3">
        <v>125934</v>
      </c>
      <c r="Y4" s="3">
        <v>72566</v>
      </c>
      <c r="Z4" s="3">
        <v>78318</v>
      </c>
      <c r="AA4" s="3">
        <v>68354</v>
      </c>
      <c r="AB4" s="3">
        <v>81310</v>
      </c>
      <c r="AC4" s="3">
        <v>86698</v>
      </c>
      <c r="AD4" s="3">
        <v>80158</v>
      </c>
      <c r="AE4" s="3">
        <v>80280</v>
      </c>
      <c r="AF4" s="3">
        <v>82954</v>
      </c>
      <c r="AG4" s="3">
        <v>72342</v>
      </c>
      <c r="AH4" s="3">
        <v>70094</v>
      </c>
      <c r="AI4" s="3">
        <v>63910</v>
      </c>
      <c r="AJ4" s="3">
        <v>128554</v>
      </c>
      <c r="AK4" s="3">
        <v>74076</v>
      </c>
      <c r="AL4" s="3">
        <v>79960</v>
      </c>
      <c r="AM4" s="3">
        <v>69800</v>
      </c>
      <c r="AN4" s="3">
        <v>82976</v>
      </c>
      <c r="AO4" s="3">
        <v>88534</v>
      </c>
      <c r="AP4" s="3">
        <v>81800</v>
      </c>
      <c r="AQ4" s="3">
        <v>81994</v>
      </c>
      <c r="AR4" s="3">
        <v>84722</v>
      </c>
      <c r="AS4" s="3">
        <v>73896</v>
      </c>
      <c r="AT4" s="3">
        <v>71592</v>
      </c>
      <c r="AU4" s="3">
        <v>65304</v>
      </c>
      <c r="AV4" s="3">
        <v>131216</v>
      </c>
      <c r="AX4" s="4" t="s">
        <v>17</v>
      </c>
      <c r="AY4" s="4" t="str">
        <f>VLOOKUP(AX4,Forecast!$R$2:$V$11,5,0)</f>
        <v>A</v>
      </c>
      <c r="AZ4" s="4" t="str">
        <f>Historico!BA4</f>
        <v>Z</v>
      </c>
      <c r="BA4" s="3">
        <f t="shared" si="0"/>
        <v>82444.666666666672</v>
      </c>
      <c r="BB4" s="3">
        <f t="shared" si="1"/>
        <v>18584.815117218048</v>
      </c>
      <c r="BC4" s="11">
        <f t="shared" si="2"/>
        <v>0.91999999999999993</v>
      </c>
      <c r="BD4">
        <f>+'LeadTime-Dias'!B4/30+0.5/30</f>
        <v>9.5333333333333325E-2</v>
      </c>
      <c r="BE4">
        <f t="shared" si="3"/>
        <v>1.4050715603096333</v>
      </c>
      <c r="BF4">
        <f t="shared" si="4"/>
        <v>0.3087609647175843</v>
      </c>
      <c r="BG4" s="20">
        <f t="shared" si="5"/>
        <v>8062.6735818416955</v>
      </c>
      <c r="BH4" s="21">
        <f t="shared" si="6"/>
        <v>2.9338490557939974</v>
      </c>
      <c r="BI4" s="22">
        <f t="shared" si="7"/>
        <v>4.3638490557939971</v>
      </c>
    </row>
    <row r="5" spans="1:61" ht="15.75" x14ac:dyDescent="0.25">
      <c r="A5" s="4" t="s">
        <v>18</v>
      </c>
      <c r="B5" s="3">
        <v>88686</v>
      </c>
      <c r="C5" s="3">
        <v>75412</v>
      </c>
      <c r="D5" s="3">
        <v>86990</v>
      </c>
      <c r="E5" s="3">
        <v>91990</v>
      </c>
      <c r="F5" s="3">
        <v>88822</v>
      </c>
      <c r="G5" s="3">
        <v>91362</v>
      </c>
      <c r="H5" s="3">
        <v>86570</v>
      </c>
      <c r="I5" s="3">
        <v>78470</v>
      </c>
      <c r="J5" s="3">
        <v>79396</v>
      </c>
      <c r="K5" s="3">
        <v>72652</v>
      </c>
      <c r="L5" s="3">
        <v>137876</v>
      </c>
      <c r="M5" s="3">
        <v>78832</v>
      </c>
      <c r="N5" s="3">
        <v>90516</v>
      </c>
      <c r="O5" s="3">
        <v>77002</v>
      </c>
      <c r="P5" s="3">
        <v>88772</v>
      </c>
      <c r="Q5" s="3">
        <v>93944</v>
      </c>
      <c r="R5" s="3">
        <v>90628</v>
      </c>
      <c r="S5" s="3">
        <v>93226</v>
      </c>
      <c r="T5" s="3">
        <v>88356</v>
      </c>
      <c r="U5" s="3">
        <v>80134</v>
      </c>
      <c r="V5" s="3">
        <v>81098</v>
      </c>
      <c r="W5" s="3">
        <v>74194</v>
      </c>
      <c r="X5" s="3">
        <v>140666</v>
      </c>
      <c r="Y5" s="3">
        <v>80482</v>
      </c>
      <c r="Z5" s="3">
        <v>92392</v>
      </c>
      <c r="AA5" s="3">
        <v>78568</v>
      </c>
      <c r="AB5" s="3">
        <v>90580</v>
      </c>
      <c r="AC5" s="3">
        <v>95872</v>
      </c>
      <c r="AD5" s="3">
        <v>92486</v>
      </c>
      <c r="AE5" s="3">
        <v>95154</v>
      </c>
      <c r="AF5" s="3">
        <v>90190</v>
      </c>
      <c r="AG5" s="3">
        <v>81822</v>
      </c>
      <c r="AH5" s="3">
        <v>82838</v>
      </c>
      <c r="AI5" s="3">
        <v>75726</v>
      </c>
      <c r="AJ5" s="3">
        <v>143522</v>
      </c>
      <c r="AK5" s="3">
        <v>82152</v>
      </c>
      <c r="AL5" s="3">
        <v>94328</v>
      </c>
      <c r="AM5" s="3">
        <v>80240</v>
      </c>
      <c r="AN5" s="3">
        <v>92472</v>
      </c>
      <c r="AO5" s="3">
        <v>97810</v>
      </c>
      <c r="AP5" s="3">
        <v>94434</v>
      </c>
      <c r="AQ5" s="3">
        <v>97114</v>
      </c>
      <c r="AR5" s="3">
        <v>92026</v>
      </c>
      <c r="AS5" s="3">
        <v>83476</v>
      </c>
      <c r="AT5" s="3">
        <v>84590</v>
      </c>
      <c r="AU5" s="3">
        <v>77348</v>
      </c>
      <c r="AV5" s="3">
        <v>146410</v>
      </c>
      <c r="AX5" s="4" t="s">
        <v>18</v>
      </c>
      <c r="AY5" s="4" t="str">
        <f>VLOOKUP(AX5,Forecast!$R$2:$V$11,5,0)</f>
        <v>A</v>
      </c>
      <c r="AZ5" s="4" t="str">
        <f>Historico!BA5</f>
        <v>Y</v>
      </c>
      <c r="BA5" s="3">
        <f t="shared" si="0"/>
        <v>93980.666666666672</v>
      </c>
      <c r="BB5" s="3">
        <f t="shared" si="1"/>
        <v>19791.494988563976</v>
      </c>
      <c r="BC5" s="11">
        <f t="shared" si="2"/>
        <v>0.95499999999999996</v>
      </c>
      <c r="BD5">
        <f>+'LeadTime-Dias'!B5/30+0.5/30</f>
        <v>0.55533333333333335</v>
      </c>
      <c r="BE5">
        <f t="shared" si="3"/>
        <v>1.6953977102721358</v>
      </c>
      <c r="BF5">
        <f t="shared" si="4"/>
        <v>0.74520690639132792</v>
      </c>
      <c r="BG5" s="20">
        <f t="shared" si="5"/>
        <v>25005.01181967929</v>
      </c>
      <c r="BH5" s="21">
        <f t="shared" si="6"/>
        <v>7.9819646018370314</v>
      </c>
      <c r="BI5" s="22">
        <f t="shared" si="7"/>
        <v>16.311964601837033</v>
      </c>
    </row>
    <row r="6" spans="1:61" ht="15.75" x14ac:dyDescent="0.25">
      <c r="A6" s="4" t="s">
        <v>19</v>
      </c>
      <c r="B6" s="3">
        <v>54144</v>
      </c>
      <c r="C6" s="3">
        <v>45482</v>
      </c>
      <c r="D6" s="3">
        <v>57790</v>
      </c>
      <c r="E6" s="3">
        <v>62022</v>
      </c>
      <c r="F6" s="3">
        <v>57298</v>
      </c>
      <c r="G6" s="3">
        <v>55756</v>
      </c>
      <c r="H6" s="3">
        <v>53972</v>
      </c>
      <c r="I6" s="3">
        <v>48730</v>
      </c>
      <c r="J6" s="3">
        <v>49132</v>
      </c>
      <c r="K6" s="3">
        <v>44234</v>
      </c>
      <c r="L6" s="3">
        <v>88934</v>
      </c>
      <c r="M6" s="3">
        <v>48428</v>
      </c>
      <c r="N6" s="3">
        <v>55328</v>
      </c>
      <c r="O6" s="3">
        <v>46474</v>
      </c>
      <c r="P6" s="3">
        <v>58998</v>
      </c>
      <c r="Q6" s="3">
        <v>63332</v>
      </c>
      <c r="R6" s="3">
        <v>58486</v>
      </c>
      <c r="S6" s="3">
        <v>56934</v>
      </c>
      <c r="T6" s="3">
        <v>55158</v>
      </c>
      <c r="U6" s="3">
        <v>49784</v>
      </c>
      <c r="V6" s="3">
        <v>50186</v>
      </c>
      <c r="W6" s="3">
        <v>45230</v>
      </c>
      <c r="X6" s="3">
        <v>90732</v>
      </c>
      <c r="Y6" s="3">
        <v>49492</v>
      </c>
      <c r="Z6" s="3">
        <v>56512</v>
      </c>
      <c r="AA6" s="3">
        <v>47454</v>
      </c>
      <c r="AB6" s="3">
        <v>60198</v>
      </c>
      <c r="AC6" s="3">
        <v>64670</v>
      </c>
      <c r="AD6" s="3">
        <v>59708</v>
      </c>
      <c r="AE6" s="3">
        <v>58166</v>
      </c>
      <c r="AF6" s="3">
        <v>56346</v>
      </c>
      <c r="AG6" s="3">
        <v>50812</v>
      </c>
      <c r="AH6" s="3">
        <v>51270</v>
      </c>
      <c r="AI6" s="3">
        <v>46220</v>
      </c>
      <c r="AJ6" s="3">
        <v>92596</v>
      </c>
      <c r="AK6" s="3">
        <v>50534</v>
      </c>
      <c r="AL6" s="3">
        <v>57724</v>
      </c>
      <c r="AM6" s="3">
        <v>48502</v>
      </c>
      <c r="AN6" s="3">
        <v>61472</v>
      </c>
      <c r="AO6" s="3">
        <v>66050</v>
      </c>
      <c r="AP6" s="3">
        <v>61002</v>
      </c>
      <c r="AQ6" s="3">
        <v>59394</v>
      </c>
      <c r="AR6" s="3">
        <v>57498</v>
      </c>
      <c r="AS6" s="3">
        <v>51926</v>
      </c>
      <c r="AT6" s="3">
        <v>52344</v>
      </c>
      <c r="AU6" s="3">
        <v>47170</v>
      </c>
      <c r="AV6" s="3">
        <v>94514</v>
      </c>
      <c r="AX6" s="4" t="s">
        <v>19</v>
      </c>
      <c r="AY6" s="4" t="str">
        <f>VLOOKUP(AX6,Forecast!$R$2:$V$11,5,0)</f>
        <v>B</v>
      </c>
      <c r="AZ6" s="4" t="str">
        <f>Historico!BA6</f>
        <v>Z</v>
      </c>
      <c r="BA6" s="3">
        <f t="shared" si="0"/>
        <v>59085.555555555555</v>
      </c>
      <c r="BB6" s="3">
        <f t="shared" si="1"/>
        <v>13650.473270064007</v>
      </c>
      <c r="BC6" s="11">
        <f t="shared" si="2"/>
        <v>0.84999999999999987</v>
      </c>
      <c r="BD6">
        <f>+'LeadTime-Dias'!B6/30+0.5/30</f>
        <v>0.44733333333333331</v>
      </c>
      <c r="BE6">
        <f t="shared" si="3"/>
        <v>1.0364333894937896</v>
      </c>
      <c r="BF6">
        <f t="shared" si="4"/>
        <v>0.66882982389643275</v>
      </c>
      <c r="BG6" s="20">
        <f t="shared" si="5"/>
        <v>9462.4747824300102</v>
      </c>
      <c r="BH6" s="21">
        <f t="shared" si="6"/>
        <v>4.8044609347200913</v>
      </c>
      <c r="BI6" s="22">
        <f t="shared" si="7"/>
        <v>11.514460934720091</v>
      </c>
    </row>
    <row r="7" spans="1:61" ht="15.75" x14ac:dyDescent="0.25">
      <c r="A7" s="4" t="s">
        <v>20</v>
      </c>
      <c r="B7" s="3">
        <v>49552</v>
      </c>
      <c r="C7" s="3">
        <v>44004</v>
      </c>
      <c r="D7" s="3">
        <v>48856</v>
      </c>
      <c r="E7" s="3">
        <v>52984</v>
      </c>
      <c r="F7" s="3">
        <v>50608</v>
      </c>
      <c r="G7" s="3">
        <v>53784</v>
      </c>
      <c r="H7" s="3">
        <v>50354</v>
      </c>
      <c r="I7" s="3">
        <v>41156</v>
      </c>
      <c r="J7" s="3">
        <v>42082</v>
      </c>
      <c r="K7" s="3">
        <v>39350</v>
      </c>
      <c r="L7" s="3">
        <v>77662</v>
      </c>
      <c r="M7" s="3">
        <v>43178</v>
      </c>
      <c r="N7" s="3">
        <v>50608</v>
      </c>
      <c r="O7" s="3">
        <v>44944</v>
      </c>
      <c r="P7" s="3">
        <v>49870</v>
      </c>
      <c r="Q7" s="3">
        <v>54092</v>
      </c>
      <c r="R7" s="3">
        <v>51654</v>
      </c>
      <c r="S7" s="3">
        <v>54906</v>
      </c>
      <c r="T7" s="3">
        <v>51412</v>
      </c>
      <c r="U7" s="3">
        <v>42076</v>
      </c>
      <c r="V7" s="3">
        <v>42952</v>
      </c>
      <c r="W7" s="3">
        <v>40242</v>
      </c>
      <c r="X7" s="3">
        <v>79238</v>
      </c>
      <c r="Y7" s="3">
        <v>44062</v>
      </c>
      <c r="Z7" s="3">
        <v>51708</v>
      </c>
      <c r="AA7" s="3">
        <v>45960</v>
      </c>
      <c r="AB7" s="3">
        <v>50910</v>
      </c>
      <c r="AC7" s="3">
        <v>55204</v>
      </c>
      <c r="AD7" s="3">
        <v>52806</v>
      </c>
      <c r="AE7" s="3">
        <v>56078</v>
      </c>
      <c r="AF7" s="3">
        <v>52530</v>
      </c>
      <c r="AG7" s="3">
        <v>42956</v>
      </c>
      <c r="AH7" s="3">
        <v>43888</v>
      </c>
      <c r="AI7" s="3">
        <v>41112</v>
      </c>
      <c r="AJ7" s="3">
        <v>80860</v>
      </c>
      <c r="AK7" s="3">
        <v>45000</v>
      </c>
      <c r="AL7" s="3">
        <v>52838</v>
      </c>
      <c r="AM7" s="3">
        <v>46952</v>
      </c>
      <c r="AN7" s="3">
        <v>52026</v>
      </c>
      <c r="AO7" s="3">
        <v>56422</v>
      </c>
      <c r="AP7" s="3">
        <v>53936</v>
      </c>
      <c r="AQ7" s="3">
        <v>57312</v>
      </c>
      <c r="AR7" s="3">
        <v>53694</v>
      </c>
      <c r="AS7" s="3">
        <v>43894</v>
      </c>
      <c r="AT7" s="3">
        <v>44852</v>
      </c>
      <c r="AU7" s="3">
        <v>41986</v>
      </c>
      <c r="AV7" s="3">
        <v>82588</v>
      </c>
      <c r="AX7" s="4" t="s">
        <v>20</v>
      </c>
      <c r="AY7" s="4" t="str">
        <f>VLOOKUP(AX7,Forecast!$R$2:$V$11,5,0)</f>
        <v>C</v>
      </c>
      <c r="AZ7" s="4" t="str">
        <f>Historico!BA7</f>
        <v>Y</v>
      </c>
      <c r="BA7" s="3">
        <f t="shared" si="0"/>
        <v>52718</v>
      </c>
      <c r="BB7" s="3">
        <f t="shared" si="1"/>
        <v>11854.410050570159</v>
      </c>
      <c r="BC7" s="11">
        <f t="shared" si="2"/>
        <v>0.81499999999999984</v>
      </c>
      <c r="BD7">
        <f>+'LeadTime-Dias'!B7/30+0.5/30</f>
        <v>0.58733333333333337</v>
      </c>
      <c r="BE7">
        <f t="shared" si="3"/>
        <v>0.89647336400191613</v>
      </c>
      <c r="BF7">
        <f t="shared" si="4"/>
        <v>0.76637675678045802</v>
      </c>
      <c r="BG7" s="20">
        <f t="shared" si="5"/>
        <v>8144.4106035833902</v>
      </c>
      <c r="BH7" s="21">
        <f t="shared" si="6"/>
        <v>4.6347038603039135</v>
      </c>
      <c r="BI7" s="22">
        <f t="shared" si="7"/>
        <v>13.444703860303914</v>
      </c>
    </row>
    <row r="8" spans="1:61" ht="15.75" x14ac:dyDescent="0.25">
      <c r="A8" s="4" t="s">
        <v>21</v>
      </c>
      <c r="B8" s="3">
        <v>90834</v>
      </c>
      <c r="C8" s="3">
        <v>73510</v>
      </c>
      <c r="D8" s="3">
        <v>89948</v>
      </c>
      <c r="E8" s="3">
        <v>98224</v>
      </c>
      <c r="F8" s="3">
        <v>92550</v>
      </c>
      <c r="G8" s="3">
        <v>91140</v>
      </c>
      <c r="H8" s="3">
        <v>86494</v>
      </c>
      <c r="I8" s="3">
        <v>79056</v>
      </c>
      <c r="J8" s="3">
        <v>79234</v>
      </c>
      <c r="K8" s="3">
        <v>73912</v>
      </c>
      <c r="L8" s="3">
        <v>141266</v>
      </c>
      <c r="M8" s="3">
        <v>80864</v>
      </c>
      <c r="N8" s="3">
        <v>92736</v>
      </c>
      <c r="O8" s="3">
        <v>75000</v>
      </c>
      <c r="P8" s="3">
        <v>91838</v>
      </c>
      <c r="Q8" s="3">
        <v>100254</v>
      </c>
      <c r="R8" s="3">
        <v>94438</v>
      </c>
      <c r="S8" s="3">
        <v>93026</v>
      </c>
      <c r="T8" s="3">
        <v>88330</v>
      </c>
      <c r="U8" s="3">
        <v>80694</v>
      </c>
      <c r="V8" s="3">
        <v>80904</v>
      </c>
      <c r="W8" s="3">
        <v>75474</v>
      </c>
      <c r="X8" s="3">
        <v>144194</v>
      </c>
      <c r="Y8" s="3">
        <v>82540</v>
      </c>
      <c r="Z8" s="3">
        <v>94696</v>
      </c>
      <c r="AA8" s="3">
        <v>76604</v>
      </c>
      <c r="AB8" s="3">
        <v>93744</v>
      </c>
      <c r="AC8" s="3">
        <v>102344</v>
      </c>
      <c r="AD8" s="3">
        <v>96388</v>
      </c>
      <c r="AE8" s="3">
        <v>94908</v>
      </c>
      <c r="AF8" s="3">
        <v>90184</v>
      </c>
      <c r="AG8" s="3">
        <v>82398</v>
      </c>
      <c r="AH8" s="3">
        <v>82568</v>
      </c>
      <c r="AI8" s="3">
        <v>77032</v>
      </c>
      <c r="AJ8" s="3">
        <v>147114</v>
      </c>
      <c r="AK8" s="3">
        <v>84268</v>
      </c>
      <c r="AL8" s="3">
        <v>96698</v>
      </c>
      <c r="AM8" s="3">
        <v>78154</v>
      </c>
      <c r="AN8" s="3">
        <v>95656</v>
      </c>
      <c r="AO8" s="3">
        <v>104448</v>
      </c>
      <c r="AP8" s="3">
        <v>98384</v>
      </c>
      <c r="AQ8" s="3">
        <v>96888</v>
      </c>
      <c r="AR8" s="3">
        <v>92080</v>
      </c>
      <c r="AS8" s="3">
        <v>84140</v>
      </c>
      <c r="AT8" s="3">
        <v>84324</v>
      </c>
      <c r="AU8" s="3">
        <v>78672</v>
      </c>
      <c r="AV8" s="3">
        <v>150142</v>
      </c>
      <c r="AX8" s="4" t="s">
        <v>21</v>
      </c>
      <c r="AY8" s="4" t="str">
        <f>VLOOKUP(AX8,Forecast!$R$2:$V$11,5,0)</f>
        <v>A</v>
      </c>
      <c r="AZ8" s="4" t="str">
        <f>Historico!BA8</f>
        <v>Y</v>
      </c>
      <c r="BA8" s="3">
        <f t="shared" si="0"/>
        <v>95447.666666666672</v>
      </c>
      <c r="BB8" s="3">
        <f t="shared" si="1"/>
        <v>20900.214716037503</v>
      </c>
      <c r="BC8" s="11">
        <f t="shared" si="2"/>
        <v>0.95499999999999996</v>
      </c>
      <c r="BD8">
        <f>+'LeadTime-Dias'!B8/30+0.5/30</f>
        <v>0.23933333333333331</v>
      </c>
      <c r="BE8">
        <f t="shared" si="3"/>
        <v>1.6953977102721358</v>
      </c>
      <c r="BF8">
        <f t="shared" si="4"/>
        <v>0.48921706157219547</v>
      </c>
      <c r="BG8" s="20">
        <f t="shared" si="5"/>
        <v>17335.003546961292</v>
      </c>
      <c r="BH8" s="21">
        <f t="shared" si="6"/>
        <v>5.4485366124770511</v>
      </c>
      <c r="BI8" s="22">
        <f t="shared" si="7"/>
        <v>9.038536612477051</v>
      </c>
    </row>
    <row r="9" spans="1:61" ht="15.75" x14ac:dyDescent="0.25">
      <c r="A9" s="4" t="s">
        <v>22</v>
      </c>
      <c r="B9" s="3">
        <v>44652</v>
      </c>
      <c r="C9" s="3">
        <v>40200</v>
      </c>
      <c r="D9" s="3">
        <v>48506</v>
      </c>
      <c r="E9" s="3">
        <v>54952</v>
      </c>
      <c r="F9" s="3">
        <v>46146</v>
      </c>
      <c r="G9" s="3">
        <v>50828</v>
      </c>
      <c r="H9" s="3">
        <v>48910</v>
      </c>
      <c r="I9" s="3">
        <v>42626</v>
      </c>
      <c r="J9" s="3">
        <v>43688</v>
      </c>
      <c r="K9" s="3">
        <v>42472</v>
      </c>
      <c r="L9" s="3">
        <v>74612</v>
      </c>
      <c r="M9" s="3">
        <v>44840</v>
      </c>
      <c r="N9" s="3">
        <v>45654</v>
      </c>
      <c r="O9" s="3">
        <v>41104</v>
      </c>
      <c r="P9" s="3">
        <v>49502</v>
      </c>
      <c r="Q9" s="3">
        <v>56142</v>
      </c>
      <c r="R9" s="3">
        <v>47152</v>
      </c>
      <c r="S9" s="3">
        <v>51882</v>
      </c>
      <c r="T9" s="3">
        <v>49946</v>
      </c>
      <c r="U9" s="3">
        <v>43584</v>
      </c>
      <c r="V9" s="3">
        <v>44632</v>
      </c>
      <c r="W9" s="3">
        <v>43410</v>
      </c>
      <c r="X9" s="3">
        <v>76168</v>
      </c>
      <c r="Y9" s="3">
        <v>45768</v>
      </c>
      <c r="Z9" s="3">
        <v>46684</v>
      </c>
      <c r="AA9" s="3">
        <v>41984</v>
      </c>
      <c r="AB9" s="3">
        <v>50528</v>
      </c>
      <c r="AC9" s="3">
        <v>57378</v>
      </c>
      <c r="AD9" s="3">
        <v>48162</v>
      </c>
      <c r="AE9" s="3">
        <v>53006</v>
      </c>
      <c r="AF9" s="3">
        <v>50978</v>
      </c>
      <c r="AG9" s="3">
        <v>44542</v>
      </c>
      <c r="AH9" s="3">
        <v>45606</v>
      </c>
      <c r="AI9" s="3">
        <v>44348</v>
      </c>
      <c r="AJ9" s="3">
        <v>77752</v>
      </c>
      <c r="AK9" s="3">
        <v>46752</v>
      </c>
      <c r="AL9" s="3">
        <v>47650</v>
      </c>
      <c r="AM9" s="3">
        <v>42928</v>
      </c>
      <c r="AN9" s="3">
        <v>51646</v>
      </c>
      <c r="AO9" s="3">
        <v>58612</v>
      </c>
      <c r="AP9" s="3">
        <v>49180</v>
      </c>
      <c r="AQ9" s="3">
        <v>54156</v>
      </c>
      <c r="AR9" s="3">
        <v>52052</v>
      </c>
      <c r="AS9" s="3">
        <v>45530</v>
      </c>
      <c r="AT9" s="3">
        <v>46584</v>
      </c>
      <c r="AU9" s="3">
        <v>45320</v>
      </c>
      <c r="AV9" s="3">
        <v>79388</v>
      </c>
      <c r="AX9" s="4" t="s">
        <v>22</v>
      </c>
      <c r="AY9" s="4" t="str">
        <f>VLOOKUP(AX9,Forecast!$R$2:$V$11,5,0)</f>
        <v>C</v>
      </c>
      <c r="AZ9" s="4" t="str">
        <f>Historico!BA9</f>
        <v>X</v>
      </c>
      <c r="BA9" s="3">
        <f t="shared" si="0"/>
        <v>52001.666666666664</v>
      </c>
      <c r="BB9" s="3">
        <f t="shared" si="1"/>
        <v>10492.045911630616</v>
      </c>
      <c r="BC9" s="11">
        <f t="shared" si="2"/>
        <v>0.84999999999999987</v>
      </c>
      <c r="BD9">
        <f>+'LeadTime-Dias'!B9/30+0.5/30</f>
        <v>0.26333333333333336</v>
      </c>
      <c r="BE9">
        <f t="shared" si="3"/>
        <v>1.0364333894937896</v>
      </c>
      <c r="BF9">
        <f t="shared" si="4"/>
        <v>0.51316014394468845</v>
      </c>
      <c r="BG9" s="20">
        <f t="shared" si="5"/>
        <v>5580.2607950195916</v>
      </c>
      <c r="BH9" s="21">
        <f t="shared" si="6"/>
        <v>3.2192780459072674</v>
      </c>
      <c r="BI9" s="22">
        <f t="shared" si="7"/>
        <v>7.1692780459072676</v>
      </c>
    </row>
    <row r="10" spans="1:61" ht="15.75" x14ac:dyDescent="0.25">
      <c r="A10" s="4" t="s">
        <v>23</v>
      </c>
      <c r="B10" s="3">
        <v>47874</v>
      </c>
      <c r="C10" s="3">
        <v>42648</v>
      </c>
      <c r="D10" s="3">
        <v>47998</v>
      </c>
      <c r="E10" s="3">
        <v>53618</v>
      </c>
      <c r="F10" s="3">
        <v>47696</v>
      </c>
      <c r="G10" s="3">
        <v>51124</v>
      </c>
      <c r="H10" s="3">
        <v>45720</v>
      </c>
      <c r="I10" s="3">
        <v>41454</v>
      </c>
      <c r="J10" s="3">
        <v>40288</v>
      </c>
      <c r="K10" s="3">
        <v>38344</v>
      </c>
      <c r="L10" s="3">
        <v>74674</v>
      </c>
      <c r="M10" s="3">
        <v>40378</v>
      </c>
      <c r="N10" s="3">
        <v>48870</v>
      </c>
      <c r="O10" s="3">
        <v>43568</v>
      </c>
      <c r="P10" s="3">
        <v>49062</v>
      </c>
      <c r="Q10" s="3">
        <v>54736</v>
      </c>
      <c r="R10" s="3">
        <v>48704</v>
      </c>
      <c r="S10" s="3">
        <v>52226</v>
      </c>
      <c r="T10" s="3">
        <v>46712</v>
      </c>
      <c r="U10" s="3">
        <v>42330</v>
      </c>
      <c r="V10" s="3">
        <v>41154</v>
      </c>
      <c r="W10" s="3">
        <v>39222</v>
      </c>
      <c r="X10" s="3">
        <v>76278</v>
      </c>
      <c r="Y10" s="3">
        <v>41244</v>
      </c>
      <c r="Z10" s="3">
        <v>49950</v>
      </c>
      <c r="AA10" s="3">
        <v>44554</v>
      </c>
      <c r="AB10" s="3">
        <v>50116</v>
      </c>
      <c r="AC10" s="3">
        <v>55916</v>
      </c>
      <c r="AD10" s="3">
        <v>49708</v>
      </c>
      <c r="AE10" s="3">
        <v>53322</v>
      </c>
      <c r="AF10" s="3">
        <v>47724</v>
      </c>
      <c r="AG10" s="3">
        <v>43220</v>
      </c>
      <c r="AH10" s="3">
        <v>42028</v>
      </c>
      <c r="AI10" s="3">
        <v>40096</v>
      </c>
      <c r="AJ10" s="3">
        <v>77846</v>
      </c>
      <c r="AK10" s="3">
        <v>42124</v>
      </c>
      <c r="AL10" s="3">
        <v>51010</v>
      </c>
      <c r="AM10" s="3">
        <v>45550</v>
      </c>
      <c r="AN10" s="3">
        <v>51138</v>
      </c>
      <c r="AO10" s="3">
        <v>57084</v>
      </c>
      <c r="AP10" s="3">
        <v>50812</v>
      </c>
      <c r="AQ10" s="3">
        <v>54432</v>
      </c>
      <c r="AR10" s="3">
        <v>48754</v>
      </c>
      <c r="AS10" s="3">
        <v>44156</v>
      </c>
      <c r="AT10" s="3">
        <v>42976</v>
      </c>
      <c r="AU10" s="3">
        <v>40990</v>
      </c>
      <c r="AV10" s="3">
        <v>79500</v>
      </c>
      <c r="AX10" s="4" t="s">
        <v>23</v>
      </c>
      <c r="AY10" s="4" t="str">
        <f>VLOOKUP(AX10,Forecast!$R$2:$V$11,5,0)</f>
        <v>C</v>
      </c>
      <c r="AZ10" s="4" t="str">
        <f>Historico!BA10</f>
        <v>Y</v>
      </c>
      <c r="BA10" s="3">
        <f t="shared" si="0"/>
        <v>50709</v>
      </c>
      <c r="BB10" s="3">
        <f t="shared" si="1"/>
        <v>11327.43491549194</v>
      </c>
      <c r="BC10" s="11">
        <f t="shared" si="2"/>
        <v>0.81499999999999984</v>
      </c>
      <c r="BD10">
        <f>+'LeadTime-Dias'!B10/30+0.5/30</f>
        <v>0.46733333333333332</v>
      </c>
      <c r="BE10">
        <f t="shared" si="3"/>
        <v>0.89647336400191613</v>
      </c>
      <c r="BF10">
        <f t="shared" si="4"/>
        <v>0.68361782695694329</v>
      </c>
      <c r="BG10" s="20">
        <f t="shared" si="5"/>
        <v>6941.9638107001601</v>
      </c>
      <c r="BH10" s="21">
        <f t="shared" si="6"/>
        <v>4.1069418509732945</v>
      </c>
      <c r="BI10" s="22">
        <f t="shared" si="7"/>
        <v>11.116941850973294</v>
      </c>
    </row>
    <row r="11" spans="1:61" ht="15.75" x14ac:dyDescent="0.25">
      <c r="A11" s="4" t="s">
        <v>24</v>
      </c>
      <c r="B11" s="3">
        <v>47988</v>
      </c>
      <c r="C11" s="3">
        <v>40240</v>
      </c>
      <c r="D11" s="3">
        <v>47594</v>
      </c>
      <c r="E11" s="3">
        <v>47950</v>
      </c>
      <c r="F11" s="3">
        <v>47112</v>
      </c>
      <c r="G11" s="3">
        <v>47310</v>
      </c>
      <c r="H11" s="3">
        <v>45806</v>
      </c>
      <c r="I11" s="3">
        <v>42272</v>
      </c>
      <c r="J11" s="3">
        <v>40700</v>
      </c>
      <c r="K11" s="3">
        <v>41010</v>
      </c>
      <c r="L11" s="3">
        <v>74032</v>
      </c>
      <c r="M11" s="3">
        <v>43392</v>
      </c>
      <c r="N11" s="3">
        <v>49020</v>
      </c>
      <c r="O11" s="3">
        <v>41150</v>
      </c>
      <c r="P11" s="3">
        <v>48662</v>
      </c>
      <c r="Q11" s="3">
        <v>48926</v>
      </c>
      <c r="R11" s="3">
        <v>48074</v>
      </c>
      <c r="S11" s="3">
        <v>48316</v>
      </c>
      <c r="T11" s="3">
        <v>46804</v>
      </c>
      <c r="U11" s="3">
        <v>43226</v>
      </c>
      <c r="V11" s="3">
        <v>41614</v>
      </c>
      <c r="W11" s="3">
        <v>41890</v>
      </c>
      <c r="X11" s="3">
        <v>75550</v>
      </c>
      <c r="Y11" s="3">
        <v>44286</v>
      </c>
      <c r="Z11" s="3">
        <v>50088</v>
      </c>
      <c r="AA11" s="3">
        <v>42014</v>
      </c>
      <c r="AB11" s="3">
        <v>49664</v>
      </c>
      <c r="AC11" s="3">
        <v>50020</v>
      </c>
      <c r="AD11" s="3">
        <v>49116</v>
      </c>
      <c r="AE11" s="3">
        <v>49304</v>
      </c>
      <c r="AF11" s="3">
        <v>47814</v>
      </c>
      <c r="AG11" s="3">
        <v>44168</v>
      </c>
      <c r="AH11" s="3">
        <v>42528</v>
      </c>
      <c r="AI11" s="3">
        <v>42786</v>
      </c>
      <c r="AJ11" s="3">
        <v>77146</v>
      </c>
      <c r="AK11" s="3">
        <v>45234</v>
      </c>
      <c r="AL11" s="3">
        <v>51170</v>
      </c>
      <c r="AM11" s="3">
        <v>42928</v>
      </c>
      <c r="AN11" s="3">
        <v>50748</v>
      </c>
      <c r="AO11" s="3">
        <v>51094</v>
      </c>
      <c r="AP11" s="3">
        <v>50206</v>
      </c>
      <c r="AQ11" s="3">
        <v>50402</v>
      </c>
      <c r="AR11" s="3">
        <v>48834</v>
      </c>
      <c r="AS11" s="3">
        <v>45102</v>
      </c>
      <c r="AT11" s="3">
        <v>43494</v>
      </c>
      <c r="AU11" s="3">
        <v>43682</v>
      </c>
      <c r="AV11" s="3">
        <v>78804</v>
      </c>
      <c r="AX11" s="4" t="s">
        <v>24</v>
      </c>
      <c r="AY11" s="4" t="str">
        <f>VLOOKUP(AX11,Forecast!$R$2:$V$11,5,0)</f>
        <v>B</v>
      </c>
      <c r="AZ11" s="4" t="str">
        <f>Historico!BA11</f>
        <v>Y</v>
      </c>
      <c r="BA11" s="3">
        <f t="shared" si="0"/>
        <v>50302.444444444445</v>
      </c>
      <c r="BB11" s="3">
        <f t="shared" si="1"/>
        <v>10559.994932163565</v>
      </c>
      <c r="BC11" s="11">
        <f t="shared" si="2"/>
        <v>0.8849999999999999</v>
      </c>
      <c r="BD11">
        <f>+'LeadTime-Dias'!B11/30+0.5/30</f>
        <v>0.30733333333333329</v>
      </c>
      <c r="BE11">
        <f t="shared" si="3"/>
        <v>1.2003588580308584</v>
      </c>
      <c r="BF11">
        <f t="shared" si="4"/>
        <v>0.55437652667959647</v>
      </c>
      <c r="BG11" s="20">
        <f t="shared" si="5"/>
        <v>7027.1568061578319</v>
      </c>
      <c r="BH11" s="21">
        <f t="shared" si="6"/>
        <v>4.1909435319304444</v>
      </c>
      <c r="BI11" s="22">
        <f t="shared" si="7"/>
        <v>8.800943531930443</v>
      </c>
    </row>
    <row r="14" spans="1:61" x14ac:dyDescent="0.25">
      <c r="BG14">
        <f>+ProyInventario!B44</f>
        <v>997403.61351732293</v>
      </c>
    </row>
    <row r="15" spans="1:61" x14ac:dyDescent="0.25">
      <c r="AZ15" t="s">
        <v>36</v>
      </c>
      <c r="BA15" t="s">
        <v>37</v>
      </c>
      <c r="BB15" t="s">
        <v>38</v>
      </c>
      <c r="BD15" s="11">
        <v>0.99</v>
      </c>
    </row>
    <row r="16" spans="1:61" x14ac:dyDescent="0.25">
      <c r="AY16" t="s">
        <v>29</v>
      </c>
      <c r="AZ16" s="25">
        <f>+$BD$15</f>
        <v>0.99</v>
      </c>
      <c r="BA16" s="25">
        <f>+AZ16+$BD$16</f>
        <v>0.95499999999999996</v>
      </c>
      <c r="BB16" s="25">
        <f>+BA16+$BD$16</f>
        <v>0.91999999999999993</v>
      </c>
      <c r="BD16" s="11">
        <v>-3.5000000000000003E-2</v>
      </c>
    </row>
    <row r="17" spans="51:54" x14ac:dyDescent="0.25">
      <c r="AY17" t="s">
        <v>30</v>
      </c>
      <c r="AZ17" s="25">
        <f>+BB16</f>
        <v>0.91999999999999993</v>
      </c>
      <c r="BA17" s="25">
        <f>+AZ17+$BD$16</f>
        <v>0.8849999999999999</v>
      </c>
      <c r="BB17" s="25">
        <f>+BA17+$BD$16</f>
        <v>0.84999999999999987</v>
      </c>
    </row>
    <row r="18" spans="51:54" x14ac:dyDescent="0.25">
      <c r="AY18" t="s">
        <v>31</v>
      </c>
      <c r="AZ18" s="25">
        <f>+BB17</f>
        <v>0.84999999999999987</v>
      </c>
      <c r="BA18" s="25">
        <f>+AZ18+$BD$16</f>
        <v>0.81499999999999984</v>
      </c>
      <c r="BB18" s="25">
        <f>+BA18+$BD$16</f>
        <v>0.7799999999999998</v>
      </c>
    </row>
    <row r="20" spans="51:54" x14ac:dyDescent="0.25">
      <c r="AY20" t="s">
        <v>29</v>
      </c>
      <c r="AZ20" t="s">
        <v>36</v>
      </c>
      <c r="BA20" s="11" cm="1">
        <f t="array" ref="BA20:BA22">+TRANSPOSE(AZ16:BB16)</f>
        <v>0.99</v>
      </c>
    </row>
    <row r="21" spans="51:54" x14ac:dyDescent="0.25">
      <c r="AY21" t="s">
        <v>29</v>
      </c>
      <c r="AZ21" t="s">
        <v>37</v>
      </c>
      <c r="BA21" s="11">
        <v>0.95499999999999996</v>
      </c>
    </row>
    <row r="22" spans="51:54" x14ac:dyDescent="0.25">
      <c r="AY22" t="s">
        <v>29</v>
      </c>
      <c r="AZ22" t="s">
        <v>38</v>
      </c>
      <c r="BA22" s="11">
        <v>0.91999999999999993</v>
      </c>
    </row>
    <row r="23" spans="51:54" x14ac:dyDescent="0.25">
      <c r="AY23" t="s">
        <v>30</v>
      </c>
      <c r="AZ23" t="s">
        <v>36</v>
      </c>
      <c r="BA23" s="11" cm="1">
        <f t="array" ref="BA23:BA25">+TRANSPOSE(AZ17:BB17)</f>
        <v>0.91999999999999993</v>
      </c>
    </row>
    <row r="24" spans="51:54" x14ac:dyDescent="0.25">
      <c r="AY24" t="s">
        <v>30</v>
      </c>
      <c r="AZ24" t="s">
        <v>37</v>
      </c>
      <c r="BA24" s="11">
        <v>0.8849999999999999</v>
      </c>
    </row>
    <row r="25" spans="51:54" x14ac:dyDescent="0.25">
      <c r="AY25" t="s">
        <v>30</v>
      </c>
      <c r="AZ25" t="s">
        <v>38</v>
      </c>
      <c r="BA25" s="11">
        <v>0.84999999999999987</v>
      </c>
    </row>
    <row r="26" spans="51:54" x14ac:dyDescent="0.25">
      <c r="AY26" t="s">
        <v>31</v>
      </c>
      <c r="AZ26" t="s">
        <v>36</v>
      </c>
      <c r="BA26" s="11" cm="1">
        <f t="array" ref="BA26:BA28">+TRANSPOSE(AZ18:BB18)</f>
        <v>0.84999999999999987</v>
      </c>
    </row>
    <row r="27" spans="51:54" x14ac:dyDescent="0.25">
      <c r="AY27" t="s">
        <v>31</v>
      </c>
      <c r="AZ27" t="s">
        <v>37</v>
      </c>
      <c r="BA27" s="11">
        <v>0.81499999999999984</v>
      </c>
    </row>
    <row r="28" spans="51:54" x14ac:dyDescent="0.25">
      <c r="AY28" t="s">
        <v>31</v>
      </c>
      <c r="AZ28" t="s">
        <v>38</v>
      </c>
      <c r="BA28" s="11">
        <v>0.7799999999999998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9F661-A047-4726-B6F5-10481169D93F}">
  <dimension ref="A1:M44"/>
  <sheetViews>
    <sheetView showGridLines="0" topLeftCell="A32" zoomScale="90" zoomScaleNormal="90" workbookViewId="0">
      <selection activeCell="B44" sqref="B44"/>
    </sheetView>
  </sheetViews>
  <sheetFormatPr baseColWidth="10" defaultRowHeight="15" x14ac:dyDescent="0.25"/>
  <cols>
    <col min="1" max="1" width="11.28515625" bestFit="1" customWidth="1"/>
    <col min="2" max="2" width="12.7109375" bestFit="1" customWidth="1"/>
    <col min="3" max="3" width="10" bestFit="1" customWidth="1"/>
    <col min="4" max="8" width="11.140625" bestFit="1" customWidth="1"/>
    <col min="9" max="11" width="10" bestFit="1" customWidth="1"/>
    <col min="12" max="12" width="11.140625" bestFit="1" customWidth="1"/>
    <col min="13" max="13" width="10" bestFit="1" customWidth="1"/>
  </cols>
  <sheetData>
    <row r="1" spans="1:13" ht="18.75" customHeight="1" x14ac:dyDescent="0.25">
      <c r="A1" s="2" t="s">
        <v>14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ht="15.75" x14ac:dyDescent="0.25">
      <c r="A2" s="4" t="s">
        <v>15</v>
      </c>
      <c r="B2" s="3">
        <v>62428</v>
      </c>
      <c r="C2" s="3">
        <v>52224</v>
      </c>
      <c r="D2" s="3">
        <v>61190</v>
      </c>
      <c r="E2" s="3">
        <v>70442</v>
      </c>
      <c r="F2" s="3">
        <v>61010</v>
      </c>
      <c r="G2" s="3">
        <v>64548</v>
      </c>
      <c r="H2" s="3">
        <v>63040</v>
      </c>
      <c r="I2" s="3">
        <v>55670</v>
      </c>
      <c r="J2" s="3">
        <v>53892</v>
      </c>
      <c r="K2" s="3">
        <v>52790</v>
      </c>
      <c r="L2" s="3">
        <v>95682</v>
      </c>
      <c r="M2" s="3">
        <v>55816</v>
      </c>
    </row>
    <row r="3" spans="1:13" ht="15.75" x14ac:dyDescent="0.25">
      <c r="A3" s="4" t="s">
        <v>16</v>
      </c>
      <c r="B3" s="3">
        <v>114052</v>
      </c>
      <c r="C3" s="3">
        <v>97238</v>
      </c>
      <c r="D3" s="3">
        <v>108938</v>
      </c>
      <c r="E3" s="3">
        <v>125580</v>
      </c>
      <c r="F3" s="3">
        <v>116508</v>
      </c>
      <c r="G3" s="3">
        <v>113708</v>
      </c>
      <c r="H3" s="3">
        <v>108138</v>
      </c>
      <c r="I3" s="3">
        <v>99330</v>
      </c>
      <c r="J3" s="3">
        <v>101020</v>
      </c>
      <c r="K3" s="3">
        <v>92416</v>
      </c>
      <c r="L3" s="3">
        <v>177742</v>
      </c>
      <c r="M3" s="3">
        <v>100284</v>
      </c>
    </row>
    <row r="4" spans="1:13" ht="15.75" x14ac:dyDescent="0.25">
      <c r="A4" s="4" t="s">
        <v>17</v>
      </c>
      <c r="B4" s="3">
        <v>87198</v>
      </c>
      <c r="C4" s="3">
        <v>74634</v>
      </c>
      <c r="D4" s="3">
        <v>85604</v>
      </c>
      <c r="E4" s="3">
        <v>95038</v>
      </c>
      <c r="F4" s="3">
        <v>86712</v>
      </c>
      <c r="G4" s="3">
        <v>90622</v>
      </c>
      <c r="H4" s="3">
        <v>86276</v>
      </c>
      <c r="I4" s="3">
        <v>75388</v>
      </c>
      <c r="J4" s="3">
        <v>79100</v>
      </c>
      <c r="K4" s="3">
        <v>72072</v>
      </c>
      <c r="L4" s="3">
        <v>136884</v>
      </c>
      <c r="M4" s="3">
        <v>75800</v>
      </c>
    </row>
    <row r="5" spans="1:13" ht="15.75" x14ac:dyDescent="0.25">
      <c r="A5" s="4" t="s">
        <v>18</v>
      </c>
      <c r="B5" s="3">
        <v>97010</v>
      </c>
      <c r="C5" s="3">
        <v>85480</v>
      </c>
      <c r="D5" s="3">
        <v>95870</v>
      </c>
      <c r="E5" s="3">
        <v>108524</v>
      </c>
      <c r="F5" s="3">
        <v>99640</v>
      </c>
      <c r="G5" s="3">
        <v>100948</v>
      </c>
      <c r="H5" s="3">
        <v>97792</v>
      </c>
      <c r="I5" s="3">
        <v>83726</v>
      </c>
      <c r="J5" s="3">
        <v>86100</v>
      </c>
      <c r="K5" s="3">
        <v>77418</v>
      </c>
      <c r="L5" s="3">
        <v>154664</v>
      </c>
      <c r="M5" s="3">
        <v>84266</v>
      </c>
    </row>
    <row r="6" spans="1:13" ht="15.75" x14ac:dyDescent="0.25">
      <c r="A6" s="4" t="s">
        <v>19</v>
      </c>
      <c r="B6" s="3">
        <v>61708</v>
      </c>
      <c r="C6" s="3">
        <v>53672</v>
      </c>
      <c r="D6" s="3">
        <v>61782</v>
      </c>
      <c r="E6" s="3">
        <v>65656</v>
      </c>
      <c r="F6" s="3">
        <v>64938</v>
      </c>
      <c r="G6" s="3">
        <v>61898</v>
      </c>
      <c r="H6" s="3">
        <v>60994</v>
      </c>
      <c r="I6" s="3">
        <v>56174</v>
      </c>
      <c r="J6" s="3">
        <v>53040</v>
      </c>
      <c r="K6" s="3">
        <v>53102</v>
      </c>
      <c r="L6" s="3">
        <v>96780</v>
      </c>
      <c r="M6" s="3">
        <v>56702</v>
      </c>
    </row>
    <row r="7" spans="1:13" ht="15.75" x14ac:dyDescent="0.25">
      <c r="A7" s="4" t="s">
        <v>20</v>
      </c>
      <c r="B7" s="3">
        <v>52380</v>
      </c>
      <c r="C7" s="3">
        <v>47928</v>
      </c>
      <c r="D7" s="3">
        <v>55556</v>
      </c>
      <c r="E7" s="3">
        <v>58824</v>
      </c>
      <c r="F7" s="3">
        <v>57240</v>
      </c>
      <c r="G7" s="3">
        <v>56060</v>
      </c>
      <c r="H7" s="3">
        <v>52190</v>
      </c>
      <c r="I7" s="3">
        <v>49072</v>
      </c>
      <c r="J7" s="3">
        <v>49524</v>
      </c>
      <c r="K7" s="3">
        <v>45336</v>
      </c>
      <c r="L7" s="3">
        <v>85598</v>
      </c>
      <c r="M7" s="3">
        <v>47414</v>
      </c>
    </row>
    <row r="8" spans="1:13" ht="15.75" x14ac:dyDescent="0.25">
      <c r="A8" s="4" t="s">
        <v>21</v>
      </c>
      <c r="B8" s="3">
        <v>101776</v>
      </c>
      <c r="C8" s="3">
        <v>88082</v>
      </c>
      <c r="D8" s="3">
        <v>96370</v>
      </c>
      <c r="E8" s="3">
        <v>110936</v>
      </c>
      <c r="F8" s="3">
        <v>88804</v>
      </c>
      <c r="G8" s="3">
        <v>101434</v>
      </c>
      <c r="H8" s="3">
        <v>100446</v>
      </c>
      <c r="I8" s="3">
        <v>86528</v>
      </c>
      <c r="J8" s="3">
        <v>90184</v>
      </c>
      <c r="K8" s="3">
        <v>78908</v>
      </c>
      <c r="L8" s="3">
        <v>156926</v>
      </c>
      <c r="M8" s="3">
        <v>90822</v>
      </c>
    </row>
    <row r="9" spans="1:13" ht="15.75" x14ac:dyDescent="0.25">
      <c r="A9" s="4" t="s">
        <v>22</v>
      </c>
      <c r="B9" s="3">
        <v>53874</v>
      </c>
      <c r="C9" s="3">
        <v>47704</v>
      </c>
      <c r="D9" s="3">
        <v>53318</v>
      </c>
      <c r="E9" s="3">
        <v>57730</v>
      </c>
      <c r="F9" s="3">
        <v>76646</v>
      </c>
      <c r="G9" s="3">
        <v>56868</v>
      </c>
      <c r="H9" s="3">
        <v>54180</v>
      </c>
      <c r="I9" s="3">
        <v>47280</v>
      </c>
      <c r="J9" s="3">
        <v>46012</v>
      </c>
      <c r="K9" s="3">
        <v>43312</v>
      </c>
      <c r="L9" s="3">
        <v>83530</v>
      </c>
      <c r="M9" s="3">
        <v>47682</v>
      </c>
    </row>
    <row r="10" spans="1:13" ht="15.75" x14ac:dyDescent="0.25">
      <c r="A10" s="4" t="s">
        <v>23</v>
      </c>
      <c r="B10" s="3">
        <v>51388</v>
      </c>
      <c r="C10" s="3">
        <v>45788</v>
      </c>
      <c r="D10" s="3">
        <v>54558</v>
      </c>
      <c r="E10" s="3">
        <v>59930</v>
      </c>
      <c r="F10" s="3">
        <v>54982</v>
      </c>
      <c r="G10" s="3">
        <v>53418</v>
      </c>
      <c r="H10" s="3">
        <v>54178</v>
      </c>
      <c r="I10" s="3">
        <v>44774</v>
      </c>
      <c r="J10" s="3">
        <v>46708</v>
      </c>
      <c r="K10" s="3">
        <v>74610</v>
      </c>
      <c r="L10" s="3">
        <v>83756</v>
      </c>
      <c r="M10" s="3">
        <v>45440</v>
      </c>
    </row>
    <row r="11" spans="1:13" ht="15.75" x14ac:dyDescent="0.25">
      <c r="A11" s="4" t="s">
        <v>24</v>
      </c>
      <c r="B11" s="3">
        <v>52656</v>
      </c>
      <c r="C11" s="3">
        <v>46694</v>
      </c>
      <c r="D11" s="3">
        <v>53594</v>
      </c>
      <c r="E11" s="3">
        <v>57924</v>
      </c>
      <c r="F11" s="3">
        <v>52188</v>
      </c>
      <c r="G11" s="3">
        <v>53384</v>
      </c>
      <c r="H11" s="3">
        <v>53916</v>
      </c>
      <c r="I11" s="3">
        <v>44878</v>
      </c>
      <c r="J11" s="3">
        <v>48474</v>
      </c>
      <c r="K11" s="3">
        <v>45376</v>
      </c>
      <c r="L11" s="3">
        <v>79722</v>
      </c>
      <c r="M11" s="3">
        <v>48862</v>
      </c>
    </row>
    <row r="16" spans="1:13" ht="15.75" x14ac:dyDescent="0.25">
      <c r="A16" s="4" t="s">
        <v>15</v>
      </c>
      <c r="B16" s="3">
        <f>+B2/30*INVENTARIO!$BI2</f>
        <v>9763.2100724852771</v>
      </c>
      <c r="C16" s="3">
        <f>+C2/30*INVENTARIO!$BI2</f>
        <v>8167.3909595929881</v>
      </c>
      <c r="D16" s="3">
        <f>+D2/30*INVENTARIO!$BI2</f>
        <v>9569.5973655310772</v>
      </c>
      <c r="E16" s="3">
        <f>+E2/30*INVENTARIO!$BI2</f>
        <v>11016.531747389117</v>
      </c>
      <c r="F16" s="3">
        <f>+F2/30*INVENTARIO!$BI2</f>
        <v>9541.4468911758613</v>
      </c>
      <c r="G16" s="3">
        <f>+G2/30*INVENTARIO!$BI2</f>
        <v>10094.760103780027</v>
      </c>
      <c r="H16" s="3">
        <f>+H2/30*INVENTARIO!$BI2</f>
        <v>9858.9216852930076</v>
      </c>
      <c r="I16" s="3">
        <f>+I2/30*INVENTARIO!$BI2</f>
        <v>8706.3161519711557</v>
      </c>
      <c r="J16" s="3">
        <f>+J2/30*INVENTARIO!$BI2</f>
        <v>8428.2520219513117</v>
      </c>
      <c r="K16" s="3">
        <f>+K2/30*INVENTARIO!$BI2</f>
        <v>8255.9085622877192</v>
      </c>
      <c r="L16" s="3">
        <f>+L2/30*INVENTARIO!$BI2</f>
        <v>14963.853818087016</v>
      </c>
      <c r="M16" s="3">
        <f>+M2/30*INVENTARIO!$BI2</f>
        <v>8729.1493145037184</v>
      </c>
    </row>
    <row r="17" spans="1:13" ht="15.75" x14ac:dyDescent="0.25">
      <c r="A17" s="4" t="s">
        <v>16</v>
      </c>
      <c r="B17" s="3">
        <f>+B3/30*INVENTARIO!$BI3</f>
        <v>68968.739710724622</v>
      </c>
      <c r="C17" s="3">
        <f>+C3/30*INVENTARIO!$BI3</f>
        <v>58801.093466063212</v>
      </c>
      <c r="D17" s="3">
        <f>+D3/30*INVENTARIO!$BI3</f>
        <v>65876.236862193735</v>
      </c>
      <c r="E17" s="3">
        <f>+E3/30*INVENTARIO!$BI3</f>
        <v>75939.872451800926</v>
      </c>
      <c r="F17" s="3">
        <f>+F3/30*INVENTARIO!$BI3</f>
        <v>70453.915110801259</v>
      </c>
      <c r="G17" s="3">
        <f>+G3/30*INVENTARIO!$BI3</f>
        <v>68760.718400616184</v>
      </c>
      <c r="H17" s="3">
        <f>+H3/30*INVENTARIO!$BI3</f>
        <v>65392.466373569419</v>
      </c>
      <c r="I17" s="3">
        <f>+I3/30*INVENTARIO!$BI3</f>
        <v>60066.153293815783</v>
      </c>
      <c r="J17" s="3">
        <f>+J3/30*INVENTARIO!$BI3</f>
        <v>61088.118451034636</v>
      </c>
      <c r="K17" s="3">
        <f>+K3/30*INVENTARIO!$BI3</f>
        <v>55885.166845880187</v>
      </c>
      <c r="L17" s="3">
        <f>+L3/30*INVENTARIO!$BI3</f>
        <v>107482.91773632744</v>
      </c>
      <c r="M17" s="3">
        <f>+M3/30*INVENTARIO!$BI3</f>
        <v>60643.049601500272</v>
      </c>
    </row>
    <row r="18" spans="1:13" ht="15.75" x14ac:dyDescent="0.25">
      <c r="A18" s="4" t="s">
        <v>17</v>
      </c>
      <c r="B18" s="3">
        <f>+B4/30*INVENTARIO!$BI4</f>
        <v>12683.963665570831</v>
      </c>
      <c r="C18" s="3">
        <f>+C4/30*INVENTARIO!$BI4</f>
        <v>10856.383681004307</v>
      </c>
      <c r="D18" s="3">
        <f>+D4/30*INVENTARIO!$BI4</f>
        <v>12452.097819072978</v>
      </c>
      <c r="E18" s="3">
        <f>+E4/30*INVENTARIO!$BI4</f>
        <v>13824.382885484996</v>
      </c>
      <c r="F18" s="3">
        <f>+F4/30*INVENTARIO!$BI4</f>
        <v>12613.26931086697</v>
      </c>
      <c r="G18" s="3">
        <f>+G4/30*INVENTARIO!$BI4</f>
        <v>13182.024304472119</v>
      </c>
      <c r="H18" s="3">
        <f>+H4/30*INVENTARIO!$BI4</f>
        <v>12549.848037922764</v>
      </c>
      <c r="I18" s="3">
        <f>+I4/30*INVENTARIO!$BI4</f>
        <v>10966.061753939928</v>
      </c>
      <c r="J18" s="3">
        <f>+J4/30*INVENTARIO!$BI4</f>
        <v>11506.015343776839</v>
      </c>
      <c r="K18" s="3">
        <f>+K4/30*INVENTARIO!$BI4</f>
        <v>10483.710971639499</v>
      </c>
      <c r="L18" s="3">
        <f>+L4/30*INVENTARIO!$BI4</f>
        <v>19911.370471776852</v>
      </c>
      <c r="M18" s="3">
        <f>+M4/30*INVENTARIO!$BI4</f>
        <v>11025.991947639499</v>
      </c>
    </row>
    <row r="19" spans="1:13" ht="15.75" x14ac:dyDescent="0.25">
      <c r="A19" s="4" t="s">
        <v>18</v>
      </c>
      <c r="B19" s="3">
        <f>+B5/30*INVENTARIO!$BI5</f>
        <v>52747.456200807021</v>
      </c>
      <c r="C19" s="3">
        <f>+C5/30*INVENTARIO!$BI5</f>
        <v>46478.224472167654</v>
      </c>
      <c r="D19" s="3">
        <f>+D5/30*INVENTARIO!$BI5</f>
        <v>52127.601545937207</v>
      </c>
      <c r="E19" s="3">
        <f>+E5/30*INVENTARIO!$BI5</f>
        <v>59007.988214992074</v>
      </c>
      <c r="F19" s="3">
        <f>+F5/30*INVENTARIO!$BI5</f>
        <v>54177.471764234739</v>
      </c>
      <c r="G19" s="3">
        <f>+G5/30*INVENTARIO!$BI5</f>
        <v>54888.673420874831</v>
      </c>
      <c r="H19" s="3">
        <f>+H5/30*INVENTARIO!$BI5</f>
        <v>53172.654744761567</v>
      </c>
      <c r="I19" s="3">
        <f>+I5/30*INVENTARIO!$BI5</f>
        <v>45524.51827511358</v>
      </c>
      <c r="J19" s="3">
        <f>+J5/30*INVENTARIO!$BI5</f>
        <v>46815.338407272284</v>
      </c>
      <c r="K19" s="3">
        <f>+K5/30*INVENTARIO!$BI5</f>
        <v>42094.655851500647</v>
      </c>
      <c r="L19" s="3">
        <f>+L5/30*INVENTARIO!$BI5</f>
        <v>84095.789772617427</v>
      </c>
      <c r="M19" s="3">
        <f>+M5/30*INVENTARIO!$BI5</f>
        <v>45818.133637946652</v>
      </c>
    </row>
    <row r="20" spans="1:13" ht="15.75" x14ac:dyDescent="0.25">
      <c r="A20" s="4" t="s">
        <v>19</v>
      </c>
      <c r="B20" s="3">
        <f>+B6/30*INVENTARIO!$BI6</f>
        <v>23684.478511990248</v>
      </c>
      <c r="C20" s="3">
        <f>+C6/30*INVENTARIO!$BI6</f>
        <v>20600.138242943223</v>
      </c>
      <c r="D20" s="3">
        <f>+D6/30*INVENTARIO!$BI6</f>
        <v>23712.880848962555</v>
      </c>
      <c r="E20" s="3">
        <f>+E6/30*INVENTARIO!$BI6</f>
        <v>25199.78157099941</v>
      </c>
      <c r="F20" s="3">
        <f>+F6/30*INVENTARIO!$BI6</f>
        <v>24924.20213929511</v>
      </c>
      <c r="G20" s="3">
        <f>+G6/30*INVENTARIO!$BI6</f>
        <v>23757.403431243478</v>
      </c>
      <c r="H20" s="3">
        <f>+H6/30*INVENTARIO!$BI6</f>
        <v>23410.434341743909</v>
      </c>
      <c r="I20" s="3">
        <f>+I6/30*INVENTARIO!$BI6</f>
        <v>21560.44428489888</v>
      </c>
      <c r="J20" s="3">
        <f>+J6/30*INVENTARIO!$BI6</f>
        <v>20357.56693258512</v>
      </c>
      <c r="K20" s="3">
        <f>+K6/30*INVENTARIO!$BI6</f>
        <v>20381.363485183541</v>
      </c>
      <c r="L20" s="3">
        <f>+L6/30*INVENTARIO!$BI6</f>
        <v>37145.650975407014</v>
      </c>
      <c r="M20" s="3">
        <f>+M6/30*INVENTARIO!$BI6</f>
        <v>21763.098797349954</v>
      </c>
    </row>
    <row r="21" spans="1:13" ht="15.75" x14ac:dyDescent="0.25">
      <c r="A21" s="4" t="s">
        <v>20</v>
      </c>
      <c r="B21" s="3">
        <f>+B7/30*INVENTARIO!$BI7</f>
        <v>23474.452940090632</v>
      </c>
      <c r="C21" s="3">
        <f>+C7/30*INVENTARIO!$BI7</f>
        <v>21479.258887221531</v>
      </c>
      <c r="D21" s="3">
        <f>+D7/30*INVENTARIO!$BI7</f>
        <v>24897.798922101472</v>
      </c>
      <c r="E21" s="3">
        <f>+E7/30*INVENTARIO!$BI7</f>
        <v>26362.375329283914</v>
      </c>
      <c r="F21" s="3">
        <f>+F7/30*INVENTARIO!$BI7</f>
        <v>25652.494965459868</v>
      </c>
      <c r="G21" s="3">
        <f>+G7/30*INVENTARIO!$BI7</f>
        <v>25123.669946954582</v>
      </c>
      <c r="H21" s="3">
        <f>+H7/30*INVENTARIO!$BI7</f>
        <v>23389.303148975378</v>
      </c>
      <c r="I21" s="3">
        <f>+I7/30*INVENTARIO!$BI7</f>
        <v>21991.950261094455</v>
      </c>
      <c r="J21" s="3">
        <f>+J7/30*INVENTARIO!$BI7</f>
        <v>22194.517132589699</v>
      </c>
      <c r="K21" s="3">
        <f>+K7/30*INVENTARIO!$BI7</f>
        <v>20317.636473691276</v>
      </c>
      <c r="L21" s="3">
        <f>+L7/30*INVENTARIO!$BI7</f>
        <v>38361.325367809819</v>
      </c>
      <c r="M21" s="3">
        <f>+M7/30*INVENTARIO!$BI7</f>
        <v>21248.906294414992</v>
      </c>
    </row>
    <row r="22" spans="1:13" ht="15.75" x14ac:dyDescent="0.25">
      <c r="A22" s="4" t="s">
        <v>21</v>
      </c>
      <c r="B22" s="3">
        <f>+B8/30*INVENTARIO!$BI8</f>
        <v>30663.536742382144</v>
      </c>
      <c r="C22" s="3">
        <f>+C8/30*INVENTARIO!$BI8</f>
        <v>26537.746063340121</v>
      </c>
      <c r="D22" s="3">
        <f>+D8/30*INVENTARIO!$BI8</f>
        <v>29034.792444813782</v>
      </c>
      <c r="E22" s="3">
        <f>+E8/30*INVENTARIO!$BI8</f>
        <v>33423.303254725135</v>
      </c>
      <c r="F22" s="3">
        <f>+F8/30*INVENTARIO!$BI8</f>
        <v>26755.273511147068</v>
      </c>
      <c r="G22" s="3">
        <f>+G8/30*INVENTARIO!$BI8</f>
        <v>30560.497424999907</v>
      </c>
      <c r="H22" s="3">
        <f>+H8/30*INVENTARIO!$BI8</f>
        <v>30262.828285895659</v>
      </c>
      <c r="I22" s="3">
        <f>+I8/30*INVENTARIO!$BI8</f>
        <v>26069.54986681381</v>
      </c>
      <c r="J22" s="3">
        <f>+J8/30*INVENTARIO!$BI8</f>
        <v>27171.046195321011</v>
      </c>
      <c r="K22" s="3">
        <f>+K8/30*INVENTARIO!$BI8</f>
        <v>23773.761567244641</v>
      </c>
      <c r="L22" s="3">
        <f>+L8/30*INVENTARIO!$BI8</f>
        <v>47279.379881652458</v>
      </c>
      <c r="M22" s="3">
        <f>+M8/30*INVENTARIO!$BI8</f>
        <v>27363.265740613024</v>
      </c>
    </row>
    <row r="23" spans="1:13" ht="15.75" x14ac:dyDescent="0.25">
      <c r="A23" s="4" t="s">
        <v>22</v>
      </c>
      <c r="B23" s="3">
        <f>+B9/30*INVENTARIO!$BI9</f>
        <v>12874.589514840271</v>
      </c>
      <c r="C23" s="3">
        <f>+C9/30*INVENTARIO!$BI9</f>
        <v>11400.107996732011</v>
      </c>
      <c r="D23" s="3">
        <f>+D9/30*INVENTARIO!$BI9</f>
        <v>12741.718895056123</v>
      </c>
      <c r="E23" s="3">
        <f>+E9/30*INVENTARIO!$BI9</f>
        <v>13796.080719674219</v>
      </c>
      <c r="F23" s="3">
        <f>+F9/30*INVENTARIO!$BI9</f>
        <v>18316.549503553615</v>
      </c>
      <c r="G23" s="3">
        <f>+G9/30*INVENTARIO!$BI9</f>
        <v>13590.083463821817</v>
      </c>
      <c r="H23" s="3">
        <f>+H9/30*INVENTARIO!$BI9</f>
        <v>12947.716150908525</v>
      </c>
      <c r="I23" s="3">
        <f>+I9/30*INVENTARIO!$BI9</f>
        <v>11298.782200349853</v>
      </c>
      <c r="J23" s="3">
        <f>+J9/30*INVENTARIO!$BI9</f>
        <v>10995.76071494284</v>
      </c>
      <c r="K23" s="3">
        <f>+K9/30*INVENTARIO!$BI9</f>
        <v>10350.525690811186</v>
      </c>
      <c r="L23" s="3">
        <f>+L9/30*INVENTARIO!$BI9</f>
        <v>19961.659839154469</v>
      </c>
      <c r="M23" s="3">
        <f>+M9/30*INVENTARIO!$BI9</f>
        <v>11394.850526165012</v>
      </c>
    </row>
    <row r="24" spans="1:13" ht="15.75" x14ac:dyDescent="0.25">
      <c r="A24" s="4" t="s">
        <v>23</v>
      </c>
      <c r="B24" s="3">
        <f>+B10/30*INVENTARIO!$BI10</f>
        <v>19042.580261260522</v>
      </c>
      <c r="C24" s="3">
        <f>+C10/30*INVENTARIO!$BI10</f>
        <v>16967.417782412173</v>
      </c>
      <c r="D24" s="3">
        <f>+D10/30*INVENTARIO!$BI10</f>
        <v>20217.270450180033</v>
      </c>
      <c r="E24" s="3">
        <f>+E10/30*INVENTARIO!$BI10</f>
        <v>22207.944170960986</v>
      </c>
      <c r="F24" s="3">
        <f>+F10/30*INVENTARIO!$BI10</f>
        <v>20374.389895007123</v>
      </c>
      <c r="G24" s="3">
        <f>+G10/30*INVENTARIO!$BI10</f>
        <v>19794.826659843045</v>
      </c>
      <c r="H24" s="3">
        <f>+H10/30*INVENTARIO!$BI10</f>
        <v>20076.455853401039</v>
      </c>
      <c r="I24" s="3">
        <f>+I10/30*INVENTARIO!$BI10</f>
        <v>16591.665147849275</v>
      </c>
      <c r="J24" s="3">
        <f>+J10/30*INVENTARIO!$BI10</f>
        <v>17308.337332508687</v>
      </c>
      <c r="K24" s="3">
        <f>+K10/30*INVENTARIO!$BI10</f>
        <v>27647.834383370584</v>
      </c>
      <c r="L24" s="3">
        <f>+L10/30*INVENTARIO!$BI10</f>
        <v>31037.019389003977</v>
      </c>
      <c r="M24" s="3">
        <f>+M10/30*INVENTARIO!$BI10</f>
        <v>16838.461256940886</v>
      </c>
    </row>
    <row r="25" spans="1:13" ht="15.75" x14ac:dyDescent="0.25">
      <c r="A25" s="4" t="s">
        <v>24</v>
      </c>
      <c r="B25" s="3">
        <f>+B11/30*INVENTARIO!$BI11</f>
        <v>15447.416087244314</v>
      </c>
      <c r="C25" s="3">
        <f>+C11/30*INVENTARIO!$BI11</f>
        <v>13698.375242665337</v>
      </c>
      <c r="D25" s="3">
        <f>+D11/30*INVENTARIO!$BI11</f>
        <v>15722.592255009338</v>
      </c>
      <c r="E25" s="3">
        <f>+E11/30*INVENTARIO!$BI11</f>
        <v>16992.861771451298</v>
      </c>
      <c r="F25" s="3">
        <f>+F11/30*INVENTARIO!$BI11</f>
        <v>15310.121368146198</v>
      </c>
      <c r="G25" s="3">
        <f>+G11/30*INVENTARIO!$BI11</f>
        <v>15660.985650285826</v>
      </c>
      <c r="H25" s="3">
        <f>+H11/30*INVENTARIO!$BI11</f>
        <v>15817.055715585393</v>
      </c>
      <c r="I25" s="3">
        <f>+I11/30*INVENTARIO!$BI11</f>
        <v>13165.624794199148</v>
      </c>
      <c r="J25" s="3">
        <f>+J11/30*INVENTARIO!$BI11</f>
        <v>14220.564558893209</v>
      </c>
      <c r="K25" s="3">
        <f>+K11/30*INVENTARIO!$BI11</f>
        <v>13311.720456829193</v>
      </c>
      <c r="L25" s="3">
        <f>+L11/30*INVENTARIO!$BI11</f>
        <v>23387.627341751959</v>
      </c>
      <c r="M25" s="3">
        <f>+M11/30*INVENTARIO!$BI11</f>
        <v>14334.390095239511</v>
      </c>
    </row>
    <row r="27" spans="1:13" x14ac:dyDescent="0.25">
      <c r="B27" s="15">
        <f>+SUM(B16:B25)</f>
        <v>269350.42370739591</v>
      </c>
      <c r="C27" s="15">
        <f t="shared" ref="C27:M27" si="0">+SUM(C16:C25)</f>
        <v>234986.13679414254</v>
      </c>
      <c r="D27" s="15">
        <f t="shared" si="0"/>
        <v>266352.58740885829</v>
      </c>
      <c r="E27" s="15">
        <f t="shared" si="0"/>
        <v>297771.1221167621</v>
      </c>
      <c r="F27" s="15">
        <f t="shared" si="0"/>
        <v>278119.1344596878</v>
      </c>
      <c r="G27" s="15">
        <f t="shared" si="0"/>
        <v>275413.64280689182</v>
      </c>
      <c r="H27" s="15">
        <f t="shared" si="0"/>
        <v>266877.68433805672</v>
      </c>
      <c r="I27" s="15">
        <f t="shared" si="0"/>
        <v>235941.06603004585</v>
      </c>
      <c r="J27" s="15">
        <f t="shared" si="0"/>
        <v>240085.51709087566</v>
      </c>
      <c r="K27" s="15">
        <f t="shared" si="0"/>
        <v>232502.2842884385</v>
      </c>
      <c r="L27" s="23">
        <f t="shared" si="0"/>
        <v>423626.59459358838</v>
      </c>
      <c r="M27" s="15">
        <f t="shared" si="0"/>
        <v>239159.29721231348</v>
      </c>
    </row>
    <row r="30" spans="1:13" ht="15.75" x14ac:dyDescent="0.25">
      <c r="A30" s="4" t="s">
        <v>15</v>
      </c>
      <c r="B30" s="24">
        <f>+B16*'Precios-Costos'!$C2</f>
        <v>39052.840289941108</v>
      </c>
      <c r="C30" s="24">
        <f>+C16*'Precios-Costos'!$C2</f>
        <v>32669.563838371952</v>
      </c>
      <c r="D30" s="24">
        <f>+D16*'Precios-Costos'!$C2</f>
        <v>38278.389462124309</v>
      </c>
      <c r="E30" s="24">
        <f>+E16*'Precios-Costos'!$C2</f>
        <v>44066.126989556469</v>
      </c>
      <c r="F30" s="24">
        <f>+F16*'Precios-Costos'!$C2</f>
        <v>38165.787564703445</v>
      </c>
      <c r="G30" s="24">
        <f>+G16*'Precios-Costos'!$C2</f>
        <v>40379.040415120107</v>
      </c>
      <c r="H30" s="24">
        <f>+H16*'Precios-Costos'!$C2</f>
        <v>39435.68674117203</v>
      </c>
      <c r="I30" s="24">
        <f>+I16*'Precios-Costos'!$C2</f>
        <v>34825.264607884623</v>
      </c>
      <c r="J30" s="24">
        <f>+J16*'Precios-Costos'!$C2</f>
        <v>33713.008087805247</v>
      </c>
      <c r="K30" s="24">
        <f>+K16*'Precios-Costos'!$C2</f>
        <v>33023.634249150877</v>
      </c>
      <c r="L30" s="24">
        <f>+L16*'Precios-Costos'!$C2</f>
        <v>59855.415272348066</v>
      </c>
      <c r="M30" s="24">
        <f>+M16*'Precios-Costos'!$C2</f>
        <v>34916.597258014874</v>
      </c>
    </row>
    <row r="31" spans="1:13" ht="15.75" x14ac:dyDescent="0.25">
      <c r="A31" s="4" t="s">
        <v>16</v>
      </c>
      <c r="B31" s="24">
        <f>+B17*'Precios-Costos'!$C3</f>
        <v>241390.58898753618</v>
      </c>
      <c r="C31" s="24">
        <f>+C17*'Precios-Costos'!$C3</f>
        <v>205803.82713122125</v>
      </c>
      <c r="D31" s="24">
        <f>+D17*'Precios-Costos'!$C3</f>
        <v>230566.82901767807</v>
      </c>
      <c r="E31" s="24">
        <f>+E17*'Precios-Costos'!$C3</f>
        <v>265789.55358130322</v>
      </c>
      <c r="F31" s="24">
        <f>+F17*'Precios-Costos'!$C3</f>
        <v>246588.70288780442</v>
      </c>
      <c r="G31" s="24">
        <f>+G17*'Precios-Costos'!$C3</f>
        <v>240662.51440215664</v>
      </c>
      <c r="H31" s="24">
        <f>+H17*'Precios-Costos'!$C3</f>
        <v>228873.63230749295</v>
      </c>
      <c r="I31" s="24">
        <f>+I17*'Precios-Costos'!$C3</f>
        <v>210231.53652835524</v>
      </c>
      <c r="J31" s="24">
        <f>+J17*'Precios-Costos'!$C3</f>
        <v>213808.41457862122</v>
      </c>
      <c r="K31" s="24">
        <f>+K17*'Precios-Costos'!$C3</f>
        <v>195598.08396058064</v>
      </c>
      <c r="L31" s="24">
        <f>+L17*'Precios-Costos'!$C3</f>
        <v>376190.21207714605</v>
      </c>
      <c r="M31" s="24">
        <f>+M17*'Precios-Costos'!$C3</f>
        <v>212250.67360525095</v>
      </c>
    </row>
    <row r="32" spans="1:13" ht="15.75" x14ac:dyDescent="0.25">
      <c r="A32" s="4" t="s">
        <v>17</v>
      </c>
      <c r="B32" s="24">
        <f>+B18*'Precios-Costos'!$C4</f>
        <v>38051.890996712493</v>
      </c>
      <c r="C32" s="24">
        <f>+C18*'Precios-Costos'!$C4</f>
        <v>32569.15104301292</v>
      </c>
      <c r="D32" s="24">
        <f>+D18*'Precios-Costos'!$C4</f>
        <v>37356.293457218933</v>
      </c>
      <c r="E32" s="24">
        <f>+E18*'Precios-Costos'!$C4</f>
        <v>41473.148656454985</v>
      </c>
      <c r="F32" s="24">
        <f>+F18*'Precios-Costos'!$C4</f>
        <v>37839.80793260091</v>
      </c>
      <c r="G32" s="24">
        <f>+G18*'Precios-Costos'!$C4</f>
        <v>39546.072913416356</v>
      </c>
      <c r="H32" s="24">
        <f>+H18*'Precios-Costos'!$C4</f>
        <v>37649.544113768294</v>
      </c>
      <c r="I32" s="24">
        <f>+I18*'Precios-Costos'!$C4</f>
        <v>32898.185261819788</v>
      </c>
      <c r="J32" s="24">
        <f>+J18*'Precios-Costos'!$C4</f>
        <v>34518.046031330516</v>
      </c>
      <c r="K32" s="24">
        <f>+K18*'Precios-Costos'!$C4</f>
        <v>31451.132914918497</v>
      </c>
      <c r="L32" s="24">
        <f>+L18*'Precios-Costos'!$C4</f>
        <v>59734.111415330553</v>
      </c>
      <c r="M32" s="24">
        <f>+M18*'Precios-Costos'!$C4</f>
        <v>33077.975842918495</v>
      </c>
    </row>
    <row r="33" spans="1:13" ht="15.75" x14ac:dyDescent="0.25">
      <c r="A33" s="4" t="s">
        <v>18</v>
      </c>
      <c r="B33" s="24">
        <f>+B19*'Precios-Costos'!$C5</f>
        <v>184616.09670282458</v>
      </c>
      <c r="C33" s="24">
        <f>+C19*'Precios-Costos'!$C5</f>
        <v>162673.78565258678</v>
      </c>
      <c r="D33" s="24">
        <f>+D19*'Precios-Costos'!$C5</f>
        <v>182446.60541078023</v>
      </c>
      <c r="E33" s="24">
        <f>+E19*'Precios-Costos'!$C5</f>
        <v>206527.95875247224</v>
      </c>
      <c r="F33" s="24">
        <f>+F19*'Precios-Costos'!$C5</f>
        <v>189621.1511748216</v>
      </c>
      <c r="G33" s="24">
        <f>+G19*'Precios-Costos'!$C5</f>
        <v>192110.35697306192</v>
      </c>
      <c r="H33" s="24">
        <f>+H19*'Precios-Costos'!$C5</f>
        <v>186104.29160666547</v>
      </c>
      <c r="I33" s="24">
        <f>+I19*'Precios-Costos'!$C5</f>
        <v>159335.81396289752</v>
      </c>
      <c r="J33" s="24">
        <f>+J19*'Precios-Costos'!$C5</f>
        <v>163853.68442545299</v>
      </c>
      <c r="K33" s="24">
        <f>+K19*'Precios-Costos'!$C5</f>
        <v>147331.29548025227</v>
      </c>
      <c r="L33" s="24">
        <f>+L19*'Precios-Costos'!$C5</f>
        <v>294335.26420416101</v>
      </c>
      <c r="M33" s="24">
        <f>+M19*'Precios-Costos'!$C5</f>
        <v>160363.46773281327</v>
      </c>
    </row>
    <row r="34" spans="1:13" ht="15.75" x14ac:dyDescent="0.25">
      <c r="A34" s="4" t="s">
        <v>19</v>
      </c>
      <c r="B34" s="24">
        <f>+B20*'Precios-Costos'!$C6</f>
        <v>90001.018345562945</v>
      </c>
      <c r="C34" s="24">
        <f>+C20*'Precios-Costos'!$C6</f>
        <v>78280.525323184251</v>
      </c>
      <c r="D34" s="24">
        <f>+D20*'Precios-Costos'!$C6</f>
        <v>90108.947226057717</v>
      </c>
      <c r="E34" s="24">
        <f>+E20*'Precios-Costos'!$C6</f>
        <v>95759.16996979776</v>
      </c>
      <c r="F34" s="24">
        <f>+F20*'Precios-Costos'!$C6</f>
        <v>94711.968129321423</v>
      </c>
      <c r="G34" s="24">
        <f>+G20*'Precios-Costos'!$C6</f>
        <v>90278.133038725224</v>
      </c>
      <c r="H34" s="24">
        <f>+H20*'Precios-Costos'!$C6</f>
        <v>88959.650498626856</v>
      </c>
      <c r="I34" s="24">
        <f>+I20*'Precios-Costos'!$C6</f>
        <v>81929.688282615753</v>
      </c>
      <c r="J34" s="24">
        <f>+J20*'Precios-Costos'!$C6</f>
        <v>77358.754343823457</v>
      </c>
      <c r="K34" s="24">
        <f>+K20*'Precios-Costos'!$C6</f>
        <v>77449.181243697458</v>
      </c>
      <c r="L34" s="24">
        <f>+L20*'Precios-Costos'!$C6</f>
        <v>141153.47370654668</v>
      </c>
      <c r="M34" s="24">
        <f>+M20*'Precios-Costos'!$C6</f>
        <v>82699.775429929825</v>
      </c>
    </row>
    <row r="35" spans="1:13" ht="15.75" x14ac:dyDescent="0.25">
      <c r="A35" s="4" t="s">
        <v>20</v>
      </c>
      <c r="B35" s="24">
        <f>+B21*'Precios-Costos'!$C7</f>
        <v>82160.58529031722</v>
      </c>
      <c r="C35" s="24">
        <f>+C21*'Precios-Costos'!$C7</f>
        <v>75177.406105275353</v>
      </c>
      <c r="D35" s="24">
        <f>+D21*'Precios-Costos'!$C7</f>
        <v>87142.296227355153</v>
      </c>
      <c r="E35" s="24">
        <f>+E21*'Precios-Costos'!$C7</f>
        <v>92268.3136524937</v>
      </c>
      <c r="F35" s="24">
        <f>+F21*'Precios-Costos'!$C7</f>
        <v>89783.73237910954</v>
      </c>
      <c r="G35" s="24">
        <f>+G21*'Precios-Costos'!$C7</f>
        <v>87932.844814341035</v>
      </c>
      <c r="H35" s="24">
        <f>+H21*'Precios-Costos'!$C7</f>
        <v>81862.561021413829</v>
      </c>
      <c r="I35" s="24">
        <f>+I21*'Precios-Costos'!$C7</f>
        <v>76971.825913830588</v>
      </c>
      <c r="J35" s="24">
        <f>+J21*'Precios-Costos'!$C7</f>
        <v>77680.809964063941</v>
      </c>
      <c r="K35" s="24">
        <f>+K21*'Precios-Costos'!$C7</f>
        <v>71111.727657919473</v>
      </c>
      <c r="L35" s="24">
        <f>+L21*'Precios-Costos'!$C7</f>
        <v>134264.63878733438</v>
      </c>
      <c r="M35" s="24">
        <f>+M21*'Precios-Costos'!$C7</f>
        <v>74371.172030452464</v>
      </c>
    </row>
    <row r="36" spans="1:13" ht="15.75" x14ac:dyDescent="0.25">
      <c r="A36" s="4" t="s">
        <v>21</v>
      </c>
      <c r="B36" s="24">
        <f>+B22*'Precios-Costos'!$C8</f>
        <v>134919.56166648143</v>
      </c>
      <c r="C36" s="24">
        <f>+C22*'Precios-Costos'!$C8</f>
        <v>116766.08267869652</v>
      </c>
      <c r="D36" s="24">
        <f>+D22*'Precios-Costos'!$C8</f>
        <v>127753.08675718063</v>
      </c>
      <c r="E36" s="24">
        <f>+E22*'Precios-Costos'!$C8</f>
        <v>147062.53432079058</v>
      </c>
      <c r="F36" s="24">
        <f>+F22*'Precios-Costos'!$C8</f>
        <v>117723.20344904708</v>
      </c>
      <c r="G36" s="24">
        <f>+G22*'Precios-Costos'!$C8</f>
        <v>134466.18866999957</v>
      </c>
      <c r="H36" s="24">
        <f>+H22*'Precios-Costos'!$C8</f>
        <v>133156.44445794087</v>
      </c>
      <c r="I36" s="24">
        <f>+I22*'Precios-Costos'!$C8</f>
        <v>114706.01941398074</v>
      </c>
      <c r="J36" s="24">
        <f>+J22*'Precios-Costos'!$C8</f>
        <v>119552.60325941243</v>
      </c>
      <c r="K36" s="24">
        <f>+K22*'Precios-Costos'!$C8</f>
        <v>104604.55089587641</v>
      </c>
      <c r="L36" s="24">
        <f>+L22*'Precios-Costos'!$C8</f>
        <v>208029.2714792708</v>
      </c>
      <c r="M36" s="24">
        <f>+M22*'Precios-Costos'!$C8</f>
        <v>120398.36925869729</v>
      </c>
    </row>
    <row r="37" spans="1:13" ht="15.75" x14ac:dyDescent="0.25">
      <c r="A37" s="4" t="s">
        <v>22</v>
      </c>
      <c r="B37" s="24">
        <f>+B23*'Precios-Costos'!$C9</f>
        <v>39911.227496004838</v>
      </c>
      <c r="C37" s="24">
        <f>+C23*'Precios-Costos'!$C9</f>
        <v>35340.334789869237</v>
      </c>
      <c r="D37" s="24">
        <f>+D23*'Precios-Costos'!$C9</f>
        <v>39499.328574673986</v>
      </c>
      <c r="E37" s="24">
        <f>+E23*'Precios-Costos'!$C9</f>
        <v>42767.85023099008</v>
      </c>
      <c r="F37" s="24">
        <f>+F23*'Precios-Costos'!$C9</f>
        <v>56781.303461016207</v>
      </c>
      <c r="G37" s="24">
        <f>+G23*'Precios-Costos'!$C9</f>
        <v>42129.258737847631</v>
      </c>
      <c r="H37" s="24">
        <f>+H23*'Precios-Costos'!$C9</f>
        <v>40137.920067816427</v>
      </c>
      <c r="I37" s="24">
        <f>+I23*'Precios-Costos'!$C9</f>
        <v>35026.224821084543</v>
      </c>
      <c r="J37" s="24">
        <f>+J23*'Precios-Costos'!$C9</f>
        <v>34086.858216322806</v>
      </c>
      <c r="K37" s="24">
        <f>+K23*'Precios-Costos'!$C9</f>
        <v>32086.629641514679</v>
      </c>
      <c r="L37" s="24">
        <f>+L23*'Precios-Costos'!$C9</f>
        <v>61881.145501378851</v>
      </c>
      <c r="M37" s="24">
        <f>+M23*'Precios-Costos'!$C9</f>
        <v>35324.036631111536</v>
      </c>
    </row>
    <row r="38" spans="1:13" ht="15.75" x14ac:dyDescent="0.25">
      <c r="A38" s="4" t="s">
        <v>23</v>
      </c>
      <c r="B38" s="24">
        <f>+B24*'Precios-Costos'!$C10</f>
        <v>68553.288940537881</v>
      </c>
      <c r="C38" s="24">
        <f>+C24*'Precios-Costos'!$C10</f>
        <v>61082.70401668382</v>
      </c>
      <c r="D38" s="24">
        <f>+D24*'Precios-Costos'!$C10</f>
        <v>72782.173620648115</v>
      </c>
      <c r="E38" s="24">
        <f>+E24*'Precios-Costos'!$C10</f>
        <v>79948.599015459549</v>
      </c>
      <c r="F38" s="24">
        <f>+F24*'Precios-Costos'!$C10</f>
        <v>73347.803622025647</v>
      </c>
      <c r="G38" s="24">
        <f>+G24*'Precios-Costos'!$C10</f>
        <v>71261.375975434959</v>
      </c>
      <c r="H38" s="24">
        <f>+H24*'Precios-Costos'!$C10</f>
        <v>72275.241072243749</v>
      </c>
      <c r="I38" s="24">
        <f>+I24*'Precios-Costos'!$C10</f>
        <v>59729.994532257391</v>
      </c>
      <c r="J38" s="24">
        <f>+J24*'Precios-Costos'!$C10</f>
        <v>62310.014397031271</v>
      </c>
      <c r="K38" s="24">
        <f>+K24*'Precios-Costos'!$C10</f>
        <v>99532.203780134107</v>
      </c>
      <c r="L38" s="24">
        <f>+L24*'Precios-Costos'!$C10</f>
        <v>111733.26980041432</v>
      </c>
      <c r="M38" s="24">
        <f>+M24*'Precios-Costos'!$C10</f>
        <v>60618.460524987189</v>
      </c>
    </row>
    <row r="39" spans="1:13" ht="15.75" x14ac:dyDescent="0.25">
      <c r="A39" s="4" t="s">
        <v>24</v>
      </c>
      <c r="B39" s="24">
        <f>+B25*'Precios-Costos'!$C11</f>
        <v>71058.114001323833</v>
      </c>
      <c r="C39" s="24">
        <f>+C25*'Precios-Costos'!$C11</f>
        <v>63012.526116260546</v>
      </c>
      <c r="D39" s="24">
        <f>+D25*'Precios-Costos'!$C11</f>
        <v>72323.924373042944</v>
      </c>
      <c r="E39" s="24">
        <f>+E25*'Precios-Costos'!$C11</f>
        <v>78167.164148675962</v>
      </c>
      <c r="F39" s="24">
        <f>+F25*'Precios-Costos'!$C11</f>
        <v>70426.55829347251</v>
      </c>
      <c r="G39" s="24">
        <f>+G25*'Precios-Costos'!$C11</f>
        <v>72040.533991314791</v>
      </c>
      <c r="H39" s="24">
        <f>+H25*'Precios-Costos'!$C11</f>
        <v>72758.456291692797</v>
      </c>
      <c r="I39" s="24">
        <f>+I25*'Precios-Costos'!$C11</f>
        <v>60561.874053316074</v>
      </c>
      <c r="J39" s="24">
        <f>+J25*'Precios-Costos'!$C11</f>
        <v>65414.596970908759</v>
      </c>
      <c r="K39" s="24">
        <f>+K25*'Precios-Costos'!$C11</f>
        <v>61233.914101414281</v>
      </c>
      <c r="L39" s="24">
        <f>+L25*'Precios-Costos'!$C11</f>
        <v>107583.085772059</v>
      </c>
      <c r="M39" s="24">
        <f>+M25*'Precios-Costos'!$C11</f>
        <v>65938.194438101738</v>
      </c>
    </row>
    <row r="41" spans="1:13" x14ac:dyDescent="0.25">
      <c r="B41" s="24">
        <f>+SUM(B30:B39)</f>
        <v>989715.21271724231</v>
      </c>
      <c r="C41" s="24">
        <f t="shared" ref="C41:M41" si="1">+SUM(C30:C39)</f>
        <v>863375.90669516264</v>
      </c>
      <c r="D41" s="24">
        <f t="shared" si="1"/>
        <v>978257.87412676006</v>
      </c>
      <c r="E41" s="24">
        <f t="shared" si="1"/>
        <v>1093830.4193179945</v>
      </c>
      <c r="F41" s="24">
        <f t="shared" si="1"/>
        <v>1014990.0188939227</v>
      </c>
      <c r="G41" s="24">
        <f t="shared" si="1"/>
        <v>1010806.3199314183</v>
      </c>
      <c r="H41" s="24">
        <f t="shared" si="1"/>
        <v>981213.42817883333</v>
      </c>
      <c r="I41" s="24">
        <f t="shared" si="1"/>
        <v>866216.42737804225</v>
      </c>
      <c r="J41" s="24">
        <f t="shared" si="1"/>
        <v>882296.79027477279</v>
      </c>
      <c r="K41" s="24">
        <f t="shared" si="1"/>
        <v>853422.35392545862</v>
      </c>
      <c r="L41" s="24">
        <f t="shared" si="1"/>
        <v>1554759.8880159899</v>
      </c>
      <c r="M41" s="24">
        <f t="shared" si="1"/>
        <v>879958.72275227762</v>
      </c>
    </row>
    <row r="44" spans="1:13" x14ac:dyDescent="0.25">
      <c r="B44" s="9">
        <f>+AVERAGE(B41:M41)</f>
        <v>997403.61351732293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DBB3-0D3C-42A8-BE78-3EE076BCD59F}">
  <sheetPr codeName="Hoja2"/>
  <dimension ref="A1:Y11"/>
  <sheetViews>
    <sheetView showGridLines="0" topLeftCell="L1" zoomScale="90" zoomScaleNormal="90" workbookViewId="0">
      <selection activeCell="V2" sqref="V2:V11"/>
    </sheetView>
  </sheetViews>
  <sheetFormatPr baseColWidth="10" defaultRowHeight="15" x14ac:dyDescent="0.25"/>
  <cols>
    <col min="1" max="1" width="11.28515625" bestFit="1" customWidth="1"/>
    <col min="2" max="2" width="9.5703125" bestFit="1" customWidth="1"/>
    <col min="3" max="3" width="8.42578125" bestFit="1" customWidth="1"/>
    <col min="4" max="8" width="9.5703125" bestFit="1" customWidth="1"/>
    <col min="9" max="9" width="8.42578125" bestFit="1" customWidth="1"/>
    <col min="10" max="10" width="9.5703125" bestFit="1" customWidth="1"/>
    <col min="11" max="11" width="8.42578125" bestFit="1" customWidth="1"/>
    <col min="12" max="13" width="9.5703125" bestFit="1" customWidth="1"/>
    <col min="15" max="15" width="17.5703125" bestFit="1" customWidth="1"/>
    <col min="19" max="19" width="17.5703125" bestFit="1" customWidth="1"/>
    <col min="23" max="23" width="2.28515625" bestFit="1" customWidth="1"/>
    <col min="24" max="24" width="4.7109375" bestFit="1" customWidth="1"/>
  </cols>
  <sheetData>
    <row r="1" spans="1:25" ht="18.75" customHeight="1" x14ac:dyDescent="0.25">
      <c r="A1" s="2" t="s">
        <v>14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O1" s="8" t="s">
        <v>26</v>
      </c>
      <c r="R1" s="2" t="s">
        <v>14</v>
      </c>
      <c r="S1" s="8" t="s">
        <v>26</v>
      </c>
      <c r="T1" s="8" t="s">
        <v>27</v>
      </c>
      <c r="U1" s="8" t="s">
        <v>28</v>
      </c>
      <c r="V1" s="8" t="s">
        <v>33</v>
      </c>
    </row>
    <row r="2" spans="1:25" ht="15.75" x14ac:dyDescent="0.25">
      <c r="A2" s="4" t="s">
        <v>15</v>
      </c>
      <c r="B2" s="3">
        <v>62428</v>
      </c>
      <c r="C2" s="3">
        <v>52224</v>
      </c>
      <c r="D2" s="3">
        <v>61190</v>
      </c>
      <c r="E2" s="3">
        <v>70442</v>
      </c>
      <c r="F2" s="3">
        <v>61010</v>
      </c>
      <c r="G2" s="3">
        <v>64548</v>
      </c>
      <c r="H2" s="3">
        <v>63040</v>
      </c>
      <c r="I2" s="3">
        <v>55670</v>
      </c>
      <c r="J2" s="3">
        <v>53892</v>
      </c>
      <c r="K2" s="3">
        <v>52790</v>
      </c>
      <c r="L2" s="3">
        <v>95682</v>
      </c>
      <c r="M2" s="3">
        <v>55816</v>
      </c>
      <c r="O2" s="7">
        <f>+SUM(B2:M2)*'Precios-Costos'!B2</f>
        <v>3219547.6</v>
      </c>
      <c r="R2" s="4" t="s">
        <v>21</v>
      </c>
      <c r="S2" s="7">
        <v>5717836.7999999998</v>
      </c>
      <c r="T2" s="12">
        <f>+S2/SUM($S$2:$S$11)</f>
        <v>0.15760452976395503</v>
      </c>
      <c r="U2" s="13">
        <f>+T2</f>
        <v>0.15760452976395503</v>
      </c>
      <c r="V2" s="14" t="str">
        <f>+IF(U2&lt;=$Y$2,$X$2,IF(U2&lt;=$Y$3,$X$3,$X$4))</f>
        <v>A</v>
      </c>
      <c r="X2" t="s">
        <v>29</v>
      </c>
      <c r="Y2" s="11">
        <v>0.6</v>
      </c>
    </row>
    <row r="3" spans="1:25" ht="15.75" x14ac:dyDescent="0.25">
      <c r="A3" s="4" t="s">
        <v>16</v>
      </c>
      <c r="B3" s="3">
        <v>114052</v>
      </c>
      <c r="C3" s="3">
        <v>97238</v>
      </c>
      <c r="D3" s="3">
        <v>108938</v>
      </c>
      <c r="E3" s="3">
        <v>125580</v>
      </c>
      <c r="F3" s="3">
        <v>116508</v>
      </c>
      <c r="G3" s="3">
        <v>113708</v>
      </c>
      <c r="H3" s="3">
        <v>108138</v>
      </c>
      <c r="I3" s="3">
        <v>99330</v>
      </c>
      <c r="J3" s="3">
        <v>101020</v>
      </c>
      <c r="K3" s="3">
        <v>92416</v>
      </c>
      <c r="L3" s="3">
        <v>177742</v>
      </c>
      <c r="M3" s="3">
        <v>100284</v>
      </c>
      <c r="O3" s="7">
        <f>+SUM(B3:M3)*'Precios-Costos'!B3</f>
        <v>5013329.8</v>
      </c>
      <c r="R3" s="4" t="s">
        <v>16</v>
      </c>
      <c r="S3" s="7">
        <v>5013329.8</v>
      </c>
      <c r="T3" s="12">
        <f t="shared" ref="T3:T11" si="0">+S3/SUM($S$2:$S$11)</f>
        <v>0.1381857358504221</v>
      </c>
      <c r="U3" s="13">
        <f>+T3+U2</f>
        <v>0.29579026561437716</v>
      </c>
      <c r="V3" s="14" t="str">
        <f t="shared" ref="V3:V11" si="1">+IF(U3&lt;=$Y$2,$X$2,IF(U3&lt;=$Y$3,$X$3,$X$4))</f>
        <v>A</v>
      </c>
      <c r="X3" t="s">
        <v>30</v>
      </c>
      <c r="Y3" s="11">
        <v>0.8</v>
      </c>
    </row>
    <row r="4" spans="1:25" ht="15.75" x14ac:dyDescent="0.25">
      <c r="A4" s="4" t="s">
        <v>17</v>
      </c>
      <c r="B4" s="3">
        <v>87198</v>
      </c>
      <c r="C4" s="3">
        <v>74634</v>
      </c>
      <c r="D4" s="3">
        <v>85604</v>
      </c>
      <c r="E4" s="3">
        <v>95038</v>
      </c>
      <c r="F4" s="3">
        <v>86712</v>
      </c>
      <c r="G4" s="3">
        <v>90622</v>
      </c>
      <c r="H4" s="3">
        <v>86276</v>
      </c>
      <c r="I4" s="3">
        <v>75388</v>
      </c>
      <c r="J4" s="3">
        <v>79100</v>
      </c>
      <c r="K4" s="3">
        <v>72072</v>
      </c>
      <c r="L4" s="3">
        <v>136884</v>
      </c>
      <c r="M4" s="3">
        <v>75800</v>
      </c>
      <c r="O4" s="7">
        <f>+SUM(B4:M4)*'Precios-Costos'!B4</f>
        <v>3345049.6000000001</v>
      </c>
      <c r="R4" s="4" t="s">
        <v>18</v>
      </c>
      <c r="S4" s="7">
        <v>4802895.8</v>
      </c>
      <c r="T4" s="12">
        <f t="shared" si="0"/>
        <v>0.13238540387586345</v>
      </c>
      <c r="U4" s="13">
        <f t="shared" ref="U4:U11" si="2">+T4+U3</f>
        <v>0.42817566949024061</v>
      </c>
      <c r="V4" s="14" t="str">
        <f t="shared" si="1"/>
        <v>A</v>
      </c>
      <c r="X4" t="s">
        <v>31</v>
      </c>
      <c r="Y4" t="s">
        <v>32</v>
      </c>
    </row>
    <row r="5" spans="1:25" ht="15.75" x14ac:dyDescent="0.25">
      <c r="A5" s="4" t="s">
        <v>18</v>
      </c>
      <c r="B5" s="3">
        <v>97010</v>
      </c>
      <c r="C5" s="3">
        <v>85480</v>
      </c>
      <c r="D5" s="3">
        <v>95870</v>
      </c>
      <c r="E5" s="3">
        <v>108524</v>
      </c>
      <c r="F5" s="3">
        <v>99640</v>
      </c>
      <c r="G5" s="3">
        <v>100948</v>
      </c>
      <c r="H5" s="3">
        <v>97792</v>
      </c>
      <c r="I5" s="3">
        <v>83726</v>
      </c>
      <c r="J5" s="3">
        <v>86100</v>
      </c>
      <c r="K5" s="3">
        <v>77418</v>
      </c>
      <c r="L5" s="3">
        <v>154664</v>
      </c>
      <c r="M5" s="3">
        <v>84266</v>
      </c>
      <c r="O5" s="7">
        <f>+SUM(B5:M5)*'Precios-Costos'!B5</f>
        <v>4802895.8</v>
      </c>
      <c r="R5" s="4" t="s">
        <v>17</v>
      </c>
      <c r="S5" s="7">
        <v>3345049.6000000001</v>
      </c>
      <c r="T5" s="12">
        <f t="shared" si="0"/>
        <v>9.2201821717805221E-2</v>
      </c>
      <c r="U5" s="13">
        <f t="shared" si="2"/>
        <v>0.52037749120804588</v>
      </c>
      <c r="V5" s="14" t="str">
        <f t="shared" si="1"/>
        <v>A</v>
      </c>
    </row>
    <row r="6" spans="1:25" ht="15.75" x14ac:dyDescent="0.25">
      <c r="A6" s="4" t="s">
        <v>19</v>
      </c>
      <c r="B6" s="3">
        <v>61708</v>
      </c>
      <c r="C6" s="3">
        <v>53672</v>
      </c>
      <c r="D6" s="3">
        <v>61782</v>
      </c>
      <c r="E6" s="3">
        <v>65656</v>
      </c>
      <c r="F6" s="3">
        <v>64938</v>
      </c>
      <c r="G6" s="3">
        <v>61898</v>
      </c>
      <c r="H6" s="3">
        <v>60994</v>
      </c>
      <c r="I6" s="3">
        <v>56174</v>
      </c>
      <c r="J6" s="3">
        <v>53040</v>
      </c>
      <c r="K6" s="3">
        <v>53102</v>
      </c>
      <c r="L6" s="3">
        <v>96780</v>
      </c>
      <c r="M6" s="3">
        <v>56702</v>
      </c>
      <c r="O6" s="7">
        <f>+SUM(B6:M6)*'Precios-Costos'!B6</f>
        <v>3284362.3999999994</v>
      </c>
      <c r="R6" s="4" t="s">
        <v>24</v>
      </c>
      <c r="S6" s="7">
        <v>3315873.6</v>
      </c>
      <c r="T6" s="12">
        <f t="shared" si="0"/>
        <v>9.1397624270198263E-2</v>
      </c>
      <c r="U6" s="13">
        <f t="shared" si="2"/>
        <v>0.61177511547824415</v>
      </c>
      <c r="V6" s="14" t="str">
        <f t="shared" si="1"/>
        <v>B</v>
      </c>
    </row>
    <row r="7" spans="1:25" ht="15.75" x14ac:dyDescent="0.25">
      <c r="A7" s="4" t="s">
        <v>20</v>
      </c>
      <c r="B7" s="3">
        <v>52380</v>
      </c>
      <c r="C7" s="3">
        <v>47928</v>
      </c>
      <c r="D7" s="3">
        <v>55556</v>
      </c>
      <c r="E7" s="3">
        <v>58824</v>
      </c>
      <c r="F7" s="3">
        <v>57240</v>
      </c>
      <c r="G7" s="3">
        <v>56060</v>
      </c>
      <c r="H7" s="3">
        <v>52190</v>
      </c>
      <c r="I7" s="3">
        <v>49072</v>
      </c>
      <c r="J7" s="3">
        <v>49524</v>
      </c>
      <c r="K7" s="3">
        <v>45336</v>
      </c>
      <c r="L7" s="3">
        <v>85598</v>
      </c>
      <c r="M7" s="3">
        <v>47414</v>
      </c>
      <c r="O7" s="7">
        <f>+SUM(B7:M7)*'Precios-Costos'!B7</f>
        <v>2497063.6</v>
      </c>
      <c r="R7" s="4" t="s">
        <v>19</v>
      </c>
      <c r="S7" s="7">
        <v>3284362.3999999994</v>
      </c>
      <c r="T7" s="12">
        <f t="shared" si="0"/>
        <v>9.0529060155479554E-2</v>
      </c>
      <c r="U7" s="13">
        <f t="shared" si="2"/>
        <v>0.70230417563372372</v>
      </c>
      <c r="V7" s="14" t="str">
        <f t="shared" si="1"/>
        <v>B</v>
      </c>
    </row>
    <row r="8" spans="1:25" ht="15.75" x14ac:dyDescent="0.25">
      <c r="A8" s="4" t="s">
        <v>21</v>
      </c>
      <c r="B8" s="3">
        <v>101776</v>
      </c>
      <c r="C8" s="3">
        <v>88082</v>
      </c>
      <c r="D8" s="3">
        <v>96370</v>
      </c>
      <c r="E8" s="3">
        <v>110936</v>
      </c>
      <c r="F8" s="3">
        <v>88804</v>
      </c>
      <c r="G8" s="3">
        <v>101434</v>
      </c>
      <c r="H8" s="3">
        <v>100446</v>
      </c>
      <c r="I8" s="3">
        <v>86528</v>
      </c>
      <c r="J8" s="3">
        <v>90184</v>
      </c>
      <c r="K8" s="3">
        <v>78908</v>
      </c>
      <c r="L8" s="3">
        <v>156926</v>
      </c>
      <c r="M8" s="3">
        <v>90822</v>
      </c>
      <c r="O8" s="7">
        <f>+SUM(B8:M8)*'Precios-Costos'!B8</f>
        <v>5717836.7999999998</v>
      </c>
      <c r="R8" s="4" t="s">
        <v>15</v>
      </c>
      <c r="S8" s="7">
        <v>3219547.6</v>
      </c>
      <c r="T8" s="12">
        <f t="shared" si="0"/>
        <v>8.8742526815503028E-2</v>
      </c>
      <c r="U8" s="13">
        <f t="shared" si="2"/>
        <v>0.7910467024492267</v>
      </c>
      <c r="V8" s="14" t="str">
        <f t="shared" si="1"/>
        <v>B</v>
      </c>
    </row>
    <row r="9" spans="1:25" ht="15.75" x14ac:dyDescent="0.25">
      <c r="A9" s="4" t="s">
        <v>22</v>
      </c>
      <c r="B9" s="3">
        <v>53874</v>
      </c>
      <c r="C9" s="3">
        <v>47704</v>
      </c>
      <c r="D9" s="3">
        <v>53318</v>
      </c>
      <c r="E9" s="3">
        <v>57730</v>
      </c>
      <c r="F9" s="3">
        <v>76646</v>
      </c>
      <c r="G9" s="3">
        <v>56868</v>
      </c>
      <c r="H9" s="3">
        <v>54180</v>
      </c>
      <c r="I9" s="3">
        <v>47280</v>
      </c>
      <c r="J9" s="3">
        <v>46012</v>
      </c>
      <c r="K9" s="3">
        <v>43312</v>
      </c>
      <c r="L9" s="3">
        <v>83530</v>
      </c>
      <c r="M9" s="3">
        <v>47682</v>
      </c>
      <c r="O9" s="7">
        <f>+SUM(B9:M9)*'Precios-Costos'!B9</f>
        <v>2271662.4</v>
      </c>
      <c r="R9" s="4" t="s">
        <v>23</v>
      </c>
      <c r="S9" s="7">
        <v>2812025.9999999995</v>
      </c>
      <c r="T9" s="12">
        <f t="shared" si="0"/>
        <v>7.7509738545530948E-2</v>
      </c>
      <c r="U9" s="13">
        <f t="shared" si="2"/>
        <v>0.86855644099475771</v>
      </c>
      <c r="V9" s="14" t="str">
        <f t="shared" si="1"/>
        <v>C</v>
      </c>
    </row>
    <row r="10" spans="1:25" ht="15.75" x14ac:dyDescent="0.25">
      <c r="A10" s="4" t="s">
        <v>23</v>
      </c>
      <c r="B10" s="3">
        <v>51388</v>
      </c>
      <c r="C10" s="3">
        <v>45788</v>
      </c>
      <c r="D10" s="3">
        <v>54558</v>
      </c>
      <c r="E10" s="3">
        <v>59930</v>
      </c>
      <c r="F10" s="3">
        <v>54982</v>
      </c>
      <c r="G10" s="3">
        <v>53418</v>
      </c>
      <c r="H10" s="3">
        <v>54178</v>
      </c>
      <c r="I10" s="3">
        <v>44774</v>
      </c>
      <c r="J10" s="3">
        <v>46708</v>
      </c>
      <c r="K10" s="3">
        <v>74610</v>
      </c>
      <c r="L10" s="3">
        <v>83756</v>
      </c>
      <c r="M10" s="3">
        <v>45440</v>
      </c>
      <c r="O10" s="7">
        <f>+SUM(B10:M10)*'Precios-Costos'!B10</f>
        <v>2812025.9999999995</v>
      </c>
      <c r="R10" s="4" t="s">
        <v>20</v>
      </c>
      <c r="S10" s="7">
        <v>2497063.6</v>
      </c>
      <c r="T10" s="12">
        <f t="shared" si="0"/>
        <v>6.8828220922410505E-2</v>
      </c>
      <c r="U10" s="13">
        <f t="shared" si="2"/>
        <v>0.93738466191716818</v>
      </c>
      <c r="V10" s="14" t="str">
        <f t="shared" si="1"/>
        <v>C</v>
      </c>
    </row>
    <row r="11" spans="1:25" ht="15.75" x14ac:dyDescent="0.25">
      <c r="A11" s="4" t="s">
        <v>24</v>
      </c>
      <c r="B11" s="3">
        <v>52656</v>
      </c>
      <c r="C11" s="3">
        <v>46694</v>
      </c>
      <c r="D11" s="3">
        <v>53594</v>
      </c>
      <c r="E11" s="3">
        <v>57924</v>
      </c>
      <c r="F11" s="3">
        <v>52188</v>
      </c>
      <c r="G11" s="3">
        <v>53384</v>
      </c>
      <c r="H11" s="3">
        <v>53916</v>
      </c>
      <c r="I11" s="3">
        <v>44878</v>
      </c>
      <c r="J11" s="3">
        <v>48474</v>
      </c>
      <c r="K11" s="3">
        <v>45376</v>
      </c>
      <c r="L11" s="3">
        <v>79722</v>
      </c>
      <c r="M11" s="3">
        <v>48862</v>
      </c>
      <c r="O11" s="7">
        <f>+SUM(B11:M11)*'Precios-Costos'!B11</f>
        <v>3315873.6</v>
      </c>
      <c r="R11" s="4" t="s">
        <v>22</v>
      </c>
      <c r="S11" s="7">
        <v>2271662.4</v>
      </c>
      <c r="T11" s="12">
        <f t="shared" si="0"/>
        <v>6.2615338082831873E-2</v>
      </c>
      <c r="U11" s="13">
        <f t="shared" si="2"/>
        <v>1</v>
      </c>
      <c r="V11" s="14" t="str">
        <f t="shared" si="1"/>
        <v>C</v>
      </c>
    </row>
  </sheetData>
  <sortState xmlns:xlrd2="http://schemas.microsoft.com/office/spreadsheetml/2017/richdata2" ref="R2:S11">
    <sortCondition descending="1" ref="S2:S11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388F-5526-459B-AADF-C97A60CDB4FB}">
  <sheetPr codeName="Hoja3"/>
  <dimension ref="A1:B11"/>
  <sheetViews>
    <sheetView showGridLines="0" zoomScaleNormal="100" workbookViewId="0">
      <selection activeCell="F9" sqref="F9"/>
    </sheetView>
  </sheetViews>
  <sheetFormatPr baseColWidth="10" defaultRowHeight="15" x14ac:dyDescent="0.25"/>
  <cols>
    <col min="1" max="1" width="21.42578125" customWidth="1"/>
    <col min="2" max="2" width="27.5703125" customWidth="1"/>
  </cols>
  <sheetData>
    <row r="1" spans="1:2" ht="18.75" customHeight="1" x14ac:dyDescent="0.25">
      <c r="A1" s="2" t="s">
        <v>14</v>
      </c>
      <c r="B1" s="2" t="s">
        <v>25</v>
      </c>
    </row>
    <row r="2" spans="1:2" ht="15.75" x14ac:dyDescent="0.25">
      <c r="A2" s="4" t="s">
        <v>15</v>
      </c>
      <c r="B2" s="5">
        <v>2.9599999999999995</v>
      </c>
    </row>
    <row r="3" spans="1:2" ht="15.75" x14ac:dyDescent="0.25">
      <c r="A3" s="4" t="s">
        <v>16</v>
      </c>
      <c r="B3" s="5">
        <v>14.839999999999998</v>
      </c>
    </row>
    <row r="4" spans="1:2" ht="15.75" x14ac:dyDescent="0.25">
      <c r="A4" s="4" t="s">
        <v>17</v>
      </c>
      <c r="B4" s="5">
        <v>2.36</v>
      </c>
    </row>
    <row r="5" spans="1:2" ht="15.75" x14ac:dyDescent="0.25">
      <c r="A5" s="4" t="s">
        <v>18</v>
      </c>
      <c r="B5" s="5">
        <v>16.16</v>
      </c>
    </row>
    <row r="6" spans="1:2" ht="15.75" x14ac:dyDescent="0.25">
      <c r="A6" s="4" t="s">
        <v>19</v>
      </c>
      <c r="B6" s="5">
        <v>12.92</v>
      </c>
    </row>
    <row r="7" spans="1:2" ht="15.75" x14ac:dyDescent="0.25">
      <c r="A7" s="4" t="s">
        <v>20</v>
      </c>
      <c r="B7" s="5">
        <v>17.12</v>
      </c>
    </row>
    <row r="8" spans="1:2" ht="15.75" x14ac:dyDescent="0.25">
      <c r="A8" s="4" t="s">
        <v>21</v>
      </c>
      <c r="B8" s="5">
        <v>6.68</v>
      </c>
    </row>
    <row r="9" spans="1:2" ht="15.75" x14ac:dyDescent="0.25">
      <c r="A9" s="4" t="s">
        <v>22</v>
      </c>
      <c r="B9" s="5">
        <v>7.4</v>
      </c>
    </row>
    <row r="10" spans="1:2" ht="15.75" x14ac:dyDescent="0.25">
      <c r="A10" s="4" t="s">
        <v>23</v>
      </c>
      <c r="B10" s="5">
        <v>13.52</v>
      </c>
    </row>
    <row r="11" spans="1:2" ht="15.75" x14ac:dyDescent="0.25">
      <c r="A11" s="4" t="s">
        <v>24</v>
      </c>
      <c r="B11" s="5">
        <v>8.7199999999999989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5FC7-829A-4E62-8891-E3B6C6FFDFC9}">
  <sheetPr codeName="Hoja4"/>
  <dimension ref="A1:C11"/>
  <sheetViews>
    <sheetView showGridLines="0" zoomScaleNormal="100" workbookViewId="0">
      <selection activeCell="C4" sqref="C4"/>
    </sheetView>
  </sheetViews>
  <sheetFormatPr baseColWidth="10" defaultRowHeight="15" x14ac:dyDescent="0.25"/>
  <cols>
    <col min="1" max="1" width="16.85546875" bestFit="1" customWidth="1"/>
    <col min="2" max="3" width="13.5703125" bestFit="1" customWidth="1"/>
  </cols>
  <sheetData>
    <row r="1" spans="1:3" ht="18.75" customHeight="1" x14ac:dyDescent="0.25">
      <c r="A1" s="2" t="s">
        <v>14</v>
      </c>
      <c r="B1" s="1" t="s">
        <v>0</v>
      </c>
      <c r="C1" s="1" t="s">
        <v>1</v>
      </c>
    </row>
    <row r="2" spans="1:3" ht="15.75" x14ac:dyDescent="0.25">
      <c r="A2" s="4" t="s">
        <v>15</v>
      </c>
      <c r="B2" s="6">
        <v>4.3</v>
      </c>
      <c r="C2" s="6">
        <v>4</v>
      </c>
    </row>
    <row r="3" spans="1:3" ht="15.75" x14ac:dyDescent="0.25">
      <c r="A3" s="4" t="s">
        <v>16</v>
      </c>
      <c r="B3" s="6">
        <v>3.7</v>
      </c>
      <c r="C3" s="6">
        <v>3.5</v>
      </c>
    </row>
    <row r="4" spans="1:3" ht="15.75" x14ac:dyDescent="0.25">
      <c r="A4" s="4" t="s">
        <v>17</v>
      </c>
      <c r="B4" s="6">
        <v>3.2</v>
      </c>
      <c r="C4" s="6">
        <v>3</v>
      </c>
    </row>
    <row r="5" spans="1:3" ht="15.75" x14ac:dyDescent="0.25">
      <c r="A5" s="4" t="s">
        <v>18</v>
      </c>
      <c r="B5" s="6">
        <v>4.0999999999999996</v>
      </c>
      <c r="C5" s="6">
        <v>3.5</v>
      </c>
    </row>
    <row r="6" spans="1:3" ht="15.75" x14ac:dyDescent="0.25">
      <c r="A6" s="4" t="s">
        <v>19</v>
      </c>
      <c r="B6" s="6">
        <v>4.3999999999999995</v>
      </c>
      <c r="C6" s="6">
        <v>3.8000000000000003</v>
      </c>
    </row>
    <row r="7" spans="1:3" ht="15.75" x14ac:dyDescent="0.25">
      <c r="A7" s="4" t="s">
        <v>20</v>
      </c>
      <c r="B7" s="6">
        <v>3.8000000000000003</v>
      </c>
      <c r="C7" s="6">
        <v>3.5</v>
      </c>
    </row>
    <row r="8" spans="1:3" ht="15.75" x14ac:dyDescent="0.25">
      <c r="A8" s="4" t="s">
        <v>21</v>
      </c>
      <c r="B8" s="6">
        <v>4.8</v>
      </c>
      <c r="C8" s="6">
        <v>4.3999999999999995</v>
      </c>
    </row>
    <row r="9" spans="1:3" ht="15.75" x14ac:dyDescent="0.25">
      <c r="A9" s="4" t="s">
        <v>22</v>
      </c>
      <c r="B9" s="6">
        <v>3.4</v>
      </c>
      <c r="C9" s="6">
        <v>3.1</v>
      </c>
    </row>
    <row r="10" spans="1:3" ht="15.75" x14ac:dyDescent="0.25">
      <c r="A10" s="4" t="s">
        <v>23</v>
      </c>
      <c r="B10" s="6">
        <v>4.1999999999999993</v>
      </c>
      <c r="C10" s="6">
        <v>3.6</v>
      </c>
    </row>
    <row r="11" spans="1:3" ht="15.75" x14ac:dyDescent="0.25">
      <c r="A11" s="4" t="s">
        <v>24</v>
      </c>
      <c r="B11" s="6">
        <v>5.2</v>
      </c>
      <c r="C11" s="6">
        <v>4.5999999999999996</v>
      </c>
    </row>
  </sheetData>
  <autoFilter ref="A1:C11" xr:uid="{BD71EEBE-504E-4140-BC3D-C15D822303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Historico</vt:lpstr>
      <vt:lpstr>INVENTARIO</vt:lpstr>
      <vt:lpstr>ProyInventario</vt:lpstr>
      <vt:lpstr>Forecast</vt:lpstr>
      <vt:lpstr>LeadTime-Dias</vt:lpstr>
      <vt:lpstr>Precios-Costos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najera</dc:creator>
  <cp:lastModifiedBy>Santiago Nicolas Najera Acuna</cp:lastModifiedBy>
  <dcterms:created xsi:type="dcterms:W3CDTF">2023-08-09T17:58:29Z</dcterms:created>
  <dcterms:modified xsi:type="dcterms:W3CDTF">2024-11-15T02:32:52Z</dcterms:modified>
</cp:coreProperties>
</file>